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devin.bowen/Documents/personal/Staffing/excel/"/>
    </mc:Choice>
  </mc:AlternateContent>
  <xr:revisionPtr revIDLastSave="0" documentId="13_ncr:1_{9C27BDE7-41C8-4844-AB2E-F068A7B6387B}" xr6:coauthVersionLast="47" xr6:coauthVersionMax="47" xr10:uidLastSave="{00000000-0000-0000-0000-000000000000}"/>
  <bookViews>
    <workbookView xWindow="0" yWindow="760" windowWidth="34560" windowHeight="21580" tabRatio="834" xr2:uid="{69F3B2B1-B8B8-4C74-9DD0-32BB1E2C6EA9}"/>
  </bookViews>
  <sheets>
    <sheet name="3East" sheetId="2" r:id="rId1"/>
    <sheet name="4West" sheetId="3" r:id="rId2"/>
    <sheet name="5East" sheetId="4" r:id="rId3"/>
    <sheet name="5West" sheetId="5" r:id="rId4"/>
    <sheet name="5Tower" sheetId="6" r:id="rId5"/>
    <sheet name="PTCA" sheetId="7" r:id="rId6"/>
    <sheet name="6East" sheetId="8" r:id="rId7"/>
    <sheet name="6West" sheetId="9" r:id="rId8"/>
    <sheet name="6Tower" sheetId="10" r:id="rId9"/>
    <sheet name="7Tower" sheetId="11" r:id="rId10"/>
    <sheet name="7Heart" sheetId="12" r:id="rId11"/>
    <sheet name="8Heart" sheetId="13" r:id="rId12"/>
    <sheet name="9Frazier" sheetId="14" r:id="rId13"/>
    <sheet name="ICUTower" sheetId="15" r:id="rId14"/>
    <sheet name="SICU" sheetId="16" r:id="rId15"/>
    <sheet name="NICU" sheetId="17" r:id="rId16"/>
    <sheet name="CVICU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2" l="1"/>
  <c r="J35" i="2"/>
  <c r="D28" i="18"/>
  <c r="D27" i="18"/>
  <c r="O1" i="18"/>
  <c r="E26" i="18" s="1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D21" i="17"/>
  <c r="D20" i="17"/>
  <c r="O1" i="17"/>
  <c r="E19" i="17" s="1"/>
  <c r="D23" i="17"/>
  <c r="M15" i="17"/>
  <c r="M14" i="17"/>
  <c r="M13" i="17"/>
  <c r="M12" i="17"/>
  <c r="M11" i="17"/>
  <c r="M10" i="17"/>
  <c r="M9" i="17"/>
  <c r="M8" i="17"/>
  <c r="M7" i="17"/>
  <c r="M6" i="17"/>
  <c r="D24" i="16"/>
  <c r="D23" i="16"/>
  <c r="O1" i="16"/>
  <c r="D35" i="15"/>
  <c r="D34" i="15"/>
  <c r="O1" i="15"/>
  <c r="E32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E22" i="16"/>
  <c r="D37" i="14"/>
  <c r="D36" i="14"/>
  <c r="O1" i="14"/>
  <c r="E35" i="14" s="1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D27" i="13"/>
  <c r="D26" i="13"/>
  <c r="O1" i="13"/>
  <c r="E25" i="13" s="1"/>
  <c r="D29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O1" i="12"/>
  <c r="D27" i="12"/>
  <c r="D26" i="12"/>
  <c r="E25" i="12"/>
  <c r="E24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D34" i="11"/>
  <c r="D33" i="11"/>
  <c r="O1" i="11"/>
  <c r="E32" i="11" s="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D33" i="10"/>
  <c r="D32" i="10"/>
  <c r="O1" i="10"/>
  <c r="E31" i="10" s="1"/>
  <c r="D35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D31" i="9"/>
  <c r="D30" i="9"/>
  <c r="O1" i="9"/>
  <c r="E29" i="9" s="1"/>
  <c r="D33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D30" i="18" l="1"/>
  <c r="E27" i="18"/>
  <c r="E25" i="18"/>
  <c r="E28" i="18"/>
  <c r="E21" i="17"/>
  <c r="E18" i="17"/>
  <c r="E20" i="17"/>
  <c r="E23" i="16"/>
  <c r="E24" i="16"/>
  <c r="D37" i="15"/>
  <c r="E35" i="15"/>
  <c r="E33" i="15"/>
  <c r="E34" i="15"/>
  <c r="E37" i="15" s="1"/>
  <c r="L1" i="15" s="1"/>
  <c r="E21" i="16"/>
  <c r="D26" i="16"/>
  <c r="E37" i="14"/>
  <c r="D39" i="14"/>
  <c r="E34" i="14"/>
  <c r="E36" i="14"/>
  <c r="E27" i="13"/>
  <c r="E24" i="13"/>
  <c r="E26" i="13"/>
  <c r="E27" i="12"/>
  <c r="D29" i="12"/>
  <c r="E26" i="12"/>
  <c r="E29" i="12" s="1"/>
  <c r="L1" i="12" s="1"/>
  <c r="D36" i="11"/>
  <c r="E33" i="11"/>
  <c r="E34" i="11"/>
  <c r="E31" i="11"/>
  <c r="E33" i="10"/>
  <c r="E30" i="10"/>
  <c r="E32" i="10"/>
  <c r="E31" i="9"/>
  <c r="E28" i="9"/>
  <c r="E30" i="9"/>
  <c r="E30" i="18" l="1"/>
  <c r="L1" i="18" s="1"/>
  <c r="E23" i="17"/>
  <c r="L1" i="17" s="1"/>
  <c r="N14" i="17" s="1"/>
  <c r="O14" i="17" s="1"/>
  <c r="E26" i="16"/>
  <c r="L1" i="16" s="1"/>
  <c r="N16" i="16" s="1"/>
  <c r="O16" i="16" s="1"/>
  <c r="N29" i="15"/>
  <c r="O29" i="15" s="1"/>
  <c r="N25" i="15"/>
  <c r="O25" i="15" s="1"/>
  <c r="N21" i="15"/>
  <c r="O21" i="15" s="1"/>
  <c r="N17" i="15"/>
  <c r="O17" i="15" s="1"/>
  <c r="N13" i="15"/>
  <c r="O13" i="15" s="1"/>
  <c r="N9" i="15"/>
  <c r="O9" i="15" s="1"/>
  <c r="N28" i="15"/>
  <c r="O28" i="15" s="1"/>
  <c r="N20" i="15"/>
  <c r="O20" i="15" s="1"/>
  <c r="N16" i="15"/>
  <c r="O16" i="15" s="1"/>
  <c r="N12" i="15"/>
  <c r="O12" i="15" s="1"/>
  <c r="N27" i="15"/>
  <c r="O27" i="15" s="1"/>
  <c r="N15" i="15"/>
  <c r="O15" i="15" s="1"/>
  <c r="N7" i="15"/>
  <c r="O7" i="15" s="1"/>
  <c r="N26" i="15"/>
  <c r="O26" i="15" s="1"/>
  <c r="N18" i="15"/>
  <c r="O18" i="15" s="1"/>
  <c r="N6" i="15"/>
  <c r="O6" i="15" s="1"/>
  <c r="N24" i="15"/>
  <c r="O24" i="15" s="1"/>
  <c r="N8" i="15"/>
  <c r="O8" i="15" s="1"/>
  <c r="N23" i="15"/>
  <c r="O23" i="15" s="1"/>
  <c r="N19" i="15"/>
  <c r="O19" i="15" s="1"/>
  <c r="N11" i="15"/>
  <c r="O11" i="15" s="1"/>
  <c r="N22" i="15"/>
  <c r="O22" i="15" s="1"/>
  <c r="N14" i="15"/>
  <c r="O14" i="15" s="1"/>
  <c r="N10" i="15"/>
  <c r="O10" i="15" s="1"/>
  <c r="E39" i="14"/>
  <c r="L1" i="14" s="1"/>
  <c r="N16" i="14" s="1"/>
  <c r="O16" i="14" s="1"/>
  <c r="E29" i="13"/>
  <c r="L1" i="13" s="1"/>
  <c r="N20" i="12"/>
  <c r="O20" i="12" s="1"/>
  <c r="N16" i="12"/>
  <c r="O16" i="12" s="1"/>
  <c r="N12" i="12"/>
  <c r="O12" i="12" s="1"/>
  <c r="N8" i="12"/>
  <c r="O8" i="12" s="1"/>
  <c r="N19" i="12"/>
  <c r="O19" i="12" s="1"/>
  <c r="N7" i="12"/>
  <c r="O7" i="12" s="1"/>
  <c r="N11" i="12"/>
  <c r="O11" i="12" s="1"/>
  <c r="N18" i="12"/>
  <c r="O18" i="12" s="1"/>
  <c r="N21" i="12"/>
  <c r="O21" i="12" s="1"/>
  <c r="N17" i="12"/>
  <c r="O17" i="12" s="1"/>
  <c r="N13" i="12"/>
  <c r="O13" i="12" s="1"/>
  <c r="N9" i="12"/>
  <c r="O9" i="12" s="1"/>
  <c r="N10" i="12"/>
  <c r="O10" i="12" s="1"/>
  <c r="N15" i="12"/>
  <c r="O15" i="12" s="1"/>
  <c r="N14" i="12"/>
  <c r="O14" i="12" s="1"/>
  <c r="N6" i="12"/>
  <c r="O6" i="12" s="1"/>
  <c r="E36" i="11"/>
  <c r="L1" i="11" s="1"/>
  <c r="N27" i="11" s="1"/>
  <c r="O27" i="11" s="1"/>
  <c r="E35" i="10"/>
  <c r="L1" i="10" s="1"/>
  <c r="N26" i="10" s="1"/>
  <c r="O26" i="10" s="1"/>
  <c r="E33" i="9"/>
  <c r="L1" i="9" s="1"/>
  <c r="N18" i="18" l="1"/>
  <c r="O18" i="18" s="1"/>
  <c r="N14" i="18"/>
  <c r="O14" i="18" s="1"/>
  <c r="N12" i="18"/>
  <c r="O12" i="18" s="1"/>
  <c r="N10" i="18"/>
  <c r="O10" i="18" s="1"/>
  <c r="N11" i="18"/>
  <c r="O11" i="18" s="1"/>
  <c r="N6" i="18"/>
  <c r="O6" i="18" s="1"/>
  <c r="N17" i="18"/>
  <c r="O17" i="18" s="1"/>
  <c r="N21" i="18"/>
  <c r="O21" i="18" s="1"/>
  <c r="N19" i="18"/>
  <c r="O19" i="18" s="1"/>
  <c r="N22" i="18"/>
  <c r="O22" i="18" s="1"/>
  <c r="N13" i="18"/>
  <c r="O13" i="18" s="1"/>
  <c r="N16" i="18"/>
  <c r="O16" i="18" s="1"/>
  <c r="N15" i="18"/>
  <c r="O15" i="18" s="1"/>
  <c r="N7" i="18"/>
  <c r="O7" i="18" s="1"/>
  <c r="N8" i="18"/>
  <c r="O8" i="18" s="1"/>
  <c r="N9" i="18"/>
  <c r="O9" i="18" s="1"/>
  <c r="N20" i="18"/>
  <c r="O20" i="18" s="1"/>
  <c r="N11" i="17"/>
  <c r="O11" i="17" s="1"/>
  <c r="N9" i="17"/>
  <c r="O9" i="17" s="1"/>
  <c r="N15" i="17"/>
  <c r="O15" i="17" s="1"/>
  <c r="N8" i="17"/>
  <c r="O8" i="17" s="1"/>
  <c r="N13" i="17"/>
  <c r="O13" i="17" s="1"/>
  <c r="N10" i="17"/>
  <c r="O10" i="17" s="1"/>
  <c r="N7" i="17"/>
  <c r="O7" i="17" s="1"/>
  <c r="N12" i="17"/>
  <c r="O12" i="17" s="1"/>
  <c r="N6" i="17"/>
  <c r="O6" i="17" s="1"/>
  <c r="N9" i="16"/>
  <c r="O9" i="16" s="1"/>
  <c r="N17" i="16"/>
  <c r="O17" i="16" s="1"/>
  <c r="N6" i="16"/>
  <c r="O6" i="16" s="1"/>
  <c r="N14" i="16"/>
  <c r="O14" i="16" s="1"/>
  <c r="N13" i="16"/>
  <c r="O13" i="16" s="1"/>
  <c r="N10" i="16"/>
  <c r="O10" i="16" s="1"/>
  <c r="N18" i="16"/>
  <c r="O18" i="16" s="1"/>
  <c r="N7" i="16"/>
  <c r="O7" i="16" s="1"/>
  <c r="N11" i="16"/>
  <c r="O11" i="16" s="1"/>
  <c r="N12" i="16"/>
  <c r="O12" i="16" s="1"/>
  <c r="N15" i="16"/>
  <c r="O15" i="16" s="1"/>
  <c r="N8" i="16"/>
  <c r="O8" i="16" s="1"/>
  <c r="N24" i="14"/>
  <c r="O24" i="14" s="1"/>
  <c r="N29" i="14"/>
  <c r="O29" i="14" s="1"/>
  <c r="N22" i="14"/>
  <c r="O22" i="14" s="1"/>
  <c r="N28" i="14"/>
  <c r="O28" i="14" s="1"/>
  <c r="N31" i="14"/>
  <c r="O31" i="14" s="1"/>
  <c r="N14" i="14"/>
  <c r="O14" i="14" s="1"/>
  <c r="N13" i="14"/>
  <c r="O13" i="14" s="1"/>
  <c r="N26" i="14"/>
  <c r="O26" i="14" s="1"/>
  <c r="N25" i="14"/>
  <c r="O25" i="14" s="1"/>
  <c r="N27" i="14"/>
  <c r="O27" i="14" s="1"/>
  <c r="N8" i="14"/>
  <c r="O8" i="14" s="1"/>
  <c r="N20" i="14"/>
  <c r="O20" i="14" s="1"/>
  <c r="N11" i="14"/>
  <c r="O11" i="14" s="1"/>
  <c r="N21" i="14"/>
  <c r="O21" i="14" s="1"/>
  <c r="N15" i="14"/>
  <c r="O15" i="14" s="1"/>
  <c r="N10" i="14"/>
  <c r="O10" i="14" s="1"/>
  <c r="N30" i="14"/>
  <c r="O30" i="14" s="1"/>
  <c r="N17" i="14"/>
  <c r="O17" i="14" s="1"/>
  <c r="N12" i="14"/>
  <c r="O12" i="14" s="1"/>
  <c r="N19" i="14"/>
  <c r="O19" i="14" s="1"/>
  <c r="N6" i="14"/>
  <c r="O6" i="14" s="1"/>
  <c r="N7" i="14"/>
  <c r="O7" i="14" s="1"/>
  <c r="N23" i="14"/>
  <c r="O23" i="14" s="1"/>
  <c r="N9" i="14"/>
  <c r="O9" i="14" s="1"/>
  <c r="N18" i="14"/>
  <c r="O18" i="14" s="1"/>
  <c r="N20" i="13"/>
  <c r="O20" i="13" s="1"/>
  <c r="N16" i="13"/>
  <c r="O16" i="13" s="1"/>
  <c r="N12" i="13"/>
  <c r="O12" i="13" s="1"/>
  <c r="N8" i="13"/>
  <c r="O8" i="13" s="1"/>
  <c r="N19" i="13"/>
  <c r="O19" i="13" s="1"/>
  <c r="N15" i="13"/>
  <c r="O15" i="13" s="1"/>
  <c r="N11" i="13"/>
  <c r="O11" i="13" s="1"/>
  <c r="N7" i="13"/>
  <c r="O7" i="13" s="1"/>
  <c r="N9" i="13"/>
  <c r="O9" i="13" s="1"/>
  <c r="N18" i="13"/>
  <c r="O18" i="13" s="1"/>
  <c r="N14" i="13"/>
  <c r="O14" i="13" s="1"/>
  <c r="N10" i="13"/>
  <c r="O10" i="13" s="1"/>
  <c r="N6" i="13"/>
  <c r="O6" i="13" s="1"/>
  <c r="N13" i="13"/>
  <c r="O13" i="13" s="1"/>
  <c r="N17" i="13"/>
  <c r="O17" i="13" s="1"/>
  <c r="N21" i="13"/>
  <c r="O21" i="13" s="1"/>
  <c r="N15" i="11"/>
  <c r="O15" i="11" s="1"/>
  <c r="N10" i="11"/>
  <c r="O10" i="11" s="1"/>
  <c r="N20" i="11"/>
  <c r="O20" i="11" s="1"/>
  <c r="N18" i="11"/>
  <c r="O18" i="11" s="1"/>
  <c r="N11" i="11"/>
  <c r="O11" i="11" s="1"/>
  <c r="N13" i="11"/>
  <c r="O13" i="11" s="1"/>
  <c r="N6" i="11"/>
  <c r="O6" i="11" s="1"/>
  <c r="N8" i="11"/>
  <c r="O8" i="11" s="1"/>
  <c r="N12" i="11"/>
  <c r="O12" i="11" s="1"/>
  <c r="N16" i="11"/>
  <c r="O16" i="11" s="1"/>
  <c r="N24" i="11"/>
  <c r="O24" i="11" s="1"/>
  <c r="N22" i="11"/>
  <c r="O22" i="11" s="1"/>
  <c r="N14" i="11"/>
  <c r="O14" i="11" s="1"/>
  <c r="N26" i="11"/>
  <c r="O26" i="11" s="1"/>
  <c r="N28" i="11"/>
  <c r="O28" i="11" s="1"/>
  <c r="N7" i="11"/>
  <c r="O7" i="11" s="1"/>
  <c r="N9" i="11"/>
  <c r="O9" i="11" s="1"/>
  <c r="N17" i="11"/>
  <c r="O17" i="11" s="1"/>
  <c r="N19" i="11"/>
  <c r="O19" i="11" s="1"/>
  <c r="N21" i="11"/>
  <c r="O21" i="11" s="1"/>
  <c r="N23" i="11"/>
  <c r="O23" i="11" s="1"/>
  <c r="N25" i="11"/>
  <c r="O25" i="11" s="1"/>
  <c r="N21" i="10"/>
  <c r="O21" i="10" s="1"/>
  <c r="N24" i="10"/>
  <c r="O24" i="10" s="1"/>
  <c r="N9" i="10"/>
  <c r="O9" i="10" s="1"/>
  <c r="N25" i="10"/>
  <c r="O25" i="10" s="1"/>
  <c r="N13" i="10"/>
  <c r="O13" i="10" s="1"/>
  <c r="N17" i="10"/>
  <c r="O17" i="10" s="1"/>
  <c r="N23" i="10"/>
  <c r="O23" i="10" s="1"/>
  <c r="N6" i="10"/>
  <c r="O6" i="10" s="1"/>
  <c r="N7" i="10"/>
  <c r="O7" i="10" s="1"/>
  <c r="N11" i="10"/>
  <c r="O11" i="10" s="1"/>
  <c r="N15" i="10"/>
  <c r="O15" i="10" s="1"/>
  <c r="N19" i="10"/>
  <c r="O19" i="10" s="1"/>
  <c r="N27" i="10"/>
  <c r="O27" i="10" s="1"/>
  <c r="N10" i="10"/>
  <c r="O10" i="10" s="1"/>
  <c r="N8" i="10"/>
  <c r="O8" i="10" s="1"/>
  <c r="N14" i="10"/>
  <c r="O14" i="10" s="1"/>
  <c r="N12" i="10"/>
  <c r="O12" i="10" s="1"/>
  <c r="N18" i="10"/>
  <c r="O18" i="10" s="1"/>
  <c r="N16" i="10"/>
  <c r="O16" i="10" s="1"/>
  <c r="N22" i="10"/>
  <c r="O22" i="10" s="1"/>
  <c r="N20" i="10"/>
  <c r="O20" i="10" s="1"/>
  <c r="N23" i="9"/>
  <c r="O23" i="9" s="1"/>
  <c r="N15" i="9"/>
  <c r="O15" i="9" s="1"/>
  <c r="N7" i="9"/>
  <c r="O7" i="9" s="1"/>
  <c r="N19" i="9"/>
  <c r="O19" i="9" s="1"/>
  <c r="N11" i="9"/>
  <c r="O11" i="9" s="1"/>
  <c r="N22" i="9"/>
  <c r="O22" i="9" s="1"/>
  <c r="N18" i="9"/>
  <c r="O18" i="9" s="1"/>
  <c r="N14" i="9"/>
  <c r="O14" i="9" s="1"/>
  <c r="N10" i="9"/>
  <c r="O10" i="9" s="1"/>
  <c r="N6" i="9"/>
  <c r="O6" i="9" s="1"/>
  <c r="N21" i="9"/>
  <c r="O21" i="9" s="1"/>
  <c r="N17" i="9"/>
  <c r="O17" i="9" s="1"/>
  <c r="N13" i="9"/>
  <c r="O13" i="9" s="1"/>
  <c r="N9" i="9"/>
  <c r="O9" i="9" s="1"/>
  <c r="N12" i="9"/>
  <c r="O12" i="9" s="1"/>
  <c r="N25" i="9"/>
  <c r="O25" i="9" s="1"/>
  <c r="N20" i="9"/>
  <c r="O20" i="9" s="1"/>
  <c r="N8" i="9"/>
  <c r="O8" i="9" s="1"/>
  <c r="N24" i="9"/>
  <c r="O24" i="9" s="1"/>
  <c r="N16" i="9"/>
  <c r="O16" i="9" s="1"/>
  <c r="D28" i="8" l="1"/>
  <c r="E28" i="8" s="1"/>
  <c r="D27" i="8"/>
  <c r="D30" i="8" s="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O1" i="8"/>
  <c r="E26" i="8" s="1"/>
  <c r="D25" i="7"/>
  <c r="D24" i="7"/>
  <c r="O1" i="7"/>
  <c r="D27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E22" i="7"/>
  <c r="D32" i="6"/>
  <c r="D31" i="6"/>
  <c r="O1" i="6"/>
  <c r="D34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E30" i="6"/>
  <c r="D32" i="5"/>
  <c r="D31" i="5"/>
  <c r="O1" i="5"/>
  <c r="E29" i="5" s="1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D36" i="4"/>
  <c r="D35" i="4"/>
  <c r="O1" i="4"/>
  <c r="E34" i="4" s="1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11" i="3"/>
  <c r="D32" i="3"/>
  <c r="D31" i="3"/>
  <c r="D34" i="3" s="1"/>
  <c r="O1" i="3"/>
  <c r="E32" i="3"/>
  <c r="E31" i="3"/>
  <c r="E29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0" i="3"/>
  <c r="M9" i="3"/>
  <c r="M8" i="3"/>
  <c r="M7" i="3"/>
  <c r="M6" i="3"/>
  <c r="E30" i="3"/>
  <c r="D41" i="2"/>
  <c r="D39" i="2"/>
  <c r="D38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O1" i="2"/>
  <c r="E37" i="2" s="1"/>
  <c r="E25" i="8" l="1"/>
  <c r="E27" i="8"/>
  <c r="E25" i="7"/>
  <c r="E23" i="7"/>
  <c r="E24" i="7"/>
  <c r="E32" i="6"/>
  <c r="E29" i="6"/>
  <c r="E31" i="6"/>
  <c r="E30" i="5"/>
  <c r="E31" i="5"/>
  <c r="E32" i="5"/>
  <c r="D34" i="5"/>
  <c r="D38" i="4"/>
  <c r="E36" i="4"/>
  <c r="E33" i="4"/>
  <c r="E35" i="4"/>
  <c r="E34" i="3"/>
  <c r="L1" i="3" s="1"/>
  <c r="E38" i="2"/>
  <c r="E39" i="2"/>
  <c r="E30" i="8" l="1"/>
  <c r="L1" i="8" s="1"/>
  <c r="E27" i="7"/>
  <c r="L1" i="7" s="1"/>
  <c r="N10" i="7" s="1"/>
  <c r="O10" i="7" s="1"/>
  <c r="E34" i="6"/>
  <c r="L1" i="6" s="1"/>
  <c r="N10" i="6" s="1"/>
  <c r="O10" i="6" s="1"/>
  <c r="E34" i="5"/>
  <c r="L1" i="5" s="1"/>
  <c r="N8" i="5" s="1"/>
  <c r="O8" i="5" s="1"/>
  <c r="N12" i="5"/>
  <c r="O12" i="5" s="1"/>
  <c r="E38" i="4"/>
  <c r="L1" i="4" s="1"/>
  <c r="N24" i="3"/>
  <c r="O24" i="3" s="1"/>
  <c r="N20" i="3"/>
  <c r="O20" i="3" s="1"/>
  <c r="N16" i="3"/>
  <c r="O16" i="3" s="1"/>
  <c r="N12" i="3"/>
  <c r="O12" i="3" s="1"/>
  <c r="N8" i="3"/>
  <c r="O8" i="3" s="1"/>
  <c r="N18" i="3"/>
  <c r="O18" i="3" s="1"/>
  <c r="N25" i="3"/>
  <c r="O25" i="3" s="1"/>
  <c r="N17" i="3"/>
  <c r="O17" i="3" s="1"/>
  <c r="N9" i="3"/>
  <c r="O9" i="3" s="1"/>
  <c r="N23" i="3"/>
  <c r="O23" i="3" s="1"/>
  <c r="N19" i="3"/>
  <c r="O19" i="3" s="1"/>
  <c r="N15" i="3"/>
  <c r="O15" i="3" s="1"/>
  <c r="N11" i="3"/>
  <c r="O11" i="3" s="1"/>
  <c r="N7" i="3"/>
  <c r="O7" i="3" s="1"/>
  <c r="N22" i="3"/>
  <c r="O22" i="3" s="1"/>
  <c r="N14" i="3"/>
  <c r="O14" i="3" s="1"/>
  <c r="N10" i="3"/>
  <c r="O10" i="3" s="1"/>
  <c r="N6" i="3"/>
  <c r="O6" i="3" s="1"/>
  <c r="N21" i="3"/>
  <c r="O21" i="3" s="1"/>
  <c r="N13" i="3"/>
  <c r="O13" i="3" s="1"/>
  <c r="N26" i="3"/>
  <c r="O26" i="3" s="1"/>
  <c r="E41" i="2"/>
  <c r="L1" i="2" s="1"/>
  <c r="N26" i="2" s="1"/>
  <c r="O26" i="2" s="1"/>
  <c r="N20" i="8" l="1"/>
  <c r="O20" i="8" s="1"/>
  <c r="N16" i="8"/>
  <c r="O16" i="8" s="1"/>
  <c r="N12" i="8"/>
  <c r="O12" i="8" s="1"/>
  <c r="N8" i="8"/>
  <c r="O8" i="8" s="1"/>
  <c r="N18" i="8"/>
  <c r="O18" i="8" s="1"/>
  <c r="N17" i="8"/>
  <c r="O17" i="8" s="1"/>
  <c r="N10" i="8"/>
  <c r="O10" i="8" s="1"/>
  <c r="N19" i="8"/>
  <c r="O19" i="8" s="1"/>
  <c r="N15" i="8"/>
  <c r="O15" i="8" s="1"/>
  <c r="N11" i="8"/>
  <c r="O11" i="8" s="1"/>
  <c r="N7" i="8"/>
  <c r="O7" i="8" s="1"/>
  <c r="N14" i="8"/>
  <c r="O14" i="8" s="1"/>
  <c r="N6" i="8"/>
  <c r="O6" i="8" s="1"/>
  <c r="N21" i="8"/>
  <c r="O21" i="8" s="1"/>
  <c r="N9" i="8"/>
  <c r="O9" i="8" s="1"/>
  <c r="N22" i="8"/>
  <c r="O22" i="8" s="1"/>
  <c r="N13" i="8"/>
  <c r="O13" i="8" s="1"/>
  <c r="N8" i="7"/>
  <c r="O8" i="7" s="1"/>
  <c r="N12" i="7"/>
  <c r="O12" i="7" s="1"/>
  <c r="N17" i="7"/>
  <c r="O17" i="7" s="1"/>
  <c r="N15" i="7"/>
  <c r="O15" i="7" s="1"/>
  <c r="N9" i="7"/>
  <c r="O9" i="7" s="1"/>
  <c r="N13" i="7"/>
  <c r="O13" i="7" s="1"/>
  <c r="N18" i="7"/>
  <c r="O18" i="7" s="1"/>
  <c r="N16" i="7"/>
  <c r="O16" i="7" s="1"/>
  <c r="N11" i="7"/>
  <c r="O11" i="7" s="1"/>
  <c r="N6" i="7"/>
  <c r="O6" i="7" s="1"/>
  <c r="N7" i="7"/>
  <c r="O7" i="7" s="1"/>
  <c r="N19" i="7"/>
  <c r="O19" i="7" s="1"/>
  <c r="N14" i="7"/>
  <c r="O14" i="7" s="1"/>
  <c r="N25" i="6"/>
  <c r="O25" i="6" s="1"/>
  <c r="N23" i="6"/>
  <c r="O23" i="6" s="1"/>
  <c r="N16" i="6"/>
  <c r="O16" i="6" s="1"/>
  <c r="N24" i="6"/>
  <c r="O24" i="6" s="1"/>
  <c r="N18" i="6"/>
  <c r="O18" i="6" s="1"/>
  <c r="N9" i="6"/>
  <c r="O9" i="6" s="1"/>
  <c r="N7" i="6"/>
  <c r="O7" i="6" s="1"/>
  <c r="N17" i="6"/>
  <c r="O17" i="6" s="1"/>
  <c r="N11" i="6"/>
  <c r="O11" i="6" s="1"/>
  <c r="N21" i="6"/>
  <c r="O21" i="6" s="1"/>
  <c r="N15" i="6"/>
  <c r="O15" i="6" s="1"/>
  <c r="N19" i="6"/>
  <c r="O19" i="6" s="1"/>
  <c r="N22" i="6"/>
  <c r="O22" i="6" s="1"/>
  <c r="N20" i="6"/>
  <c r="O20" i="6" s="1"/>
  <c r="N26" i="6"/>
  <c r="O26" i="6" s="1"/>
  <c r="N14" i="6"/>
  <c r="O14" i="6" s="1"/>
  <c r="N6" i="6"/>
  <c r="O6" i="6" s="1"/>
  <c r="N13" i="6"/>
  <c r="O13" i="6" s="1"/>
  <c r="N8" i="6"/>
  <c r="O8" i="6" s="1"/>
  <c r="N12" i="6"/>
  <c r="O12" i="6" s="1"/>
  <c r="N16" i="5"/>
  <c r="O16" i="5" s="1"/>
  <c r="N11" i="5"/>
  <c r="O11" i="5" s="1"/>
  <c r="N6" i="5"/>
  <c r="O6" i="5" s="1"/>
  <c r="N9" i="5"/>
  <c r="O9" i="5" s="1"/>
  <c r="N24" i="5"/>
  <c r="O24" i="5" s="1"/>
  <c r="N7" i="5"/>
  <c r="O7" i="5" s="1"/>
  <c r="N10" i="5"/>
  <c r="O10" i="5" s="1"/>
  <c r="N13" i="5"/>
  <c r="O13" i="5" s="1"/>
  <c r="N25" i="5"/>
  <c r="O25" i="5" s="1"/>
  <c r="N20" i="5"/>
  <c r="O20" i="5" s="1"/>
  <c r="N21" i="5"/>
  <c r="O21" i="5" s="1"/>
  <c r="N22" i="5"/>
  <c r="O22" i="5" s="1"/>
  <c r="N19" i="5"/>
  <c r="O19" i="5" s="1"/>
  <c r="N26" i="5"/>
  <c r="O26" i="5" s="1"/>
  <c r="N18" i="5"/>
  <c r="O18" i="5" s="1"/>
  <c r="N23" i="5"/>
  <c r="O23" i="5" s="1"/>
  <c r="N14" i="5"/>
  <c r="O14" i="5" s="1"/>
  <c r="N15" i="5"/>
  <c r="O15" i="5" s="1"/>
  <c r="N17" i="5"/>
  <c r="O17" i="5" s="1"/>
  <c r="N29" i="4"/>
  <c r="O29" i="4" s="1"/>
  <c r="N25" i="4"/>
  <c r="O25" i="4" s="1"/>
  <c r="N21" i="4"/>
  <c r="O21" i="4" s="1"/>
  <c r="N17" i="4"/>
  <c r="O17" i="4" s="1"/>
  <c r="N13" i="4"/>
  <c r="O13" i="4" s="1"/>
  <c r="N9" i="4"/>
  <c r="O9" i="4" s="1"/>
  <c r="N28" i="4"/>
  <c r="O28" i="4" s="1"/>
  <c r="N24" i="4"/>
  <c r="O24" i="4" s="1"/>
  <c r="N20" i="4"/>
  <c r="O20" i="4" s="1"/>
  <c r="N16" i="4"/>
  <c r="O16" i="4" s="1"/>
  <c r="N12" i="4"/>
  <c r="O12" i="4" s="1"/>
  <c r="N8" i="4"/>
  <c r="O8" i="4" s="1"/>
  <c r="N26" i="4"/>
  <c r="O26" i="4" s="1"/>
  <c r="N14" i="4"/>
  <c r="O14" i="4" s="1"/>
  <c r="N22" i="4"/>
  <c r="O22" i="4" s="1"/>
  <c r="N6" i="4"/>
  <c r="O6" i="4" s="1"/>
  <c r="N27" i="4"/>
  <c r="O27" i="4" s="1"/>
  <c r="N23" i="4"/>
  <c r="O23" i="4" s="1"/>
  <c r="N19" i="4"/>
  <c r="O19" i="4" s="1"/>
  <c r="N15" i="4"/>
  <c r="O15" i="4" s="1"/>
  <c r="N11" i="4"/>
  <c r="O11" i="4" s="1"/>
  <c r="N7" i="4"/>
  <c r="O7" i="4" s="1"/>
  <c r="N18" i="4"/>
  <c r="O18" i="4" s="1"/>
  <c r="N10" i="4"/>
  <c r="O10" i="4" s="1"/>
  <c r="N30" i="4"/>
  <c r="O30" i="4" s="1"/>
  <c r="N19" i="2"/>
  <c r="O19" i="2" s="1"/>
  <c r="N15" i="2"/>
  <c r="O15" i="2" s="1"/>
  <c r="N13" i="2"/>
  <c r="O13" i="2" s="1"/>
  <c r="N21" i="2"/>
  <c r="O21" i="2" s="1"/>
  <c r="N33" i="2"/>
  <c r="O33" i="2" s="1"/>
  <c r="N17" i="2"/>
  <c r="O17" i="2" s="1"/>
  <c r="N29" i="2"/>
  <c r="O29" i="2" s="1"/>
  <c r="N30" i="2"/>
  <c r="O30" i="2" s="1"/>
  <c r="N12" i="2"/>
  <c r="O12" i="2" s="1"/>
  <c r="N16" i="2"/>
  <c r="O16" i="2" s="1"/>
  <c r="N27" i="2"/>
  <c r="O27" i="2" s="1"/>
  <c r="N25" i="2"/>
  <c r="O25" i="2" s="1"/>
  <c r="N11" i="2"/>
  <c r="O11" i="2" s="1"/>
  <c r="N28" i="2"/>
  <c r="O28" i="2" s="1"/>
  <c r="N24" i="2"/>
  <c r="O24" i="2" s="1"/>
  <c r="N6" i="2"/>
  <c r="O6" i="2" s="1"/>
  <c r="N32" i="2"/>
  <c r="O32" i="2" s="1"/>
  <c r="N7" i="2"/>
  <c r="O7" i="2" s="1"/>
  <c r="N10" i="2"/>
  <c r="O10" i="2" s="1"/>
  <c r="N23" i="2"/>
  <c r="O23" i="2" s="1"/>
  <c r="N31" i="2"/>
  <c r="O31" i="2" s="1"/>
  <c r="N14" i="2"/>
  <c r="O14" i="2" s="1"/>
  <c r="N18" i="2"/>
  <c r="O18" i="2" s="1"/>
  <c r="N20" i="2"/>
  <c r="O20" i="2" s="1"/>
  <c r="N22" i="2"/>
  <c r="O22" i="2" s="1"/>
  <c r="N8" i="2"/>
  <c r="O8" i="2" s="1"/>
  <c r="N9" i="2"/>
  <c r="O9" i="2" s="1"/>
</calcChain>
</file>

<file path=xl/sharedStrings.xml><?xml version="1.0" encoding="utf-8"?>
<sst xmlns="http://schemas.openxmlformats.org/spreadsheetml/2006/main" count="529" uniqueCount="42">
  <si>
    <t xml:space="preserve">UNIT: </t>
  </si>
  <si>
    <t>3 EAST</t>
  </si>
  <si>
    <t xml:space="preserve">HPPD: </t>
  </si>
  <si>
    <t xml:space="preserve">Effective HPPD: </t>
  </si>
  <si>
    <t xml:space="preserve">Budgeted Volume: </t>
  </si>
  <si>
    <t>Days</t>
  </si>
  <si>
    <t>Nights</t>
  </si>
  <si>
    <t>Hours Used</t>
  </si>
  <si>
    <t>Hours Earned</t>
  </si>
  <si>
    <t>Productivity</t>
  </si>
  <si>
    <t>7am-7pm</t>
  </si>
  <si>
    <t>7pm-7am</t>
  </si>
  <si>
    <t>CENSUS</t>
  </si>
  <si>
    <t>CN</t>
  </si>
  <si>
    <t>RN/ LPN</t>
  </si>
  <si>
    <t>NA</t>
  </si>
  <si>
    <t>UC</t>
  </si>
  <si>
    <t>FTE</t>
  </si>
  <si>
    <t>HPPD Impact:</t>
  </si>
  <si>
    <t xml:space="preserve">Sitter run rate: </t>
  </si>
  <si>
    <t xml:space="preserve">Manager: </t>
  </si>
  <si>
    <t xml:space="preserve">Education: </t>
  </si>
  <si>
    <t xml:space="preserve">Orientation: </t>
  </si>
  <si>
    <t xml:space="preserve">Total: </t>
  </si>
  <si>
    <t>Sitters</t>
  </si>
  <si>
    <t>4 WEST</t>
  </si>
  <si>
    <t>1</t>
  </si>
  <si>
    <t>5 EAST</t>
  </si>
  <si>
    <t>5WEST</t>
  </si>
  <si>
    <t>5TOWER</t>
  </si>
  <si>
    <t>PTCA</t>
  </si>
  <si>
    <t>6EAST</t>
  </si>
  <si>
    <t>6WEST</t>
  </si>
  <si>
    <t>6 TOWER</t>
  </si>
  <si>
    <t>7TOWER</t>
  </si>
  <si>
    <t>7HEART</t>
  </si>
  <si>
    <t>8HEART</t>
  </si>
  <si>
    <t>9FRAZ</t>
  </si>
  <si>
    <t>ICU TOWER</t>
  </si>
  <si>
    <t>SICU</t>
  </si>
  <si>
    <t>NICU</t>
  </si>
  <si>
    <t>CVICU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</si>
</sst>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 wrapText="1"/>
    </xf>
    <xf numFmtId="0" fontId="5" fillId="7" borderId="10" xfId="0" applyFont="1" applyFill="1" applyBorder="1" applyAlignment="1">
      <alignment wrapText="1"/>
    </xf>
    <xf numFmtId="0" fontId="5" fillId="7" borderId="11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wrapText="1"/>
    </xf>
    <xf numFmtId="0" fontId="0" fillId="7" borderId="25" xfId="0" applyFill="1" applyBorder="1" applyAlignment="1">
      <alignment wrapText="1"/>
    </xf>
    <xf numFmtId="0" fontId="5" fillId="7" borderId="26" xfId="0" applyFont="1" applyFill="1" applyBorder="1" applyAlignment="1">
      <alignment wrapText="1"/>
    </xf>
    <xf numFmtId="0" fontId="0" fillId="7" borderId="27" xfId="0" applyFill="1" applyBorder="1" applyAlignment="1">
      <alignment wrapText="1"/>
    </xf>
    <xf numFmtId="165" fontId="5" fillId="0" borderId="16" xfId="0" applyNumberFormat="1" applyFont="1" applyBorder="1" applyAlignment="1">
      <alignment horizontal="center" vertical="center" wrapText="1"/>
    </xf>
    <xf numFmtId="164" fontId="6" fillId="0" borderId="17" xfId="1" applyNumberFormat="1" applyFont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165" fontId="5" fillId="0" borderId="19" xfId="0" applyNumberFormat="1" applyFont="1" applyBorder="1" applyAlignment="1">
      <alignment horizontal="center" vertical="center" wrapText="1"/>
    </xf>
    <xf numFmtId="164" fontId="6" fillId="0" borderId="2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5" borderId="28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4" borderId="12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 wrapText="1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5" borderId="18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65" fontId="2" fillId="0" borderId="0" xfId="0" applyNumberFormat="1" applyFont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0" xfId="0"/>
    <xf numFmtId="0" fontId="2" fillId="0" borderId="7" xfId="0" applyFont="1" applyBorder="1"/>
    <xf numFmtId="0" fontId="0" fillId="0" borderId="8" xfId="0" applyBorder="1"/>
    <xf numFmtId="0" fontId="3" fillId="6" borderId="2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8E2D-6F36-4BB3-8C83-302DE72B5584}">
  <dimension ref="A1:P47"/>
  <sheetViews>
    <sheetView tabSelected="1" workbookViewId="0">
      <selection activeCell="U21" sqref="U21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1</v>
      </c>
      <c r="E1" s="7" t="s">
        <v>2</v>
      </c>
      <c r="F1" s="7"/>
      <c r="G1" s="68">
        <v>11.35</v>
      </c>
      <c r="I1" s="7" t="s">
        <v>3</v>
      </c>
      <c r="L1" s="67">
        <f>G1-E41</f>
        <v>10.59581921139193</v>
      </c>
      <c r="M1" s="10"/>
      <c r="N1" s="63" t="s">
        <v>4</v>
      </c>
      <c r="O1" s="6">
        <f>329/14</f>
        <v>23.5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28</v>
      </c>
      <c r="C6" s="41">
        <v>1</v>
      </c>
      <c r="D6" s="26">
        <v>6</v>
      </c>
      <c r="E6" s="26">
        <v>3</v>
      </c>
      <c r="F6" s="28"/>
      <c r="G6" s="42">
        <v>1</v>
      </c>
      <c r="H6" s="32">
        <v>1</v>
      </c>
      <c r="I6" s="26">
        <v>6</v>
      </c>
      <c r="J6" s="26">
        <v>3</v>
      </c>
      <c r="K6" s="28"/>
      <c r="L6" s="33">
        <v>1</v>
      </c>
      <c r="M6" s="58">
        <f t="shared" ref="M6:M33" si="0">(SUM(C6:L6)*12)</f>
        <v>264</v>
      </c>
      <c r="N6" s="22">
        <f>B6*$L$1</f>
        <v>296.68293791897406</v>
      </c>
      <c r="O6" s="59">
        <f t="shared" ref="O6:O33" si="1">N6/M6</f>
        <v>1.1237990072688411</v>
      </c>
    </row>
    <row r="7" spans="2:16" ht="16" x14ac:dyDescent="0.2">
      <c r="B7" s="49">
        <v>27</v>
      </c>
      <c r="C7" s="43">
        <v>1</v>
      </c>
      <c r="D7" s="25">
        <v>6</v>
      </c>
      <c r="E7" s="25">
        <v>3</v>
      </c>
      <c r="F7" s="29"/>
      <c r="G7" s="44">
        <v>1</v>
      </c>
      <c r="H7" s="34">
        <v>1</v>
      </c>
      <c r="I7" s="25">
        <v>6</v>
      </c>
      <c r="J7" s="25">
        <v>3</v>
      </c>
      <c r="K7" s="29"/>
      <c r="L7" s="35">
        <v>1</v>
      </c>
      <c r="M7" s="58">
        <f t="shared" si="0"/>
        <v>264</v>
      </c>
      <c r="N7" s="22">
        <f t="shared" ref="N7:N33" si="2">B7*$L$1</f>
        <v>286.08711870758214</v>
      </c>
      <c r="O7" s="59">
        <f t="shared" si="1"/>
        <v>1.0836633284378112</v>
      </c>
    </row>
    <row r="8" spans="2:16" ht="16" x14ac:dyDescent="0.2">
      <c r="B8" s="47">
        <v>26</v>
      </c>
      <c r="C8" s="41">
        <v>1</v>
      </c>
      <c r="D8" s="26">
        <v>6</v>
      </c>
      <c r="E8" s="26">
        <v>3</v>
      </c>
      <c r="F8" s="28"/>
      <c r="G8" s="42">
        <v>1</v>
      </c>
      <c r="H8" s="32">
        <v>1</v>
      </c>
      <c r="I8" s="26">
        <v>6</v>
      </c>
      <c r="J8" s="26">
        <v>3</v>
      </c>
      <c r="K8" s="28"/>
      <c r="L8" s="33">
        <v>1</v>
      </c>
      <c r="M8" s="58">
        <f t="shared" si="0"/>
        <v>264</v>
      </c>
      <c r="N8" s="22">
        <f t="shared" si="2"/>
        <v>275.49129949619021</v>
      </c>
      <c r="O8" s="59">
        <f t="shared" si="1"/>
        <v>1.0435276496067811</v>
      </c>
    </row>
    <row r="9" spans="2:16" ht="16" x14ac:dyDescent="0.2">
      <c r="B9" s="49">
        <v>25</v>
      </c>
      <c r="C9" s="43">
        <v>1</v>
      </c>
      <c r="D9" s="25">
        <v>6</v>
      </c>
      <c r="E9" s="25">
        <v>3</v>
      </c>
      <c r="F9" s="29"/>
      <c r="G9" s="44">
        <v>1</v>
      </c>
      <c r="H9" s="34">
        <v>1</v>
      </c>
      <c r="I9" s="25">
        <v>6</v>
      </c>
      <c r="J9" s="25">
        <v>3</v>
      </c>
      <c r="K9" s="29">
        <v>0.48</v>
      </c>
      <c r="L9" s="35">
        <v>0</v>
      </c>
      <c r="M9" s="58">
        <f t="shared" si="0"/>
        <v>257.76</v>
      </c>
      <c r="N9" s="22">
        <f t="shared" si="2"/>
        <v>264.89548028479828</v>
      </c>
      <c r="O9" s="59">
        <f t="shared" si="1"/>
        <v>1.0276826516325197</v>
      </c>
    </row>
    <row r="10" spans="2:16" ht="16" x14ac:dyDescent="0.2">
      <c r="B10" s="47">
        <v>24</v>
      </c>
      <c r="C10" s="41">
        <v>1</v>
      </c>
      <c r="D10" s="26">
        <v>6</v>
      </c>
      <c r="E10" s="26">
        <v>3</v>
      </c>
      <c r="F10" s="28"/>
      <c r="G10" s="42">
        <v>1</v>
      </c>
      <c r="H10" s="32">
        <v>1</v>
      </c>
      <c r="I10" s="26">
        <v>6</v>
      </c>
      <c r="J10" s="26">
        <v>2</v>
      </c>
      <c r="K10" s="28"/>
      <c r="L10" s="33">
        <v>0</v>
      </c>
      <c r="M10" s="58">
        <f t="shared" si="0"/>
        <v>240</v>
      </c>
      <c r="N10" s="22">
        <f t="shared" si="2"/>
        <v>254.29966107340633</v>
      </c>
      <c r="O10" s="59">
        <f t="shared" si="1"/>
        <v>1.059581921139193</v>
      </c>
    </row>
    <row r="11" spans="2:16" ht="16" x14ac:dyDescent="0.2">
      <c r="B11" s="49">
        <v>23</v>
      </c>
      <c r="C11" s="43">
        <v>1</v>
      </c>
      <c r="D11" s="25">
        <v>6</v>
      </c>
      <c r="E11" s="25">
        <v>3</v>
      </c>
      <c r="F11" s="29"/>
      <c r="G11" s="44">
        <v>1</v>
      </c>
      <c r="H11" s="34">
        <v>1</v>
      </c>
      <c r="I11" s="25">
        <v>6</v>
      </c>
      <c r="J11" s="25">
        <v>2</v>
      </c>
      <c r="K11" s="29"/>
      <c r="L11" s="35">
        <v>0</v>
      </c>
      <c r="M11" s="58">
        <f t="shared" si="0"/>
        <v>240</v>
      </c>
      <c r="N11" s="22">
        <f t="shared" si="2"/>
        <v>243.7038418620144</v>
      </c>
      <c r="O11" s="59">
        <f t="shared" si="1"/>
        <v>1.0154326744250599</v>
      </c>
    </row>
    <row r="12" spans="2:16" ht="16" x14ac:dyDescent="0.2">
      <c r="B12" s="47">
        <v>22</v>
      </c>
      <c r="C12" s="41">
        <v>1</v>
      </c>
      <c r="D12" s="26">
        <v>5</v>
      </c>
      <c r="E12" s="26">
        <v>3</v>
      </c>
      <c r="F12" s="28"/>
      <c r="G12" s="42">
        <v>1</v>
      </c>
      <c r="H12" s="32">
        <v>1</v>
      </c>
      <c r="I12" s="26">
        <v>5</v>
      </c>
      <c r="J12" s="26">
        <v>2</v>
      </c>
      <c r="K12" s="28"/>
      <c r="L12" s="33">
        <v>0</v>
      </c>
      <c r="M12" s="58">
        <f t="shared" si="0"/>
        <v>216</v>
      </c>
      <c r="N12" s="22">
        <f t="shared" si="2"/>
        <v>233.10802265062247</v>
      </c>
      <c r="O12" s="59">
        <f t="shared" si="1"/>
        <v>1.0792038085676967</v>
      </c>
    </row>
    <row r="13" spans="2:16" ht="16" x14ac:dyDescent="0.2">
      <c r="B13" s="49">
        <v>21</v>
      </c>
      <c r="C13" s="43">
        <v>1</v>
      </c>
      <c r="D13" s="25">
        <v>5</v>
      </c>
      <c r="E13" s="25">
        <v>2</v>
      </c>
      <c r="F13" s="29"/>
      <c r="G13" s="44">
        <v>1</v>
      </c>
      <c r="H13" s="34">
        <v>1</v>
      </c>
      <c r="I13" s="25">
        <v>5</v>
      </c>
      <c r="J13" s="25">
        <v>2</v>
      </c>
      <c r="K13" s="29"/>
      <c r="L13" s="35">
        <v>0</v>
      </c>
      <c r="M13" s="58">
        <f t="shared" si="0"/>
        <v>204</v>
      </c>
      <c r="N13" s="22">
        <f t="shared" si="2"/>
        <v>222.51220343923055</v>
      </c>
      <c r="O13" s="59">
        <f t="shared" si="1"/>
        <v>1.0907460952903458</v>
      </c>
    </row>
    <row r="14" spans="2:16" ht="16" x14ac:dyDescent="0.2">
      <c r="B14" s="47">
        <v>20</v>
      </c>
      <c r="C14" s="41">
        <v>1</v>
      </c>
      <c r="D14" s="26">
        <v>5</v>
      </c>
      <c r="E14" s="26">
        <v>2</v>
      </c>
      <c r="F14" s="28"/>
      <c r="G14" s="42">
        <v>1</v>
      </c>
      <c r="H14" s="32">
        <v>1</v>
      </c>
      <c r="I14" s="26">
        <v>5</v>
      </c>
      <c r="J14" s="26">
        <v>2</v>
      </c>
      <c r="K14" s="28"/>
      <c r="L14" s="33">
        <v>0</v>
      </c>
      <c r="M14" s="58">
        <f t="shared" si="0"/>
        <v>204</v>
      </c>
      <c r="N14" s="22">
        <f t="shared" si="2"/>
        <v>211.91638422783859</v>
      </c>
      <c r="O14" s="59">
        <f t="shared" si="1"/>
        <v>1.0388058050384246</v>
      </c>
    </row>
    <row r="15" spans="2:16" ht="16" x14ac:dyDescent="0.2">
      <c r="B15" s="49">
        <v>19</v>
      </c>
      <c r="C15" s="43">
        <v>1</v>
      </c>
      <c r="D15" s="25">
        <v>4</v>
      </c>
      <c r="E15" s="25">
        <v>2</v>
      </c>
      <c r="F15" s="29"/>
      <c r="G15" s="44">
        <v>1</v>
      </c>
      <c r="H15" s="34">
        <v>1</v>
      </c>
      <c r="I15" s="25">
        <v>4</v>
      </c>
      <c r="J15" s="25">
        <v>2</v>
      </c>
      <c r="K15" s="29"/>
      <c r="L15" s="35">
        <v>0</v>
      </c>
      <c r="M15" s="58">
        <f t="shared" si="0"/>
        <v>180</v>
      </c>
      <c r="N15" s="22">
        <f t="shared" si="2"/>
        <v>201.32056501644666</v>
      </c>
      <c r="O15" s="59">
        <f t="shared" si="1"/>
        <v>1.1184475834247036</v>
      </c>
    </row>
    <row r="16" spans="2:16" ht="16" x14ac:dyDescent="0.2">
      <c r="B16" s="47">
        <v>18</v>
      </c>
      <c r="C16" s="41">
        <v>1</v>
      </c>
      <c r="D16" s="26">
        <v>4</v>
      </c>
      <c r="E16" s="26">
        <v>2</v>
      </c>
      <c r="F16" s="28">
        <v>2</v>
      </c>
      <c r="G16" s="42">
        <v>1</v>
      </c>
      <c r="H16" s="32">
        <v>1</v>
      </c>
      <c r="I16" s="26">
        <v>4</v>
      </c>
      <c r="J16" s="26">
        <v>2</v>
      </c>
      <c r="K16" s="28"/>
      <c r="L16" s="33">
        <v>0</v>
      </c>
      <c r="M16" s="58">
        <f t="shared" si="0"/>
        <v>204</v>
      </c>
      <c r="N16" s="22">
        <f t="shared" si="2"/>
        <v>190.72474580505474</v>
      </c>
      <c r="O16" s="59">
        <f t="shared" si="1"/>
        <v>0.93492522453458204</v>
      </c>
    </row>
    <row r="17" spans="2:15" ht="16" x14ac:dyDescent="0.2">
      <c r="B17" s="49">
        <v>17</v>
      </c>
      <c r="C17" s="43">
        <v>1</v>
      </c>
      <c r="D17" s="25">
        <v>4</v>
      </c>
      <c r="E17" s="25">
        <v>2</v>
      </c>
      <c r="F17" s="29"/>
      <c r="G17" s="44">
        <v>1</v>
      </c>
      <c r="H17" s="34">
        <v>1</v>
      </c>
      <c r="I17" s="25">
        <v>4</v>
      </c>
      <c r="J17" s="25">
        <v>2</v>
      </c>
      <c r="K17" s="29"/>
      <c r="L17" s="35">
        <v>0</v>
      </c>
      <c r="M17" s="58">
        <f t="shared" si="0"/>
        <v>180</v>
      </c>
      <c r="N17" s="22">
        <f t="shared" si="2"/>
        <v>180.12892659366281</v>
      </c>
      <c r="O17" s="59">
        <f t="shared" si="1"/>
        <v>1.0007162588536822</v>
      </c>
    </row>
    <row r="18" spans="2:15" ht="16" x14ac:dyDescent="0.2">
      <c r="B18" s="47">
        <v>16</v>
      </c>
      <c r="C18" s="41">
        <v>1</v>
      </c>
      <c r="D18" s="26">
        <v>3</v>
      </c>
      <c r="E18" s="26">
        <v>2</v>
      </c>
      <c r="F18" s="28"/>
      <c r="G18" s="42">
        <v>1</v>
      </c>
      <c r="H18" s="32">
        <v>1</v>
      </c>
      <c r="I18" s="26">
        <v>3</v>
      </c>
      <c r="J18" s="26">
        <v>2</v>
      </c>
      <c r="K18" s="28"/>
      <c r="L18" s="33">
        <v>0</v>
      </c>
      <c r="M18" s="58">
        <f t="shared" si="0"/>
        <v>156</v>
      </c>
      <c r="N18" s="22">
        <f t="shared" si="2"/>
        <v>169.53310738227088</v>
      </c>
      <c r="O18" s="59">
        <f t="shared" si="1"/>
        <v>1.0867506883478903</v>
      </c>
    </row>
    <row r="19" spans="2:15" ht="16" x14ac:dyDescent="0.2">
      <c r="B19" s="49">
        <v>15</v>
      </c>
      <c r="C19" s="43">
        <v>1</v>
      </c>
      <c r="D19" s="25">
        <v>3</v>
      </c>
      <c r="E19" s="25">
        <v>2</v>
      </c>
      <c r="F19" s="29"/>
      <c r="G19" s="44">
        <v>1</v>
      </c>
      <c r="H19" s="34">
        <v>1</v>
      </c>
      <c r="I19" s="25">
        <v>3</v>
      </c>
      <c r="J19" s="25">
        <v>2</v>
      </c>
      <c r="K19" s="29"/>
      <c r="L19" s="35">
        <v>0</v>
      </c>
      <c r="M19" s="58">
        <f t="shared" si="0"/>
        <v>156</v>
      </c>
      <c r="N19" s="22">
        <f t="shared" si="2"/>
        <v>158.93728817087896</v>
      </c>
      <c r="O19" s="59">
        <f t="shared" si="1"/>
        <v>1.0188287703261472</v>
      </c>
    </row>
    <row r="20" spans="2:15" ht="16" x14ac:dyDescent="0.2">
      <c r="B20" s="47">
        <v>14</v>
      </c>
      <c r="C20" s="41">
        <v>1</v>
      </c>
      <c r="D20" s="26">
        <v>3</v>
      </c>
      <c r="E20" s="26">
        <v>2</v>
      </c>
      <c r="F20" s="28"/>
      <c r="G20" s="42">
        <v>1</v>
      </c>
      <c r="H20" s="32">
        <v>1</v>
      </c>
      <c r="I20" s="26">
        <v>3</v>
      </c>
      <c r="J20" s="26">
        <v>2</v>
      </c>
      <c r="K20" s="28"/>
      <c r="L20" s="33">
        <v>0</v>
      </c>
      <c r="M20" s="58">
        <f t="shared" si="0"/>
        <v>156</v>
      </c>
      <c r="N20" s="22">
        <f t="shared" si="2"/>
        <v>148.34146895948703</v>
      </c>
      <c r="O20" s="59">
        <f t="shared" si="1"/>
        <v>0.95090685230440408</v>
      </c>
    </row>
    <row r="21" spans="2:15" ht="16" x14ac:dyDescent="0.2">
      <c r="B21" s="49">
        <v>13</v>
      </c>
      <c r="C21" s="43">
        <v>1</v>
      </c>
      <c r="D21" s="25">
        <v>3</v>
      </c>
      <c r="E21" s="25">
        <v>1</v>
      </c>
      <c r="F21" s="29"/>
      <c r="G21" s="44">
        <v>1</v>
      </c>
      <c r="H21" s="34">
        <v>1</v>
      </c>
      <c r="I21" s="25">
        <v>3</v>
      </c>
      <c r="J21" s="25">
        <v>1</v>
      </c>
      <c r="K21" s="29"/>
      <c r="L21" s="35">
        <v>0</v>
      </c>
      <c r="M21" s="58">
        <f t="shared" si="0"/>
        <v>132</v>
      </c>
      <c r="N21" s="22">
        <f t="shared" si="2"/>
        <v>137.7456497480951</v>
      </c>
      <c r="O21" s="59">
        <f t="shared" si="1"/>
        <v>1.0435276496067811</v>
      </c>
    </row>
    <row r="22" spans="2:15" ht="16" x14ac:dyDescent="0.2">
      <c r="B22" s="47">
        <v>12</v>
      </c>
      <c r="C22" s="41">
        <v>1</v>
      </c>
      <c r="D22" s="26">
        <v>3</v>
      </c>
      <c r="E22" s="26">
        <v>1</v>
      </c>
      <c r="F22" s="28"/>
      <c r="G22" s="42">
        <v>1</v>
      </c>
      <c r="H22" s="32">
        <v>1</v>
      </c>
      <c r="I22" s="26">
        <v>3</v>
      </c>
      <c r="J22" s="26">
        <v>1</v>
      </c>
      <c r="K22" s="28"/>
      <c r="L22" s="33">
        <v>0</v>
      </c>
      <c r="M22" s="58">
        <f t="shared" si="0"/>
        <v>132</v>
      </c>
      <c r="N22" s="22">
        <f t="shared" si="2"/>
        <v>127.14983053670316</v>
      </c>
      <c r="O22" s="59">
        <f t="shared" si="1"/>
        <v>0.96325629194472095</v>
      </c>
    </row>
    <row r="23" spans="2:15" ht="16" x14ac:dyDescent="0.2">
      <c r="B23" s="49">
        <v>11</v>
      </c>
      <c r="C23" s="43">
        <v>1</v>
      </c>
      <c r="D23" s="25">
        <v>2</v>
      </c>
      <c r="E23" s="25">
        <v>1</v>
      </c>
      <c r="F23" s="29"/>
      <c r="G23" s="44">
        <v>1</v>
      </c>
      <c r="H23" s="34">
        <v>1</v>
      </c>
      <c r="I23" s="25">
        <v>2</v>
      </c>
      <c r="J23" s="25">
        <v>1</v>
      </c>
      <c r="K23" s="29"/>
      <c r="L23" s="35">
        <v>0</v>
      </c>
      <c r="M23" s="58">
        <f t="shared" si="0"/>
        <v>108</v>
      </c>
      <c r="N23" s="22">
        <f t="shared" si="2"/>
        <v>116.55401132531124</v>
      </c>
      <c r="O23" s="59">
        <f t="shared" si="1"/>
        <v>1.0792038085676967</v>
      </c>
    </row>
    <row r="24" spans="2:15" ht="16" x14ac:dyDescent="0.2">
      <c r="B24" s="47">
        <v>10</v>
      </c>
      <c r="C24" s="41">
        <v>1</v>
      </c>
      <c r="D24" s="26">
        <v>2</v>
      </c>
      <c r="E24" s="26">
        <v>1</v>
      </c>
      <c r="F24" s="28"/>
      <c r="G24" s="42">
        <v>1</v>
      </c>
      <c r="H24" s="32">
        <v>1</v>
      </c>
      <c r="I24" s="26">
        <v>2</v>
      </c>
      <c r="J24" s="26">
        <v>1</v>
      </c>
      <c r="K24" s="28"/>
      <c r="L24" s="33">
        <v>0</v>
      </c>
      <c r="M24" s="58">
        <f t="shared" si="0"/>
        <v>108</v>
      </c>
      <c r="N24" s="22">
        <f t="shared" si="2"/>
        <v>105.9581921139193</v>
      </c>
      <c r="O24" s="59">
        <f t="shared" si="1"/>
        <v>0.98109437142517864</v>
      </c>
    </row>
    <row r="25" spans="2:15" ht="16" x14ac:dyDescent="0.2">
      <c r="B25" s="49">
        <v>9</v>
      </c>
      <c r="C25" s="43">
        <v>1</v>
      </c>
      <c r="D25" s="25">
        <v>2</v>
      </c>
      <c r="E25" s="25">
        <v>1</v>
      </c>
      <c r="F25" s="29"/>
      <c r="G25" s="44">
        <v>0</v>
      </c>
      <c r="H25" s="34">
        <v>1</v>
      </c>
      <c r="I25" s="25">
        <v>2</v>
      </c>
      <c r="J25" s="25">
        <v>0</v>
      </c>
      <c r="K25" s="29"/>
      <c r="L25" s="35">
        <v>0</v>
      </c>
      <c r="M25" s="58">
        <f t="shared" si="0"/>
        <v>84</v>
      </c>
      <c r="N25" s="22">
        <f t="shared" si="2"/>
        <v>95.362372902527369</v>
      </c>
      <c r="O25" s="59">
        <f t="shared" si="1"/>
        <v>1.1352663440777069</v>
      </c>
    </row>
    <row r="26" spans="2:15" ht="16" x14ac:dyDescent="0.2">
      <c r="B26" s="47">
        <v>8</v>
      </c>
      <c r="C26" s="41">
        <v>1</v>
      </c>
      <c r="D26" s="26">
        <v>2</v>
      </c>
      <c r="E26" s="26">
        <v>1</v>
      </c>
      <c r="F26" s="28"/>
      <c r="G26" s="42">
        <v>0</v>
      </c>
      <c r="H26" s="32">
        <v>1</v>
      </c>
      <c r="I26" s="26">
        <v>2</v>
      </c>
      <c r="J26" s="26">
        <v>0</v>
      </c>
      <c r="K26" s="28"/>
      <c r="L26" s="33">
        <v>0</v>
      </c>
      <c r="M26" s="58">
        <f t="shared" si="0"/>
        <v>84</v>
      </c>
      <c r="N26" s="22">
        <f t="shared" si="2"/>
        <v>84.766553691135442</v>
      </c>
      <c r="O26" s="59">
        <f t="shared" si="1"/>
        <v>1.0091256391801839</v>
      </c>
    </row>
    <row r="27" spans="2:15" ht="16" x14ac:dyDescent="0.2">
      <c r="B27" s="49">
        <v>7</v>
      </c>
      <c r="C27" s="43">
        <v>1</v>
      </c>
      <c r="D27" s="25">
        <v>2</v>
      </c>
      <c r="E27" s="25">
        <v>0</v>
      </c>
      <c r="F27" s="29"/>
      <c r="G27" s="44">
        <v>0</v>
      </c>
      <c r="H27" s="34">
        <v>1</v>
      </c>
      <c r="I27" s="25">
        <v>2</v>
      </c>
      <c r="J27" s="25">
        <v>0</v>
      </c>
      <c r="K27" s="29"/>
      <c r="L27" s="35">
        <v>0</v>
      </c>
      <c r="M27" s="58">
        <f t="shared" si="0"/>
        <v>72</v>
      </c>
      <c r="N27" s="22">
        <f t="shared" si="2"/>
        <v>74.170734479743516</v>
      </c>
      <c r="O27" s="59">
        <f t="shared" si="1"/>
        <v>1.0301490899964376</v>
      </c>
    </row>
    <row r="28" spans="2:15" ht="16" x14ac:dyDescent="0.2">
      <c r="B28" s="47">
        <v>6</v>
      </c>
      <c r="C28" s="41">
        <v>1</v>
      </c>
      <c r="D28" s="26">
        <v>1</v>
      </c>
      <c r="E28" s="26">
        <v>0</v>
      </c>
      <c r="F28" s="28"/>
      <c r="G28" s="42">
        <v>0</v>
      </c>
      <c r="H28" s="32">
        <v>1</v>
      </c>
      <c r="I28" s="26">
        <v>1</v>
      </c>
      <c r="J28" s="26">
        <v>0</v>
      </c>
      <c r="K28" s="28"/>
      <c r="L28" s="33">
        <v>0</v>
      </c>
      <c r="M28" s="58">
        <f t="shared" si="0"/>
        <v>48</v>
      </c>
      <c r="N28" s="22">
        <f t="shared" si="2"/>
        <v>63.574915268351582</v>
      </c>
      <c r="O28" s="59">
        <f t="shared" si="1"/>
        <v>1.3244774014239913</v>
      </c>
    </row>
    <row r="29" spans="2:15" ht="16" x14ac:dyDescent="0.2">
      <c r="B29" s="49">
        <v>5</v>
      </c>
      <c r="C29" s="43">
        <v>1</v>
      </c>
      <c r="D29" s="25">
        <v>1</v>
      </c>
      <c r="E29" s="25">
        <v>0</v>
      </c>
      <c r="F29" s="29"/>
      <c r="G29" s="44">
        <v>0</v>
      </c>
      <c r="H29" s="34">
        <v>1</v>
      </c>
      <c r="I29" s="25">
        <v>1</v>
      </c>
      <c r="J29" s="25">
        <v>0</v>
      </c>
      <c r="K29" s="29"/>
      <c r="L29" s="35">
        <v>0</v>
      </c>
      <c r="M29" s="58">
        <f t="shared" si="0"/>
        <v>48</v>
      </c>
      <c r="N29" s="22">
        <f t="shared" si="2"/>
        <v>52.979096056959648</v>
      </c>
      <c r="O29" s="59">
        <f t="shared" si="1"/>
        <v>1.1037311678533259</v>
      </c>
    </row>
    <row r="30" spans="2:15" ht="16" x14ac:dyDescent="0.2">
      <c r="B30" s="47">
        <v>4</v>
      </c>
      <c r="C30" s="41">
        <v>1</v>
      </c>
      <c r="D30" s="26">
        <v>1</v>
      </c>
      <c r="E30" s="26">
        <v>0</v>
      </c>
      <c r="F30" s="28"/>
      <c r="G30" s="42">
        <v>0</v>
      </c>
      <c r="H30" s="32">
        <v>1</v>
      </c>
      <c r="I30" s="26">
        <v>1</v>
      </c>
      <c r="J30" s="26">
        <v>0</v>
      </c>
      <c r="K30" s="28"/>
      <c r="L30" s="33">
        <v>0</v>
      </c>
      <c r="M30" s="58">
        <f t="shared" si="0"/>
        <v>48</v>
      </c>
      <c r="N30" s="22">
        <f t="shared" si="2"/>
        <v>42.383276845567721</v>
      </c>
      <c r="O30" s="59">
        <f t="shared" si="1"/>
        <v>0.88298493428266089</v>
      </c>
    </row>
    <row r="31" spans="2:15" ht="16" x14ac:dyDescent="0.2">
      <c r="B31" s="49">
        <v>3</v>
      </c>
      <c r="C31" s="43">
        <v>1</v>
      </c>
      <c r="D31" s="25">
        <v>1</v>
      </c>
      <c r="E31" s="25">
        <v>0</v>
      </c>
      <c r="F31" s="29"/>
      <c r="G31" s="44">
        <v>0</v>
      </c>
      <c r="H31" s="34">
        <v>1</v>
      </c>
      <c r="I31" s="25">
        <v>1</v>
      </c>
      <c r="J31" s="25">
        <v>0</v>
      </c>
      <c r="K31" s="29"/>
      <c r="L31" s="35">
        <v>0</v>
      </c>
      <c r="M31" s="58">
        <f t="shared" si="0"/>
        <v>48</v>
      </c>
      <c r="N31" s="22">
        <f t="shared" si="2"/>
        <v>31.787457634175791</v>
      </c>
      <c r="O31" s="59">
        <f t="shared" si="1"/>
        <v>0.66223870071199564</v>
      </c>
    </row>
    <row r="32" spans="2:15" ht="16" x14ac:dyDescent="0.2">
      <c r="B32" s="47">
        <v>2</v>
      </c>
      <c r="C32" s="41">
        <v>1</v>
      </c>
      <c r="D32" s="26">
        <v>1</v>
      </c>
      <c r="E32" s="26">
        <v>0</v>
      </c>
      <c r="F32" s="28"/>
      <c r="G32" s="42">
        <v>0</v>
      </c>
      <c r="H32" s="32">
        <v>1</v>
      </c>
      <c r="I32" s="26">
        <v>1</v>
      </c>
      <c r="J32" s="26">
        <v>0</v>
      </c>
      <c r="K32" s="28"/>
      <c r="L32" s="33">
        <v>0</v>
      </c>
      <c r="M32" s="58">
        <f t="shared" si="0"/>
        <v>48</v>
      </c>
      <c r="N32" s="22">
        <f t="shared" si="2"/>
        <v>21.191638422783861</v>
      </c>
      <c r="O32" s="59">
        <f t="shared" si="1"/>
        <v>0.44149246714133045</v>
      </c>
    </row>
    <row r="33" spans="1:15" ht="17" thickBot="1" x14ac:dyDescent="0.25">
      <c r="B33" s="50">
        <v>1</v>
      </c>
      <c r="C33" s="45">
        <v>1</v>
      </c>
      <c r="D33" s="37">
        <v>1</v>
      </c>
      <c r="E33" s="37">
        <v>0</v>
      </c>
      <c r="F33" s="64"/>
      <c r="G33" s="46">
        <v>0</v>
      </c>
      <c r="H33" s="36">
        <v>1</v>
      </c>
      <c r="I33" s="37">
        <v>1</v>
      </c>
      <c r="J33" s="37">
        <v>0</v>
      </c>
      <c r="K33" s="64"/>
      <c r="L33" s="38">
        <v>0</v>
      </c>
      <c r="M33" s="60">
        <f t="shared" si="0"/>
        <v>48</v>
      </c>
      <c r="N33" s="61">
        <f t="shared" si="2"/>
        <v>10.59581921139193</v>
      </c>
      <c r="O33" s="62">
        <f t="shared" si="1"/>
        <v>0.22074623357066522</v>
      </c>
    </row>
    <row r="34" spans="1:15" ht="16" thickBot="1" x14ac:dyDescent="0.25"/>
    <row r="35" spans="1:15" ht="32" x14ac:dyDescent="0.2">
      <c r="B35" s="11"/>
      <c r="C35" s="12"/>
      <c r="D35" s="13" t="s">
        <v>17</v>
      </c>
      <c r="E35" s="14" t="s">
        <v>18</v>
      </c>
      <c r="F35" s="65"/>
      <c r="I35" t="s">
        <v>24</v>
      </c>
      <c r="J35">
        <f>1243/14</f>
        <v>88.785714285714292</v>
      </c>
    </row>
    <row r="36" spans="1:15" x14ac:dyDescent="0.2">
      <c r="B36" s="96" t="s">
        <v>19</v>
      </c>
      <c r="C36" s="97"/>
      <c r="D36" s="16">
        <v>1.1000000000000001</v>
      </c>
      <c r="E36" s="17"/>
      <c r="F36" s="16"/>
      <c r="J36">
        <f>J35/80</f>
        <v>1.1098214285714287</v>
      </c>
    </row>
    <row r="37" spans="1:15" x14ac:dyDescent="0.2">
      <c r="B37" s="96" t="s">
        <v>20</v>
      </c>
      <c r="C37" s="97"/>
      <c r="D37" s="18">
        <v>1</v>
      </c>
      <c r="E37" s="17">
        <f t="shared" ref="E37:E39" si="3">(D37*2080)/($O$1*365)</f>
        <v>0.2424948994462256</v>
      </c>
      <c r="F37" s="16"/>
    </row>
    <row r="38" spans="1:15" x14ac:dyDescent="0.2">
      <c r="B38" s="96" t="s">
        <v>21</v>
      </c>
      <c r="C38" s="97"/>
      <c r="D38" s="16">
        <f>(327.3/14*26)/2080</f>
        <v>0.29223214285714288</v>
      </c>
      <c r="E38" s="17">
        <f t="shared" si="3"/>
        <v>7.0864804097097889E-2</v>
      </c>
      <c r="F38" s="16"/>
    </row>
    <row r="39" spans="1:15" x14ac:dyDescent="0.2">
      <c r="B39" s="96" t="s">
        <v>22</v>
      </c>
      <c r="C39" s="97"/>
      <c r="D39" s="16">
        <f>(2036/14*26)/2080</f>
        <v>1.8178571428571428</v>
      </c>
      <c r="E39" s="17">
        <f t="shared" si="3"/>
        <v>0.44082108506474577</v>
      </c>
      <c r="F39" s="16"/>
    </row>
    <row r="40" spans="1:15" x14ac:dyDescent="0.2">
      <c r="B40" s="15"/>
      <c r="E40" s="19"/>
    </row>
    <row r="41" spans="1:15" ht="16" thickBot="1" x14ac:dyDescent="0.25">
      <c r="B41" s="98" t="s">
        <v>23</v>
      </c>
      <c r="C41" s="99"/>
      <c r="D41" s="20">
        <f>SUM(D36:D39)</f>
        <v>4.210089285714286</v>
      </c>
      <c r="E41" s="21">
        <f>SUM(E36:E39)</f>
        <v>0.75418078860806925</v>
      </c>
      <c r="F41" s="16"/>
    </row>
    <row r="46" spans="1:15" x14ac:dyDescent="0.2">
      <c r="A46" s="5"/>
      <c r="B46" s="5"/>
      <c r="M46"/>
      <c r="N46"/>
      <c r="O46"/>
    </row>
    <row r="47" spans="1:15" x14ac:dyDescent="0.2">
      <c r="A47" s="5"/>
      <c r="B47" s="5"/>
      <c r="M47"/>
      <c r="N47"/>
      <c r="O47"/>
    </row>
  </sheetData>
  <mergeCells count="10">
    <mergeCell ref="B38:C38"/>
    <mergeCell ref="B39:C39"/>
    <mergeCell ref="B41:C41"/>
    <mergeCell ref="B3:B4"/>
    <mergeCell ref="C3:G3"/>
    <mergeCell ref="H3:L3"/>
    <mergeCell ref="C4:G4"/>
    <mergeCell ref="H4:L4"/>
    <mergeCell ref="B36:C36"/>
    <mergeCell ref="B37:C37"/>
  </mergeCells>
  <conditionalFormatting sqref="O6:O33">
    <cfRule type="cellIs" dxfId="33" priority="1" operator="lessThan">
      <formula>0.9999999</formula>
    </cfRule>
    <cfRule type="cellIs" dxfId="32" priority="2" operator="greaterThan">
      <formula>0.9999999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31DE-E9FD-4D16-8C8B-618C1B90CA5B}">
  <dimension ref="A1:P4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34</v>
      </c>
      <c r="E1" s="7" t="s">
        <v>2</v>
      </c>
      <c r="F1" s="7"/>
      <c r="G1" s="68">
        <v>12.41</v>
      </c>
      <c r="I1" s="7" t="s">
        <v>3</v>
      </c>
      <c r="L1" s="67">
        <f>G1-E36</f>
        <v>11.833888488344147</v>
      </c>
      <c r="M1" s="10"/>
      <c r="N1" s="63" t="s">
        <v>4</v>
      </c>
      <c r="O1" s="69">
        <f>285/14</f>
        <v>20.357142857142858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23</v>
      </c>
      <c r="C6" s="72">
        <v>1</v>
      </c>
      <c r="D6" s="72">
        <v>5</v>
      </c>
      <c r="E6" s="72">
        <v>3</v>
      </c>
      <c r="F6" s="72"/>
      <c r="G6" s="72">
        <v>1</v>
      </c>
      <c r="H6" s="72">
        <v>1</v>
      </c>
      <c r="I6" s="72">
        <v>5</v>
      </c>
      <c r="J6" s="72">
        <v>3</v>
      </c>
      <c r="K6" s="72"/>
      <c r="L6" s="72">
        <v>1</v>
      </c>
      <c r="M6" s="58">
        <f t="shared" ref="M6:M28" si="0">(SUM(C6:L6)*12)</f>
        <v>240</v>
      </c>
      <c r="N6" s="22">
        <f t="shared" ref="N6:N28" si="1">B6*$L$1</f>
        <v>272.17943523191536</v>
      </c>
      <c r="O6" s="59">
        <f t="shared" ref="O6:O28" si="2">N6/M6</f>
        <v>1.1340809801329808</v>
      </c>
    </row>
    <row r="7" spans="2:16" ht="16" x14ac:dyDescent="0.2">
      <c r="B7" s="47">
        <v>22</v>
      </c>
      <c r="C7" s="73">
        <v>1</v>
      </c>
      <c r="D7" s="73">
        <v>5</v>
      </c>
      <c r="E7" s="73">
        <v>3</v>
      </c>
      <c r="F7" s="73"/>
      <c r="G7" s="73">
        <v>1</v>
      </c>
      <c r="H7" s="73">
        <v>1</v>
      </c>
      <c r="I7" s="73">
        <v>5</v>
      </c>
      <c r="J7" s="73">
        <v>3</v>
      </c>
      <c r="K7" s="73"/>
      <c r="L7" s="73">
        <v>1</v>
      </c>
      <c r="M7" s="58">
        <f t="shared" si="0"/>
        <v>240</v>
      </c>
      <c r="N7" s="22">
        <f t="shared" si="1"/>
        <v>260.34554674357122</v>
      </c>
      <c r="O7" s="59">
        <f t="shared" si="2"/>
        <v>1.0847731114315466</v>
      </c>
    </row>
    <row r="8" spans="2:16" ht="16" x14ac:dyDescent="0.2">
      <c r="B8" s="49">
        <v>21</v>
      </c>
      <c r="C8" s="72">
        <v>1</v>
      </c>
      <c r="D8" s="72">
        <v>4</v>
      </c>
      <c r="E8" s="72">
        <v>2</v>
      </c>
      <c r="F8" s="72"/>
      <c r="G8" s="72">
        <v>1</v>
      </c>
      <c r="H8" s="72">
        <v>1</v>
      </c>
      <c r="I8" s="72">
        <v>4</v>
      </c>
      <c r="J8" s="72">
        <v>2</v>
      </c>
      <c r="K8" s="72"/>
      <c r="L8" s="72">
        <v>1</v>
      </c>
      <c r="M8" s="58">
        <f t="shared" si="0"/>
        <v>192</v>
      </c>
      <c r="N8" s="22">
        <f t="shared" si="1"/>
        <v>248.5116582552271</v>
      </c>
      <c r="O8" s="59">
        <f t="shared" si="2"/>
        <v>1.2943315534126412</v>
      </c>
    </row>
    <row r="9" spans="2:16" ht="16" x14ac:dyDescent="0.2">
      <c r="B9" s="47">
        <v>20</v>
      </c>
      <c r="C9" s="73">
        <v>1</v>
      </c>
      <c r="D9" s="73">
        <v>4</v>
      </c>
      <c r="E9" s="73">
        <v>2</v>
      </c>
      <c r="F9" s="73"/>
      <c r="G9" s="73">
        <v>1</v>
      </c>
      <c r="H9" s="73">
        <v>1</v>
      </c>
      <c r="I9" s="73">
        <v>4</v>
      </c>
      <c r="J9" s="73">
        <v>2</v>
      </c>
      <c r="K9" s="73"/>
      <c r="L9" s="73">
        <v>1</v>
      </c>
      <c r="M9" s="58">
        <f t="shared" si="0"/>
        <v>192</v>
      </c>
      <c r="N9" s="22">
        <f t="shared" si="1"/>
        <v>236.67776976688293</v>
      </c>
      <c r="O9" s="59">
        <f t="shared" si="2"/>
        <v>1.2326967175358485</v>
      </c>
    </row>
    <row r="10" spans="2:16" ht="16" x14ac:dyDescent="0.2">
      <c r="B10" s="49">
        <v>19</v>
      </c>
      <c r="C10" s="72">
        <v>1</v>
      </c>
      <c r="D10" s="72">
        <v>4</v>
      </c>
      <c r="E10" s="72">
        <v>2</v>
      </c>
      <c r="F10" s="72"/>
      <c r="G10" s="72">
        <v>1</v>
      </c>
      <c r="H10" s="72">
        <v>1</v>
      </c>
      <c r="I10" s="72">
        <v>4</v>
      </c>
      <c r="J10" s="72">
        <v>2</v>
      </c>
      <c r="K10" s="72"/>
      <c r="L10" s="72">
        <v>1</v>
      </c>
      <c r="M10" s="58">
        <f t="shared" si="0"/>
        <v>192</v>
      </c>
      <c r="N10" s="22">
        <f t="shared" si="1"/>
        <v>224.84388127853879</v>
      </c>
      <c r="O10" s="59">
        <f t="shared" si="2"/>
        <v>1.1710618816590561</v>
      </c>
    </row>
    <row r="11" spans="2:16" ht="16" x14ac:dyDescent="0.2">
      <c r="B11" s="47">
        <v>18</v>
      </c>
      <c r="C11" s="73">
        <v>1</v>
      </c>
      <c r="D11" s="73">
        <v>4</v>
      </c>
      <c r="E11" s="73">
        <v>2</v>
      </c>
      <c r="F11" s="73"/>
      <c r="G11" s="73">
        <v>1</v>
      </c>
      <c r="H11" s="73">
        <v>1</v>
      </c>
      <c r="I11" s="73">
        <v>4</v>
      </c>
      <c r="J11" s="73">
        <v>2</v>
      </c>
      <c r="K11" s="73"/>
      <c r="L11" s="73">
        <v>1</v>
      </c>
      <c r="M11" s="58">
        <f t="shared" si="0"/>
        <v>192</v>
      </c>
      <c r="N11" s="22">
        <f t="shared" si="1"/>
        <v>213.00999279019464</v>
      </c>
      <c r="O11" s="59">
        <f t="shared" si="2"/>
        <v>1.1094270457822637</v>
      </c>
    </row>
    <row r="12" spans="2:16" ht="16" x14ac:dyDescent="0.2">
      <c r="B12" s="49">
        <v>17</v>
      </c>
      <c r="C12" s="72">
        <v>1</v>
      </c>
      <c r="D12" s="72">
        <v>4</v>
      </c>
      <c r="E12" s="72">
        <v>2</v>
      </c>
      <c r="F12" s="72"/>
      <c r="G12" s="72">
        <v>1</v>
      </c>
      <c r="H12" s="72">
        <v>1</v>
      </c>
      <c r="I12" s="72">
        <v>4</v>
      </c>
      <c r="J12" s="72">
        <v>2</v>
      </c>
      <c r="K12" s="72"/>
      <c r="L12" s="72">
        <v>1</v>
      </c>
      <c r="M12" s="58">
        <f t="shared" si="0"/>
        <v>192</v>
      </c>
      <c r="N12" s="22">
        <f t="shared" si="1"/>
        <v>201.1761043018505</v>
      </c>
      <c r="O12" s="59">
        <f t="shared" si="2"/>
        <v>1.0477922099054713</v>
      </c>
    </row>
    <row r="13" spans="2:16" ht="16" x14ac:dyDescent="0.2">
      <c r="B13" s="47">
        <v>16</v>
      </c>
      <c r="C13" s="73">
        <v>1</v>
      </c>
      <c r="D13" s="73">
        <v>3</v>
      </c>
      <c r="E13" s="73">
        <v>2</v>
      </c>
      <c r="F13" s="73"/>
      <c r="G13" s="73">
        <v>1</v>
      </c>
      <c r="H13" s="73">
        <v>1</v>
      </c>
      <c r="I13" s="73">
        <v>3</v>
      </c>
      <c r="J13" s="73">
        <v>2</v>
      </c>
      <c r="K13" s="73"/>
      <c r="L13" s="73">
        <v>1</v>
      </c>
      <c r="M13" s="58">
        <f t="shared" si="0"/>
        <v>168</v>
      </c>
      <c r="N13" s="22">
        <f t="shared" si="1"/>
        <v>189.34221581350636</v>
      </c>
      <c r="O13" s="59">
        <f t="shared" si="2"/>
        <v>1.1270369988899187</v>
      </c>
    </row>
    <row r="14" spans="2:16" ht="16" x14ac:dyDescent="0.2">
      <c r="B14" s="49">
        <v>15</v>
      </c>
      <c r="C14" s="72">
        <v>1</v>
      </c>
      <c r="D14" s="72">
        <v>3</v>
      </c>
      <c r="E14" s="72">
        <v>2</v>
      </c>
      <c r="F14" s="72"/>
      <c r="G14" s="72">
        <v>1</v>
      </c>
      <c r="H14" s="72">
        <v>1</v>
      </c>
      <c r="I14" s="72">
        <v>3</v>
      </c>
      <c r="J14" s="72">
        <v>2</v>
      </c>
      <c r="K14" s="72"/>
      <c r="L14" s="29">
        <v>1</v>
      </c>
      <c r="M14" s="58">
        <f t="shared" si="0"/>
        <v>168</v>
      </c>
      <c r="N14" s="22">
        <f t="shared" si="1"/>
        <v>177.50832732516221</v>
      </c>
      <c r="O14" s="59">
        <f t="shared" si="2"/>
        <v>1.0565971864592989</v>
      </c>
    </row>
    <row r="15" spans="2:16" ht="16" x14ac:dyDescent="0.2">
      <c r="B15" s="47">
        <v>14</v>
      </c>
      <c r="C15" s="73">
        <v>1</v>
      </c>
      <c r="D15" s="73">
        <v>3</v>
      </c>
      <c r="E15" s="73">
        <v>2</v>
      </c>
      <c r="F15" s="73"/>
      <c r="G15" s="73">
        <v>1</v>
      </c>
      <c r="H15" s="73">
        <v>1</v>
      </c>
      <c r="I15" s="73">
        <v>3</v>
      </c>
      <c r="J15" s="73">
        <v>2</v>
      </c>
      <c r="K15" s="73"/>
      <c r="L15" s="28">
        <v>1</v>
      </c>
      <c r="M15" s="58">
        <f t="shared" si="0"/>
        <v>168</v>
      </c>
      <c r="N15" s="22">
        <f t="shared" si="1"/>
        <v>165.67443883681807</v>
      </c>
      <c r="O15" s="59">
        <f t="shared" si="2"/>
        <v>0.98615737402867898</v>
      </c>
    </row>
    <row r="16" spans="2:16" ht="16" x14ac:dyDescent="0.2">
      <c r="B16" s="49">
        <v>13</v>
      </c>
      <c r="C16" s="72">
        <v>1</v>
      </c>
      <c r="D16" s="72">
        <v>3</v>
      </c>
      <c r="E16" s="72">
        <v>1</v>
      </c>
      <c r="F16" s="72"/>
      <c r="G16" s="72">
        <v>0</v>
      </c>
      <c r="H16" s="72">
        <v>1</v>
      </c>
      <c r="I16" s="72">
        <v>3</v>
      </c>
      <c r="J16" s="72">
        <v>1</v>
      </c>
      <c r="K16" s="72"/>
      <c r="L16" s="72">
        <v>0</v>
      </c>
      <c r="M16" s="58">
        <f t="shared" si="0"/>
        <v>120</v>
      </c>
      <c r="N16" s="22">
        <f t="shared" si="1"/>
        <v>153.84055034847393</v>
      </c>
      <c r="O16" s="59">
        <f t="shared" si="2"/>
        <v>1.2820045862372826</v>
      </c>
    </row>
    <row r="17" spans="2:15" ht="16" x14ac:dyDescent="0.2">
      <c r="B17" s="47">
        <v>12</v>
      </c>
      <c r="C17" s="73">
        <v>1</v>
      </c>
      <c r="D17" s="73">
        <v>3</v>
      </c>
      <c r="E17" s="73">
        <v>1</v>
      </c>
      <c r="F17" s="73"/>
      <c r="G17" s="73">
        <v>0</v>
      </c>
      <c r="H17" s="73">
        <v>1</v>
      </c>
      <c r="I17" s="73">
        <v>3</v>
      </c>
      <c r="J17" s="73">
        <v>1</v>
      </c>
      <c r="K17" s="73"/>
      <c r="L17" s="73">
        <v>0</v>
      </c>
      <c r="M17" s="58">
        <f t="shared" si="0"/>
        <v>120</v>
      </c>
      <c r="N17" s="22">
        <f t="shared" si="1"/>
        <v>142.00666186012978</v>
      </c>
      <c r="O17" s="59">
        <f t="shared" si="2"/>
        <v>1.1833888488344149</v>
      </c>
    </row>
    <row r="18" spans="2:15" ht="16" x14ac:dyDescent="0.2">
      <c r="B18" s="49">
        <v>11</v>
      </c>
      <c r="C18" s="72">
        <v>1</v>
      </c>
      <c r="D18" s="72">
        <v>2</v>
      </c>
      <c r="E18" s="72">
        <v>0</v>
      </c>
      <c r="F18" s="72"/>
      <c r="G18" s="72">
        <v>0</v>
      </c>
      <c r="H18" s="72">
        <v>1</v>
      </c>
      <c r="I18" s="72">
        <v>2</v>
      </c>
      <c r="J18" s="72">
        <v>0</v>
      </c>
      <c r="K18" s="72"/>
      <c r="L18" s="72">
        <v>0</v>
      </c>
      <c r="M18" s="58">
        <f t="shared" si="0"/>
        <v>72</v>
      </c>
      <c r="N18" s="22">
        <f t="shared" si="1"/>
        <v>130.17277337178561</v>
      </c>
      <c r="O18" s="59">
        <f t="shared" si="2"/>
        <v>1.8079551857192446</v>
      </c>
    </row>
    <row r="19" spans="2:15" ht="16" x14ac:dyDescent="0.2">
      <c r="B19" s="47">
        <v>10</v>
      </c>
      <c r="C19" s="73">
        <v>1</v>
      </c>
      <c r="D19" s="73">
        <v>2</v>
      </c>
      <c r="E19" s="73">
        <v>0</v>
      </c>
      <c r="F19" s="73"/>
      <c r="G19" s="73">
        <v>0</v>
      </c>
      <c r="H19" s="73">
        <v>1</v>
      </c>
      <c r="I19" s="73">
        <v>2</v>
      </c>
      <c r="J19" s="73">
        <v>0</v>
      </c>
      <c r="K19" s="73"/>
      <c r="L19" s="73">
        <v>0</v>
      </c>
      <c r="M19" s="58">
        <f t="shared" si="0"/>
        <v>72</v>
      </c>
      <c r="N19" s="22">
        <f t="shared" si="1"/>
        <v>118.33888488344147</v>
      </c>
      <c r="O19" s="59">
        <f t="shared" si="2"/>
        <v>1.6435956233811315</v>
      </c>
    </row>
    <row r="20" spans="2:15" ht="16" x14ac:dyDescent="0.2">
      <c r="B20" s="49">
        <v>9</v>
      </c>
      <c r="C20" s="72">
        <v>1</v>
      </c>
      <c r="D20" s="72">
        <v>2</v>
      </c>
      <c r="E20" s="72">
        <v>0</v>
      </c>
      <c r="F20" s="72"/>
      <c r="G20" s="72">
        <v>0</v>
      </c>
      <c r="H20" s="72">
        <v>1</v>
      </c>
      <c r="I20" s="72">
        <v>2</v>
      </c>
      <c r="J20" s="72">
        <v>0</v>
      </c>
      <c r="K20" s="72"/>
      <c r="L20" s="72">
        <v>0</v>
      </c>
      <c r="M20" s="58">
        <f t="shared" si="0"/>
        <v>72</v>
      </c>
      <c r="N20" s="22">
        <f t="shared" si="1"/>
        <v>106.50499639509732</v>
      </c>
      <c r="O20" s="59">
        <f t="shared" si="2"/>
        <v>1.4792360610430184</v>
      </c>
    </row>
    <row r="21" spans="2:15" ht="16" x14ac:dyDescent="0.2">
      <c r="B21" s="47">
        <v>8</v>
      </c>
      <c r="C21" s="73">
        <v>1</v>
      </c>
      <c r="D21" s="73">
        <v>2</v>
      </c>
      <c r="E21" s="73">
        <v>0</v>
      </c>
      <c r="F21" s="73"/>
      <c r="G21" s="73">
        <v>0</v>
      </c>
      <c r="H21" s="73">
        <v>1</v>
      </c>
      <c r="I21" s="73">
        <v>2</v>
      </c>
      <c r="J21" s="73">
        <v>0</v>
      </c>
      <c r="K21" s="73"/>
      <c r="L21" s="73">
        <v>0</v>
      </c>
      <c r="M21" s="58">
        <f t="shared" si="0"/>
        <v>72</v>
      </c>
      <c r="N21" s="22">
        <f t="shared" si="1"/>
        <v>94.671107906753178</v>
      </c>
      <c r="O21" s="59">
        <f t="shared" si="2"/>
        <v>1.3148764987049053</v>
      </c>
    </row>
    <row r="22" spans="2:15" ht="16" x14ac:dyDescent="0.2">
      <c r="B22" s="49">
        <v>7</v>
      </c>
      <c r="C22" s="72">
        <v>1</v>
      </c>
      <c r="D22" s="72">
        <v>2</v>
      </c>
      <c r="E22" s="72">
        <v>0</v>
      </c>
      <c r="F22" s="72"/>
      <c r="G22" s="72">
        <v>0</v>
      </c>
      <c r="H22" s="72">
        <v>1</v>
      </c>
      <c r="I22" s="72">
        <v>2</v>
      </c>
      <c r="J22" s="72">
        <v>0</v>
      </c>
      <c r="K22" s="72"/>
      <c r="L22" s="72">
        <v>0</v>
      </c>
      <c r="M22" s="58">
        <f t="shared" si="0"/>
        <v>72</v>
      </c>
      <c r="N22" s="22">
        <f t="shared" si="1"/>
        <v>82.837219418409035</v>
      </c>
      <c r="O22" s="59">
        <f t="shared" si="2"/>
        <v>1.1505169363667922</v>
      </c>
    </row>
    <row r="23" spans="2:15" ht="16" x14ac:dyDescent="0.2">
      <c r="B23" s="47">
        <v>6</v>
      </c>
      <c r="C23" s="73">
        <v>1</v>
      </c>
      <c r="D23" s="73">
        <v>2</v>
      </c>
      <c r="E23" s="73">
        <v>0</v>
      </c>
      <c r="F23" s="73"/>
      <c r="G23" s="73">
        <v>0</v>
      </c>
      <c r="H23" s="73">
        <v>1</v>
      </c>
      <c r="I23" s="73">
        <v>2</v>
      </c>
      <c r="J23" s="73">
        <v>0</v>
      </c>
      <c r="K23" s="73"/>
      <c r="L23" s="73">
        <v>0</v>
      </c>
      <c r="M23" s="58">
        <f t="shared" si="0"/>
        <v>72</v>
      </c>
      <c r="N23" s="22">
        <f t="shared" si="1"/>
        <v>71.003330930064891</v>
      </c>
      <c r="O23" s="59">
        <f t="shared" si="2"/>
        <v>0.98615737402867909</v>
      </c>
    </row>
    <row r="24" spans="2:15" ht="16" x14ac:dyDescent="0.2">
      <c r="B24" s="49">
        <v>5</v>
      </c>
      <c r="C24" s="72">
        <v>1</v>
      </c>
      <c r="D24" s="72">
        <v>1</v>
      </c>
      <c r="E24" s="72">
        <v>0</v>
      </c>
      <c r="F24" s="72"/>
      <c r="G24" s="72">
        <v>0</v>
      </c>
      <c r="H24" s="72">
        <v>1</v>
      </c>
      <c r="I24" s="72">
        <v>1</v>
      </c>
      <c r="J24" s="72">
        <v>0</v>
      </c>
      <c r="K24" s="72"/>
      <c r="L24" s="72">
        <v>0</v>
      </c>
      <c r="M24" s="58">
        <f t="shared" si="0"/>
        <v>48</v>
      </c>
      <c r="N24" s="22">
        <f t="shared" si="1"/>
        <v>59.169442441720733</v>
      </c>
      <c r="O24" s="59">
        <f t="shared" si="2"/>
        <v>1.2326967175358485</v>
      </c>
    </row>
    <row r="25" spans="2:15" ht="16" x14ac:dyDescent="0.2">
      <c r="B25" s="47">
        <v>4</v>
      </c>
      <c r="C25" s="73">
        <v>1</v>
      </c>
      <c r="D25" s="73">
        <v>1</v>
      </c>
      <c r="E25" s="73">
        <v>0</v>
      </c>
      <c r="F25" s="73"/>
      <c r="G25" s="73">
        <v>0</v>
      </c>
      <c r="H25" s="73">
        <v>1</v>
      </c>
      <c r="I25" s="73">
        <v>1</v>
      </c>
      <c r="J25" s="73">
        <v>0</v>
      </c>
      <c r="K25" s="73"/>
      <c r="L25" s="73">
        <v>0</v>
      </c>
      <c r="M25" s="58">
        <f t="shared" si="0"/>
        <v>48</v>
      </c>
      <c r="N25" s="22">
        <f t="shared" si="1"/>
        <v>47.335553953376589</v>
      </c>
      <c r="O25" s="59">
        <f t="shared" si="2"/>
        <v>0.98615737402867898</v>
      </c>
    </row>
    <row r="26" spans="2:15" ht="16" x14ac:dyDescent="0.2">
      <c r="B26" s="49">
        <v>3</v>
      </c>
      <c r="C26" s="72">
        <v>1</v>
      </c>
      <c r="D26" s="72">
        <v>1</v>
      </c>
      <c r="E26" s="72">
        <v>0</v>
      </c>
      <c r="F26" s="72"/>
      <c r="G26" s="72">
        <v>0</v>
      </c>
      <c r="H26" s="72">
        <v>1</v>
      </c>
      <c r="I26" s="72">
        <v>1</v>
      </c>
      <c r="J26" s="72">
        <v>0</v>
      </c>
      <c r="K26" s="72"/>
      <c r="L26" s="72">
        <v>0</v>
      </c>
      <c r="M26" s="58">
        <f t="shared" si="0"/>
        <v>48</v>
      </c>
      <c r="N26" s="22">
        <f t="shared" si="1"/>
        <v>35.501665465032445</v>
      </c>
      <c r="O26" s="59">
        <f t="shared" si="2"/>
        <v>0.73961803052150932</v>
      </c>
    </row>
    <row r="27" spans="2:15" ht="16" x14ac:dyDescent="0.2">
      <c r="B27" s="47">
        <v>2</v>
      </c>
      <c r="C27" s="73">
        <v>1</v>
      </c>
      <c r="D27" s="73">
        <v>1</v>
      </c>
      <c r="E27" s="73">
        <v>0</v>
      </c>
      <c r="F27" s="73"/>
      <c r="G27" s="73">
        <v>0</v>
      </c>
      <c r="H27" s="73">
        <v>1</v>
      </c>
      <c r="I27" s="73">
        <v>1</v>
      </c>
      <c r="J27" s="73">
        <v>0</v>
      </c>
      <c r="K27" s="73"/>
      <c r="L27" s="73">
        <v>0</v>
      </c>
      <c r="M27" s="58">
        <f t="shared" si="0"/>
        <v>48</v>
      </c>
      <c r="N27" s="22">
        <f t="shared" si="1"/>
        <v>23.667776976688295</v>
      </c>
      <c r="O27" s="59">
        <f t="shared" si="2"/>
        <v>0.49307868701433949</v>
      </c>
    </row>
    <row r="28" spans="2:15" ht="17" thickBot="1" x14ac:dyDescent="0.25">
      <c r="B28" s="50">
        <v>1</v>
      </c>
      <c r="C28" s="74">
        <v>1</v>
      </c>
      <c r="D28" s="74">
        <v>1</v>
      </c>
      <c r="E28" s="74">
        <v>0</v>
      </c>
      <c r="F28" s="74"/>
      <c r="G28" s="74">
        <v>0</v>
      </c>
      <c r="H28" s="74">
        <v>1</v>
      </c>
      <c r="I28" s="74">
        <v>1</v>
      </c>
      <c r="J28" s="74">
        <v>0</v>
      </c>
      <c r="K28" s="74"/>
      <c r="L28" s="74">
        <v>0</v>
      </c>
      <c r="M28" s="60">
        <f t="shared" si="0"/>
        <v>48</v>
      </c>
      <c r="N28" s="61">
        <f t="shared" si="1"/>
        <v>11.833888488344147</v>
      </c>
      <c r="O28" s="62">
        <f t="shared" si="2"/>
        <v>0.24653934350716974</v>
      </c>
    </row>
    <row r="29" spans="2:15" ht="16" thickBot="1" x14ac:dyDescent="0.25"/>
    <row r="30" spans="2:15" ht="32" x14ac:dyDescent="0.2">
      <c r="B30" s="11"/>
      <c r="C30" s="12"/>
      <c r="D30" s="13" t="s">
        <v>17</v>
      </c>
      <c r="E30" s="14" t="s">
        <v>18</v>
      </c>
      <c r="F30" s="65"/>
    </row>
    <row r="31" spans="2:15" x14ac:dyDescent="0.2">
      <c r="B31" s="96" t="s">
        <v>19</v>
      </c>
      <c r="C31" s="97"/>
      <c r="D31" s="16"/>
      <c r="E31" s="17">
        <f>(D31*2080)/($O$1*365)</f>
        <v>0</v>
      </c>
      <c r="F31" s="16"/>
    </row>
    <row r="32" spans="2:15" x14ac:dyDescent="0.2">
      <c r="B32" s="96" t="s">
        <v>20</v>
      </c>
      <c r="C32" s="97"/>
      <c r="D32" s="18">
        <v>1</v>
      </c>
      <c r="E32" s="17">
        <f t="shared" ref="E32:E34" si="3">(D32*2080)/($O$1*365)</f>
        <v>0.27993270848353763</v>
      </c>
      <c r="F32" s="16"/>
    </row>
    <row r="33" spans="1:15" x14ac:dyDescent="0.2">
      <c r="B33" s="96" t="s">
        <v>21</v>
      </c>
      <c r="C33" s="97"/>
      <c r="D33" s="16">
        <f>(173/14*26)/2080</f>
        <v>0.15446428571428572</v>
      </c>
      <c r="E33" s="17">
        <f t="shared" si="3"/>
        <v>4.3239605863975003E-2</v>
      </c>
      <c r="F33" s="16"/>
    </row>
    <row r="34" spans="1:15" x14ac:dyDescent="0.2">
      <c r="B34" s="96" t="s">
        <v>22</v>
      </c>
      <c r="C34" s="97"/>
      <c r="D34" s="16">
        <f>(1012/14*26)/2080</f>
        <v>0.90357142857142858</v>
      </c>
      <c r="E34" s="17">
        <f t="shared" si="3"/>
        <v>0.25293919730833936</v>
      </c>
      <c r="F34" s="16"/>
    </row>
    <row r="35" spans="1:15" x14ac:dyDescent="0.2">
      <c r="B35" s="15"/>
      <c r="E35" s="19"/>
    </row>
    <row r="36" spans="1:15" ht="16" thickBot="1" x14ac:dyDescent="0.25">
      <c r="B36" s="98" t="s">
        <v>23</v>
      </c>
      <c r="C36" s="99"/>
      <c r="D36" s="20">
        <f>SUM(D31:D34)</f>
        <v>2.0580357142857144</v>
      </c>
      <c r="E36" s="21">
        <f>SUM(E31:E34)</f>
        <v>0.57611151165585195</v>
      </c>
      <c r="F36" s="16"/>
    </row>
    <row r="41" spans="1:15" x14ac:dyDescent="0.2">
      <c r="A41" s="5"/>
      <c r="B41" s="5"/>
      <c r="M41"/>
      <c r="N41"/>
      <c r="O41"/>
    </row>
    <row r="42" spans="1:15" x14ac:dyDescent="0.2">
      <c r="A42" s="5"/>
      <c r="B42" s="5"/>
      <c r="M42"/>
      <c r="N42"/>
      <c r="O42"/>
    </row>
  </sheetData>
  <mergeCells count="10">
    <mergeCell ref="H3:L3"/>
    <mergeCell ref="C4:G4"/>
    <mergeCell ref="H4:L4"/>
    <mergeCell ref="B31:C31"/>
    <mergeCell ref="B32:C32"/>
    <mergeCell ref="B33:C33"/>
    <mergeCell ref="B34:C34"/>
    <mergeCell ref="B36:C36"/>
    <mergeCell ref="B3:B4"/>
    <mergeCell ref="C3:G3"/>
  </mergeCells>
  <conditionalFormatting sqref="O6:O28">
    <cfRule type="cellIs" dxfId="15" priority="1" operator="lessThan">
      <formula>0.9999999</formula>
    </cfRule>
    <cfRule type="cellIs" dxfId="14" priority="2" operator="greaterThan">
      <formula>0.9999999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4E6C-F311-4ADD-AB81-03A858217153}">
  <dimension ref="A1:P3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35</v>
      </c>
      <c r="E1" s="7" t="s">
        <v>2</v>
      </c>
      <c r="F1" s="7"/>
      <c r="G1" s="68">
        <v>12.41</v>
      </c>
      <c r="I1" s="7" t="s">
        <v>3</v>
      </c>
      <c r="L1" s="67">
        <f>G1-E29</f>
        <v>11.481137463368091</v>
      </c>
      <c r="M1" s="10"/>
      <c r="N1" s="63" t="s">
        <v>4</v>
      </c>
      <c r="O1" s="69">
        <f>201/14</f>
        <v>14.357142857142858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16</v>
      </c>
      <c r="C6" s="73">
        <v>1</v>
      </c>
      <c r="D6" s="73">
        <v>4</v>
      </c>
      <c r="E6" s="73">
        <v>2</v>
      </c>
      <c r="F6" s="73"/>
      <c r="G6" s="73">
        <v>1</v>
      </c>
      <c r="H6" s="73">
        <v>1</v>
      </c>
      <c r="I6" s="73">
        <v>4</v>
      </c>
      <c r="J6" s="73">
        <v>2</v>
      </c>
      <c r="K6" s="73"/>
      <c r="L6" s="73">
        <v>1</v>
      </c>
      <c r="M6" s="58">
        <f t="shared" ref="M6:M21" si="0">(SUM(C6:L6)*12)</f>
        <v>192</v>
      </c>
      <c r="N6" s="22">
        <f t="shared" ref="N6:N21" si="1">B6*$L$1</f>
        <v>183.69819941388945</v>
      </c>
      <c r="O6" s="59">
        <f t="shared" ref="O6:O21" si="2">N6/M6</f>
        <v>0.95676145528067424</v>
      </c>
    </row>
    <row r="7" spans="2:16" ht="16" x14ac:dyDescent="0.2">
      <c r="B7" s="49">
        <v>15</v>
      </c>
      <c r="C7" s="72">
        <v>1</v>
      </c>
      <c r="D7" s="72">
        <v>4</v>
      </c>
      <c r="E7" s="72">
        <v>2</v>
      </c>
      <c r="F7" s="72"/>
      <c r="G7" s="72">
        <v>1</v>
      </c>
      <c r="H7" s="72">
        <v>1</v>
      </c>
      <c r="I7" s="72">
        <v>4</v>
      </c>
      <c r="J7" s="72">
        <v>2</v>
      </c>
      <c r="K7" s="72"/>
      <c r="L7" s="29">
        <v>0</v>
      </c>
      <c r="M7" s="58">
        <f t="shared" si="0"/>
        <v>180</v>
      </c>
      <c r="N7" s="22">
        <f t="shared" si="1"/>
        <v>172.21706195052136</v>
      </c>
      <c r="O7" s="59">
        <f t="shared" si="2"/>
        <v>0.95676145528067424</v>
      </c>
    </row>
    <row r="8" spans="2:16" ht="16" x14ac:dyDescent="0.2">
      <c r="B8" s="47">
        <v>14</v>
      </c>
      <c r="C8" s="73">
        <v>1</v>
      </c>
      <c r="D8" s="73">
        <v>3</v>
      </c>
      <c r="E8" s="73">
        <v>2</v>
      </c>
      <c r="F8" s="73"/>
      <c r="G8" s="73">
        <v>1</v>
      </c>
      <c r="H8" s="73">
        <v>1</v>
      </c>
      <c r="I8" s="73">
        <v>3</v>
      </c>
      <c r="J8" s="73">
        <v>2</v>
      </c>
      <c r="K8" s="73"/>
      <c r="L8" s="28">
        <v>0</v>
      </c>
      <c r="M8" s="58">
        <f t="shared" si="0"/>
        <v>156</v>
      </c>
      <c r="N8" s="22">
        <f t="shared" si="1"/>
        <v>160.73592448715328</v>
      </c>
      <c r="O8" s="59">
        <f t="shared" si="2"/>
        <v>1.0303584903022647</v>
      </c>
    </row>
    <row r="9" spans="2:16" ht="16" x14ac:dyDescent="0.2">
      <c r="B9" s="49">
        <v>13</v>
      </c>
      <c r="C9" s="72">
        <v>1</v>
      </c>
      <c r="D9" s="72">
        <v>3</v>
      </c>
      <c r="E9" s="72">
        <v>2</v>
      </c>
      <c r="F9" s="72"/>
      <c r="G9" s="72">
        <v>0</v>
      </c>
      <c r="H9" s="72">
        <v>1</v>
      </c>
      <c r="I9" s="72">
        <v>3</v>
      </c>
      <c r="J9" s="72">
        <v>2</v>
      </c>
      <c r="K9" s="72"/>
      <c r="L9" s="72">
        <v>0</v>
      </c>
      <c r="M9" s="58">
        <f t="shared" si="0"/>
        <v>144</v>
      </c>
      <c r="N9" s="22">
        <f t="shared" si="1"/>
        <v>149.25478702378518</v>
      </c>
      <c r="O9" s="59">
        <f t="shared" si="2"/>
        <v>1.0364915765540639</v>
      </c>
    </row>
    <row r="10" spans="2:16" ht="16" x14ac:dyDescent="0.2">
      <c r="B10" s="47">
        <v>12</v>
      </c>
      <c r="C10" s="73">
        <v>1</v>
      </c>
      <c r="D10" s="73">
        <v>3</v>
      </c>
      <c r="E10" s="73">
        <v>1</v>
      </c>
      <c r="F10" s="73"/>
      <c r="G10" s="73">
        <v>0</v>
      </c>
      <c r="H10" s="73">
        <v>1</v>
      </c>
      <c r="I10" s="73">
        <v>3</v>
      </c>
      <c r="J10" s="73">
        <v>1</v>
      </c>
      <c r="K10" s="73"/>
      <c r="L10" s="73">
        <v>0</v>
      </c>
      <c r="M10" s="58">
        <f t="shared" si="0"/>
        <v>120</v>
      </c>
      <c r="N10" s="22">
        <f t="shared" si="1"/>
        <v>137.77364956041708</v>
      </c>
      <c r="O10" s="59">
        <f t="shared" si="2"/>
        <v>1.148113746336809</v>
      </c>
    </row>
    <row r="11" spans="2:16" ht="16" x14ac:dyDescent="0.2">
      <c r="B11" s="49">
        <v>11</v>
      </c>
      <c r="C11" s="72">
        <v>1</v>
      </c>
      <c r="D11" s="72">
        <v>3</v>
      </c>
      <c r="E11" s="72">
        <v>1</v>
      </c>
      <c r="F11" s="72"/>
      <c r="G11" s="72">
        <v>0</v>
      </c>
      <c r="H11" s="72">
        <v>1</v>
      </c>
      <c r="I11" s="72">
        <v>3</v>
      </c>
      <c r="J11" s="72">
        <v>1</v>
      </c>
      <c r="K11" s="72"/>
      <c r="L11" s="72">
        <v>0</v>
      </c>
      <c r="M11" s="58">
        <f t="shared" si="0"/>
        <v>120</v>
      </c>
      <c r="N11" s="22">
        <f t="shared" si="1"/>
        <v>126.292512097049</v>
      </c>
      <c r="O11" s="59">
        <f t="shared" si="2"/>
        <v>1.0524376008087417</v>
      </c>
    </row>
    <row r="12" spans="2:16" ht="16" x14ac:dyDescent="0.2">
      <c r="B12" s="47">
        <v>10</v>
      </c>
      <c r="C12" s="73">
        <v>1</v>
      </c>
      <c r="D12" s="73">
        <v>2</v>
      </c>
      <c r="E12" s="73">
        <v>1</v>
      </c>
      <c r="F12" s="73"/>
      <c r="G12" s="73">
        <v>0</v>
      </c>
      <c r="H12" s="73">
        <v>1</v>
      </c>
      <c r="I12" s="73">
        <v>2</v>
      </c>
      <c r="J12" s="73">
        <v>1</v>
      </c>
      <c r="K12" s="73"/>
      <c r="L12" s="73">
        <v>0</v>
      </c>
      <c r="M12" s="58">
        <f t="shared" si="0"/>
        <v>96</v>
      </c>
      <c r="N12" s="22">
        <f t="shared" si="1"/>
        <v>114.81137463368091</v>
      </c>
      <c r="O12" s="59">
        <f t="shared" si="2"/>
        <v>1.1959518191008429</v>
      </c>
    </row>
    <row r="13" spans="2:16" ht="16" x14ac:dyDescent="0.2">
      <c r="B13" s="49">
        <v>9</v>
      </c>
      <c r="C13" s="72">
        <v>1</v>
      </c>
      <c r="D13" s="72">
        <v>2</v>
      </c>
      <c r="E13" s="72">
        <v>1</v>
      </c>
      <c r="F13" s="72"/>
      <c r="G13" s="72">
        <v>0</v>
      </c>
      <c r="H13" s="72">
        <v>1</v>
      </c>
      <c r="I13" s="72">
        <v>2</v>
      </c>
      <c r="J13" s="72">
        <v>1</v>
      </c>
      <c r="K13" s="72"/>
      <c r="L13" s="72">
        <v>0</v>
      </c>
      <c r="M13" s="58">
        <f t="shared" si="0"/>
        <v>96</v>
      </c>
      <c r="N13" s="22">
        <f t="shared" si="1"/>
        <v>103.33023717031281</v>
      </c>
      <c r="O13" s="59">
        <f t="shared" si="2"/>
        <v>1.0763566371907585</v>
      </c>
    </row>
    <row r="14" spans="2:16" ht="16" x14ac:dyDescent="0.2">
      <c r="B14" s="47">
        <v>8</v>
      </c>
      <c r="C14" s="73">
        <v>1</v>
      </c>
      <c r="D14" s="73">
        <v>2</v>
      </c>
      <c r="E14" s="73">
        <v>1</v>
      </c>
      <c r="F14" s="73"/>
      <c r="G14" s="73">
        <v>0</v>
      </c>
      <c r="H14" s="73">
        <v>1</v>
      </c>
      <c r="I14" s="73">
        <v>2</v>
      </c>
      <c r="J14" s="73">
        <v>0</v>
      </c>
      <c r="K14" s="73"/>
      <c r="L14" s="73">
        <v>0</v>
      </c>
      <c r="M14" s="58">
        <f t="shared" si="0"/>
        <v>84</v>
      </c>
      <c r="N14" s="22">
        <f t="shared" si="1"/>
        <v>91.849099706944727</v>
      </c>
      <c r="O14" s="59">
        <f t="shared" si="2"/>
        <v>1.0934416631779134</v>
      </c>
    </row>
    <row r="15" spans="2:16" ht="16" x14ac:dyDescent="0.2">
      <c r="B15" s="49">
        <v>7</v>
      </c>
      <c r="C15" s="72">
        <v>1</v>
      </c>
      <c r="D15" s="72">
        <v>2</v>
      </c>
      <c r="E15" s="72">
        <v>0</v>
      </c>
      <c r="F15" s="72"/>
      <c r="G15" s="72">
        <v>0</v>
      </c>
      <c r="H15" s="72">
        <v>1</v>
      </c>
      <c r="I15" s="72">
        <v>2</v>
      </c>
      <c r="J15" s="72">
        <v>0</v>
      </c>
      <c r="K15" s="72"/>
      <c r="L15" s="72">
        <v>0</v>
      </c>
      <c r="M15" s="58">
        <f t="shared" si="0"/>
        <v>72</v>
      </c>
      <c r="N15" s="22">
        <f t="shared" si="1"/>
        <v>80.367962243576642</v>
      </c>
      <c r="O15" s="59">
        <f t="shared" si="2"/>
        <v>1.1162216978274533</v>
      </c>
    </row>
    <row r="16" spans="2:16" ht="16" x14ac:dyDescent="0.2">
      <c r="B16" s="47">
        <v>6</v>
      </c>
      <c r="C16" s="73">
        <v>1</v>
      </c>
      <c r="D16" s="73">
        <v>2</v>
      </c>
      <c r="E16" s="73">
        <v>0</v>
      </c>
      <c r="F16" s="73"/>
      <c r="G16" s="73">
        <v>0</v>
      </c>
      <c r="H16" s="73">
        <v>1</v>
      </c>
      <c r="I16" s="73">
        <v>2</v>
      </c>
      <c r="J16" s="73">
        <v>0</v>
      </c>
      <c r="K16" s="73"/>
      <c r="L16" s="73">
        <v>0</v>
      </c>
      <c r="M16" s="58">
        <f t="shared" si="0"/>
        <v>72</v>
      </c>
      <c r="N16" s="22">
        <f t="shared" si="1"/>
        <v>68.886824780208542</v>
      </c>
      <c r="O16" s="59">
        <f t="shared" si="2"/>
        <v>0.95676145528067424</v>
      </c>
    </row>
    <row r="17" spans="2:15" ht="16" x14ac:dyDescent="0.2">
      <c r="B17" s="49">
        <v>5</v>
      </c>
      <c r="C17" s="72">
        <v>1</v>
      </c>
      <c r="D17" s="72">
        <v>1</v>
      </c>
      <c r="E17" s="72">
        <v>0</v>
      </c>
      <c r="F17" s="72"/>
      <c r="G17" s="72">
        <v>0</v>
      </c>
      <c r="H17" s="72">
        <v>1</v>
      </c>
      <c r="I17" s="72">
        <v>1</v>
      </c>
      <c r="J17" s="72">
        <v>0</v>
      </c>
      <c r="K17" s="72"/>
      <c r="L17" s="72">
        <v>0</v>
      </c>
      <c r="M17" s="58">
        <f t="shared" si="0"/>
        <v>48</v>
      </c>
      <c r="N17" s="22">
        <f t="shared" si="1"/>
        <v>57.405687316840456</v>
      </c>
      <c r="O17" s="59">
        <f t="shared" si="2"/>
        <v>1.1959518191008429</v>
      </c>
    </row>
    <row r="18" spans="2:15" ht="16" x14ac:dyDescent="0.2">
      <c r="B18" s="47">
        <v>4</v>
      </c>
      <c r="C18" s="73">
        <v>1</v>
      </c>
      <c r="D18" s="73">
        <v>1</v>
      </c>
      <c r="E18" s="73">
        <v>0</v>
      </c>
      <c r="F18" s="73"/>
      <c r="G18" s="73">
        <v>0</v>
      </c>
      <c r="H18" s="73">
        <v>1</v>
      </c>
      <c r="I18" s="73">
        <v>1</v>
      </c>
      <c r="J18" s="73">
        <v>0</v>
      </c>
      <c r="K18" s="73"/>
      <c r="L18" s="73">
        <v>0</v>
      </c>
      <c r="M18" s="58">
        <f t="shared" si="0"/>
        <v>48</v>
      </c>
      <c r="N18" s="22">
        <f t="shared" si="1"/>
        <v>45.924549853472364</v>
      </c>
      <c r="O18" s="59">
        <f t="shared" si="2"/>
        <v>0.95676145528067424</v>
      </c>
    </row>
    <row r="19" spans="2:15" ht="16" x14ac:dyDescent="0.2">
      <c r="B19" s="49">
        <v>3</v>
      </c>
      <c r="C19" s="72">
        <v>1</v>
      </c>
      <c r="D19" s="72">
        <v>1</v>
      </c>
      <c r="E19" s="72">
        <v>0</v>
      </c>
      <c r="F19" s="72"/>
      <c r="G19" s="72">
        <v>0</v>
      </c>
      <c r="H19" s="72">
        <v>1</v>
      </c>
      <c r="I19" s="72">
        <v>1</v>
      </c>
      <c r="J19" s="72">
        <v>0</v>
      </c>
      <c r="K19" s="72"/>
      <c r="L19" s="72">
        <v>0</v>
      </c>
      <c r="M19" s="58">
        <f t="shared" si="0"/>
        <v>48</v>
      </c>
      <c r="N19" s="22">
        <f t="shared" si="1"/>
        <v>34.443412390104271</v>
      </c>
      <c r="O19" s="59">
        <f t="shared" si="2"/>
        <v>0.71757109146050568</v>
      </c>
    </row>
    <row r="20" spans="2:15" ht="16" x14ac:dyDescent="0.2">
      <c r="B20" s="47">
        <v>2</v>
      </c>
      <c r="C20" s="73">
        <v>1</v>
      </c>
      <c r="D20" s="73">
        <v>1</v>
      </c>
      <c r="E20" s="73">
        <v>0</v>
      </c>
      <c r="F20" s="73"/>
      <c r="G20" s="73">
        <v>0</v>
      </c>
      <c r="H20" s="73">
        <v>1</v>
      </c>
      <c r="I20" s="73">
        <v>1</v>
      </c>
      <c r="J20" s="73">
        <v>0</v>
      </c>
      <c r="K20" s="73"/>
      <c r="L20" s="73">
        <v>0</v>
      </c>
      <c r="M20" s="58">
        <f t="shared" si="0"/>
        <v>48</v>
      </c>
      <c r="N20" s="22">
        <f t="shared" si="1"/>
        <v>22.962274926736182</v>
      </c>
      <c r="O20" s="59">
        <f t="shared" si="2"/>
        <v>0.47838072764033712</v>
      </c>
    </row>
    <row r="21" spans="2:15" ht="17" thickBot="1" x14ac:dyDescent="0.25">
      <c r="B21" s="50">
        <v>1</v>
      </c>
      <c r="C21" s="74">
        <v>1</v>
      </c>
      <c r="D21" s="74">
        <v>1</v>
      </c>
      <c r="E21" s="74">
        <v>0</v>
      </c>
      <c r="F21" s="74"/>
      <c r="G21" s="74">
        <v>0</v>
      </c>
      <c r="H21" s="74">
        <v>1</v>
      </c>
      <c r="I21" s="74">
        <v>1</v>
      </c>
      <c r="J21" s="74">
        <v>0</v>
      </c>
      <c r="K21" s="74"/>
      <c r="L21" s="74">
        <v>0</v>
      </c>
      <c r="M21" s="60">
        <f t="shared" si="0"/>
        <v>48</v>
      </c>
      <c r="N21" s="61">
        <f t="shared" si="1"/>
        <v>11.481137463368091</v>
      </c>
      <c r="O21" s="62">
        <f t="shared" si="2"/>
        <v>0.23919036382016856</v>
      </c>
    </row>
    <row r="22" spans="2:15" ht="16" thickBot="1" x14ac:dyDescent="0.25"/>
    <row r="23" spans="2:15" ht="32" x14ac:dyDescent="0.2">
      <c r="B23" s="11"/>
      <c r="C23" s="12"/>
      <c r="D23" s="13" t="s">
        <v>17</v>
      </c>
      <c r="E23" s="14" t="s">
        <v>18</v>
      </c>
      <c r="F23" s="65"/>
    </row>
    <row r="24" spans="2:15" x14ac:dyDescent="0.2">
      <c r="B24" s="96" t="s">
        <v>19</v>
      </c>
      <c r="C24" s="97"/>
      <c r="D24" s="16"/>
      <c r="E24" s="17">
        <f>(D24*2080)/($O$1*365)</f>
        <v>0</v>
      </c>
      <c r="F24" s="16"/>
    </row>
    <row r="25" spans="2:15" x14ac:dyDescent="0.2">
      <c r="B25" s="96" t="s">
        <v>20</v>
      </c>
      <c r="C25" s="97"/>
      <c r="D25" s="18">
        <v>1</v>
      </c>
      <c r="E25" s="17">
        <f t="shared" ref="E25:E27" si="3">(D25*2080)/($O$1*365)</f>
        <v>0.39691951202889658</v>
      </c>
      <c r="F25" s="16"/>
    </row>
    <row r="26" spans="2:15" x14ac:dyDescent="0.2">
      <c r="B26" s="96" t="s">
        <v>21</v>
      </c>
      <c r="C26" s="97"/>
      <c r="D26" s="16">
        <f>(76/14*26)/2080</f>
        <v>6.7857142857142852E-2</v>
      </c>
      <c r="E26" s="17">
        <f t="shared" si="3"/>
        <v>2.693382403053227E-2</v>
      </c>
      <c r="F26" s="16"/>
    </row>
    <row r="27" spans="2:15" x14ac:dyDescent="0.2">
      <c r="B27" s="96" t="s">
        <v>22</v>
      </c>
      <c r="C27" s="97"/>
      <c r="D27" s="16">
        <f>(1425/14*26)/2080</f>
        <v>1.2723214285714286</v>
      </c>
      <c r="E27" s="17">
        <f t="shared" si="3"/>
        <v>0.50500920057248011</v>
      </c>
      <c r="F27" s="16"/>
    </row>
    <row r="28" spans="2:15" x14ac:dyDescent="0.2">
      <c r="B28" s="15"/>
      <c r="E28" s="19"/>
    </row>
    <row r="29" spans="2:15" ht="16" thickBot="1" x14ac:dyDescent="0.25">
      <c r="B29" s="98" t="s">
        <v>23</v>
      </c>
      <c r="C29" s="99"/>
      <c r="D29" s="20">
        <f>SUM(D24:D27)</f>
        <v>2.3401785714285714</v>
      </c>
      <c r="E29" s="21">
        <f>SUM(E24:E27)</f>
        <v>0.92886253663190899</v>
      </c>
      <c r="F29" s="16"/>
    </row>
    <row r="34" spans="1:15" x14ac:dyDescent="0.2">
      <c r="A34" s="5"/>
      <c r="B34" s="5"/>
      <c r="M34"/>
      <c r="N34"/>
      <c r="O34"/>
    </row>
    <row r="35" spans="1:15" x14ac:dyDescent="0.2">
      <c r="A35" s="5"/>
      <c r="B35" s="5"/>
      <c r="M35"/>
      <c r="N35"/>
      <c r="O35"/>
    </row>
  </sheetData>
  <mergeCells count="10">
    <mergeCell ref="H3:L3"/>
    <mergeCell ref="C4:G4"/>
    <mergeCell ref="H4:L4"/>
    <mergeCell ref="B24:C24"/>
    <mergeCell ref="B25:C25"/>
    <mergeCell ref="B26:C26"/>
    <mergeCell ref="B27:C27"/>
    <mergeCell ref="B29:C29"/>
    <mergeCell ref="B3:B4"/>
    <mergeCell ref="C3:G3"/>
  </mergeCells>
  <conditionalFormatting sqref="O6:O21">
    <cfRule type="cellIs" dxfId="13" priority="1" operator="lessThan">
      <formula>0.9999999</formula>
    </cfRule>
    <cfRule type="cellIs" dxfId="12" priority="2" operator="greaterThan">
      <formula>0.9999999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0803-1C23-4E81-B4E9-58B14681AB6A}">
  <dimension ref="A1:P35"/>
  <sheetViews>
    <sheetView workbookViewId="0">
      <selection activeCell="U15" sqref="U15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36</v>
      </c>
      <c r="E1" s="7" t="s">
        <v>2</v>
      </c>
      <c r="F1" s="7"/>
      <c r="G1" s="68">
        <v>12.3</v>
      </c>
      <c r="I1" s="7" t="s">
        <v>3</v>
      </c>
      <c r="L1" s="67">
        <f>G1-E29</f>
        <v>11.35295890410959</v>
      </c>
      <c r="M1" s="10"/>
      <c r="N1" s="63" t="s">
        <v>4</v>
      </c>
      <c r="O1" s="69">
        <f>200/14</f>
        <v>14.285714285714286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16</v>
      </c>
      <c r="C6" s="73">
        <v>1</v>
      </c>
      <c r="D6" s="73">
        <v>4</v>
      </c>
      <c r="E6" s="73">
        <v>2</v>
      </c>
      <c r="F6" s="73"/>
      <c r="G6" s="73">
        <v>1</v>
      </c>
      <c r="H6" s="73">
        <v>1</v>
      </c>
      <c r="I6" s="73">
        <v>4</v>
      </c>
      <c r="J6" s="73">
        <v>2</v>
      </c>
      <c r="K6" s="73"/>
      <c r="L6" s="73">
        <v>1</v>
      </c>
      <c r="M6" s="58">
        <f t="shared" ref="M6:M21" si="0">(SUM(C6:L6)*12)</f>
        <v>192</v>
      </c>
      <c r="N6" s="22">
        <f t="shared" ref="N6:N21" si="1">B6*$L$1</f>
        <v>181.64734246575344</v>
      </c>
      <c r="O6" s="59">
        <f t="shared" ref="O6:O21" si="2">N6/M6</f>
        <v>0.94607990867579916</v>
      </c>
    </row>
    <row r="7" spans="2:16" ht="16" x14ac:dyDescent="0.2">
      <c r="B7" s="49">
        <v>15</v>
      </c>
      <c r="C7" s="72">
        <v>1</v>
      </c>
      <c r="D7" s="72">
        <v>4</v>
      </c>
      <c r="E7" s="72">
        <v>2</v>
      </c>
      <c r="F7" s="72"/>
      <c r="G7" s="72">
        <v>1</v>
      </c>
      <c r="H7" s="72">
        <v>1</v>
      </c>
      <c r="I7" s="72">
        <v>4</v>
      </c>
      <c r="J7" s="72">
        <v>2</v>
      </c>
      <c r="K7" s="72"/>
      <c r="L7" s="29">
        <v>0</v>
      </c>
      <c r="M7" s="58">
        <f t="shared" si="0"/>
        <v>180</v>
      </c>
      <c r="N7" s="22">
        <f t="shared" si="1"/>
        <v>170.29438356164385</v>
      </c>
      <c r="O7" s="59">
        <f t="shared" si="2"/>
        <v>0.94607990867579916</v>
      </c>
    </row>
    <row r="8" spans="2:16" ht="16" x14ac:dyDescent="0.2">
      <c r="B8" s="47">
        <v>14</v>
      </c>
      <c r="C8" s="73">
        <v>1</v>
      </c>
      <c r="D8" s="73">
        <v>3</v>
      </c>
      <c r="E8" s="73">
        <v>2</v>
      </c>
      <c r="F8" s="73"/>
      <c r="G8" s="73">
        <v>1</v>
      </c>
      <c r="H8" s="73">
        <v>1</v>
      </c>
      <c r="I8" s="73">
        <v>3</v>
      </c>
      <c r="J8" s="73">
        <v>2</v>
      </c>
      <c r="K8" s="73"/>
      <c r="L8" s="28">
        <v>0</v>
      </c>
      <c r="M8" s="58">
        <f t="shared" si="0"/>
        <v>156</v>
      </c>
      <c r="N8" s="22">
        <f t="shared" si="1"/>
        <v>158.94142465753427</v>
      </c>
      <c r="O8" s="59">
        <f t="shared" si="2"/>
        <v>1.0188552862662452</v>
      </c>
    </row>
    <row r="9" spans="2:16" ht="16" x14ac:dyDescent="0.2">
      <c r="B9" s="49">
        <v>13</v>
      </c>
      <c r="C9" s="72">
        <v>1</v>
      </c>
      <c r="D9" s="72">
        <v>3</v>
      </c>
      <c r="E9" s="72">
        <v>2</v>
      </c>
      <c r="F9" s="72"/>
      <c r="G9" s="72">
        <v>0</v>
      </c>
      <c r="H9" s="72">
        <v>1</v>
      </c>
      <c r="I9" s="72">
        <v>3</v>
      </c>
      <c r="J9" s="72">
        <v>2</v>
      </c>
      <c r="K9" s="72"/>
      <c r="L9" s="72">
        <v>0</v>
      </c>
      <c r="M9" s="58">
        <f t="shared" si="0"/>
        <v>144</v>
      </c>
      <c r="N9" s="22">
        <f t="shared" si="1"/>
        <v>147.58846575342466</v>
      </c>
      <c r="O9" s="59">
        <f t="shared" si="2"/>
        <v>1.0249199010654491</v>
      </c>
    </row>
    <row r="10" spans="2:16" ht="16" x14ac:dyDescent="0.2">
      <c r="B10" s="47">
        <v>12</v>
      </c>
      <c r="C10" s="73">
        <v>1</v>
      </c>
      <c r="D10" s="73">
        <v>3</v>
      </c>
      <c r="E10" s="73">
        <v>1</v>
      </c>
      <c r="F10" s="73"/>
      <c r="G10" s="73">
        <v>0</v>
      </c>
      <c r="H10" s="73">
        <v>1</v>
      </c>
      <c r="I10" s="73">
        <v>3</v>
      </c>
      <c r="J10" s="73">
        <v>1</v>
      </c>
      <c r="K10" s="73"/>
      <c r="L10" s="73">
        <v>0</v>
      </c>
      <c r="M10" s="58">
        <f t="shared" si="0"/>
        <v>120</v>
      </c>
      <c r="N10" s="22">
        <f t="shared" si="1"/>
        <v>136.23550684931507</v>
      </c>
      <c r="O10" s="59">
        <f t="shared" si="2"/>
        <v>1.1352958904109589</v>
      </c>
    </row>
    <row r="11" spans="2:16" ht="16" x14ac:dyDescent="0.2">
      <c r="B11" s="49">
        <v>11</v>
      </c>
      <c r="C11" s="72">
        <v>1</v>
      </c>
      <c r="D11" s="72">
        <v>3</v>
      </c>
      <c r="E11" s="72">
        <v>1</v>
      </c>
      <c r="F11" s="72"/>
      <c r="G11" s="72">
        <v>0</v>
      </c>
      <c r="H11" s="72">
        <v>1</v>
      </c>
      <c r="I11" s="72">
        <v>3</v>
      </c>
      <c r="J11" s="72">
        <v>1</v>
      </c>
      <c r="K11" s="72"/>
      <c r="L11" s="72">
        <v>0</v>
      </c>
      <c r="M11" s="58">
        <f t="shared" si="0"/>
        <v>120</v>
      </c>
      <c r="N11" s="22">
        <f t="shared" si="1"/>
        <v>124.88254794520549</v>
      </c>
      <c r="O11" s="59">
        <f t="shared" si="2"/>
        <v>1.040687899543379</v>
      </c>
    </row>
    <row r="12" spans="2:16" ht="16" x14ac:dyDescent="0.2">
      <c r="B12" s="47">
        <v>10</v>
      </c>
      <c r="C12" s="73">
        <v>1</v>
      </c>
      <c r="D12" s="73">
        <v>2</v>
      </c>
      <c r="E12" s="73">
        <v>1</v>
      </c>
      <c r="F12" s="73"/>
      <c r="G12" s="73">
        <v>0</v>
      </c>
      <c r="H12" s="73">
        <v>1</v>
      </c>
      <c r="I12" s="73">
        <v>2</v>
      </c>
      <c r="J12" s="73">
        <v>1</v>
      </c>
      <c r="K12" s="73"/>
      <c r="L12" s="73">
        <v>0</v>
      </c>
      <c r="M12" s="58">
        <f t="shared" si="0"/>
        <v>96</v>
      </c>
      <c r="N12" s="22">
        <f t="shared" si="1"/>
        <v>113.5295890410959</v>
      </c>
      <c r="O12" s="59">
        <f t="shared" si="2"/>
        <v>1.1825998858447491</v>
      </c>
    </row>
    <row r="13" spans="2:16" ht="16" x14ac:dyDescent="0.2">
      <c r="B13" s="49">
        <v>9</v>
      </c>
      <c r="C13" s="72">
        <v>1</v>
      </c>
      <c r="D13" s="72">
        <v>2</v>
      </c>
      <c r="E13" s="72">
        <v>1</v>
      </c>
      <c r="F13" s="72"/>
      <c r="G13" s="72">
        <v>0</v>
      </c>
      <c r="H13" s="72">
        <v>1</v>
      </c>
      <c r="I13" s="72">
        <v>2</v>
      </c>
      <c r="J13" s="72">
        <v>1</v>
      </c>
      <c r="K13" s="72"/>
      <c r="L13" s="72">
        <v>0</v>
      </c>
      <c r="M13" s="58">
        <f t="shared" si="0"/>
        <v>96</v>
      </c>
      <c r="N13" s="22">
        <f t="shared" si="1"/>
        <v>102.1766301369863</v>
      </c>
      <c r="O13" s="59">
        <f t="shared" si="2"/>
        <v>1.064339897260274</v>
      </c>
    </row>
    <row r="14" spans="2:16" ht="16" x14ac:dyDescent="0.2">
      <c r="B14" s="47">
        <v>8</v>
      </c>
      <c r="C14" s="73">
        <v>1</v>
      </c>
      <c r="D14" s="73">
        <v>2</v>
      </c>
      <c r="E14" s="73">
        <v>1</v>
      </c>
      <c r="F14" s="73"/>
      <c r="G14" s="73">
        <v>0</v>
      </c>
      <c r="H14" s="73">
        <v>1</v>
      </c>
      <c r="I14" s="73">
        <v>2</v>
      </c>
      <c r="J14" s="73">
        <v>0</v>
      </c>
      <c r="K14" s="73"/>
      <c r="L14" s="73">
        <v>0</v>
      </c>
      <c r="M14" s="58">
        <f t="shared" si="0"/>
        <v>84</v>
      </c>
      <c r="N14" s="22">
        <f t="shared" si="1"/>
        <v>90.82367123287672</v>
      </c>
      <c r="O14" s="59">
        <f t="shared" si="2"/>
        <v>1.0812341813437705</v>
      </c>
    </row>
    <row r="15" spans="2:16" ht="16" x14ac:dyDescent="0.2">
      <c r="B15" s="49">
        <v>7</v>
      </c>
      <c r="C15" s="72">
        <v>1</v>
      </c>
      <c r="D15" s="72">
        <v>2</v>
      </c>
      <c r="E15" s="72">
        <v>0</v>
      </c>
      <c r="F15" s="72"/>
      <c r="G15" s="72">
        <v>0</v>
      </c>
      <c r="H15" s="72">
        <v>1</v>
      </c>
      <c r="I15" s="72">
        <v>2</v>
      </c>
      <c r="J15" s="72">
        <v>0</v>
      </c>
      <c r="K15" s="72"/>
      <c r="L15" s="72">
        <v>0</v>
      </c>
      <c r="M15" s="58">
        <f t="shared" si="0"/>
        <v>72</v>
      </c>
      <c r="N15" s="22">
        <f t="shared" si="1"/>
        <v>79.470712328767135</v>
      </c>
      <c r="O15" s="59">
        <f t="shared" si="2"/>
        <v>1.1037598934550992</v>
      </c>
    </row>
    <row r="16" spans="2:16" ht="16" x14ac:dyDescent="0.2">
      <c r="B16" s="47">
        <v>6</v>
      </c>
      <c r="C16" s="73">
        <v>1</v>
      </c>
      <c r="D16" s="73">
        <v>2</v>
      </c>
      <c r="E16" s="73">
        <v>0</v>
      </c>
      <c r="F16" s="73"/>
      <c r="G16" s="73">
        <v>0</v>
      </c>
      <c r="H16" s="73">
        <v>1</v>
      </c>
      <c r="I16" s="73">
        <v>2</v>
      </c>
      <c r="J16" s="73">
        <v>0</v>
      </c>
      <c r="K16" s="73"/>
      <c r="L16" s="73">
        <v>0</v>
      </c>
      <c r="M16" s="58">
        <f t="shared" si="0"/>
        <v>72</v>
      </c>
      <c r="N16" s="22">
        <f t="shared" si="1"/>
        <v>68.117753424657536</v>
      </c>
      <c r="O16" s="59">
        <f t="shared" si="2"/>
        <v>0.94607990867579916</v>
      </c>
    </row>
    <row r="17" spans="2:15" ht="16" x14ac:dyDescent="0.2">
      <c r="B17" s="49">
        <v>5</v>
      </c>
      <c r="C17" s="72">
        <v>1</v>
      </c>
      <c r="D17" s="72">
        <v>1</v>
      </c>
      <c r="E17" s="72">
        <v>0</v>
      </c>
      <c r="F17" s="72"/>
      <c r="G17" s="72">
        <v>0</v>
      </c>
      <c r="H17" s="72">
        <v>1</v>
      </c>
      <c r="I17" s="72">
        <v>1</v>
      </c>
      <c r="J17" s="72">
        <v>0</v>
      </c>
      <c r="K17" s="72"/>
      <c r="L17" s="72">
        <v>0</v>
      </c>
      <c r="M17" s="58">
        <f t="shared" si="0"/>
        <v>48</v>
      </c>
      <c r="N17" s="22">
        <f t="shared" si="1"/>
        <v>56.764794520547952</v>
      </c>
      <c r="O17" s="59">
        <f t="shared" si="2"/>
        <v>1.1825998858447491</v>
      </c>
    </row>
    <row r="18" spans="2:15" ht="16" x14ac:dyDescent="0.2">
      <c r="B18" s="47">
        <v>4</v>
      </c>
      <c r="C18" s="73">
        <v>1</v>
      </c>
      <c r="D18" s="73">
        <v>1</v>
      </c>
      <c r="E18" s="73">
        <v>0</v>
      </c>
      <c r="F18" s="73"/>
      <c r="G18" s="73">
        <v>0</v>
      </c>
      <c r="H18" s="73">
        <v>1</v>
      </c>
      <c r="I18" s="73">
        <v>1</v>
      </c>
      <c r="J18" s="73">
        <v>0</v>
      </c>
      <c r="K18" s="73"/>
      <c r="L18" s="73">
        <v>0</v>
      </c>
      <c r="M18" s="58">
        <f t="shared" si="0"/>
        <v>48</v>
      </c>
      <c r="N18" s="22">
        <f t="shared" si="1"/>
        <v>45.41183561643836</v>
      </c>
      <c r="O18" s="59">
        <f t="shared" si="2"/>
        <v>0.94607990867579916</v>
      </c>
    </row>
    <row r="19" spans="2:15" ht="16" x14ac:dyDescent="0.2">
      <c r="B19" s="49">
        <v>3</v>
      </c>
      <c r="C19" s="72">
        <v>1</v>
      </c>
      <c r="D19" s="72">
        <v>1</v>
      </c>
      <c r="E19" s="72">
        <v>0</v>
      </c>
      <c r="F19" s="72"/>
      <c r="G19" s="72">
        <v>0</v>
      </c>
      <c r="H19" s="72">
        <v>1</v>
      </c>
      <c r="I19" s="72">
        <v>1</v>
      </c>
      <c r="J19" s="72">
        <v>0</v>
      </c>
      <c r="K19" s="72"/>
      <c r="L19" s="72">
        <v>0</v>
      </c>
      <c r="M19" s="58">
        <f t="shared" si="0"/>
        <v>48</v>
      </c>
      <c r="N19" s="22">
        <f t="shared" si="1"/>
        <v>34.058876712328768</v>
      </c>
      <c r="O19" s="59">
        <f t="shared" si="2"/>
        <v>0.70955993150684937</v>
      </c>
    </row>
    <row r="20" spans="2:15" ht="16" x14ac:dyDescent="0.2">
      <c r="B20" s="47">
        <v>2</v>
      </c>
      <c r="C20" s="73">
        <v>1</v>
      </c>
      <c r="D20" s="73">
        <v>1</v>
      </c>
      <c r="E20" s="73">
        <v>0</v>
      </c>
      <c r="F20" s="73"/>
      <c r="G20" s="73">
        <v>0</v>
      </c>
      <c r="H20" s="73">
        <v>1</v>
      </c>
      <c r="I20" s="73">
        <v>1</v>
      </c>
      <c r="J20" s="73">
        <v>0</v>
      </c>
      <c r="K20" s="73"/>
      <c r="L20" s="73">
        <v>0</v>
      </c>
      <c r="M20" s="58">
        <f t="shared" si="0"/>
        <v>48</v>
      </c>
      <c r="N20" s="22">
        <f t="shared" si="1"/>
        <v>22.70591780821918</v>
      </c>
      <c r="O20" s="59">
        <f t="shared" si="2"/>
        <v>0.47303995433789958</v>
      </c>
    </row>
    <row r="21" spans="2:15" ht="17" thickBot="1" x14ac:dyDescent="0.25">
      <c r="B21" s="50">
        <v>1</v>
      </c>
      <c r="C21" s="74">
        <v>1</v>
      </c>
      <c r="D21" s="74">
        <v>1</v>
      </c>
      <c r="E21" s="74">
        <v>0</v>
      </c>
      <c r="F21" s="74"/>
      <c r="G21" s="74">
        <v>0</v>
      </c>
      <c r="H21" s="74">
        <v>1</v>
      </c>
      <c r="I21" s="74">
        <v>1</v>
      </c>
      <c r="J21" s="74">
        <v>0</v>
      </c>
      <c r="K21" s="74"/>
      <c r="L21" s="74">
        <v>0</v>
      </c>
      <c r="M21" s="60">
        <f t="shared" si="0"/>
        <v>48</v>
      </c>
      <c r="N21" s="61">
        <f t="shared" si="1"/>
        <v>11.35295890410959</v>
      </c>
      <c r="O21" s="62">
        <f t="shared" si="2"/>
        <v>0.23651997716894979</v>
      </c>
    </row>
    <row r="22" spans="2:15" ht="16" thickBot="1" x14ac:dyDescent="0.25"/>
    <row r="23" spans="2:15" ht="32" x14ac:dyDescent="0.2">
      <c r="B23" s="11"/>
      <c r="C23" s="12"/>
      <c r="D23" s="13" t="s">
        <v>17</v>
      </c>
      <c r="E23" s="14" t="s">
        <v>18</v>
      </c>
      <c r="F23" s="65"/>
    </row>
    <row r="24" spans="2:15" x14ac:dyDescent="0.2">
      <c r="B24" s="96" t="s">
        <v>19</v>
      </c>
      <c r="C24" s="97"/>
      <c r="D24" s="16"/>
      <c r="E24" s="17">
        <f>(D24*2080)/($O$1*365)</f>
        <v>0</v>
      </c>
      <c r="F24" s="16"/>
    </row>
    <row r="25" spans="2:15" x14ac:dyDescent="0.2">
      <c r="B25" s="96" t="s">
        <v>20</v>
      </c>
      <c r="C25" s="97"/>
      <c r="D25" s="18">
        <v>1</v>
      </c>
      <c r="E25" s="17">
        <f t="shared" ref="E25:E27" si="3">(D25*2080)/($O$1*365)</f>
        <v>0.39890410958904104</v>
      </c>
      <c r="F25" s="16"/>
    </row>
    <row r="26" spans="2:15" x14ac:dyDescent="0.2">
      <c r="B26" s="96" t="s">
        <v>21</v>
      </c>
      <c r="C26" s="97"/>
      <c r="D26" s="16">
        <f>(204/14*26)/2080</f>
        <v>0.18214285714285713</v>
      </c>
      <c r="E26" s="17">
        <f t="shared" si="3"/>
        <v>7.2657534246575325E-2</v>
      </c>
      <c r="F26" s="16"/>
    </row>
    <row r="27" spans="2:15" x14ac:dyDescent="0.2">
      <c r="B27" s="96" t="s">
        <v>22</v>
      </c>
      <c r="C27" s="97"/>
      <c r="D27" s="16">
        <f>(1335/14*26)/2080</f>
        <v>1.1919642857142856</v>
      </c>
      <c r="E27" s="17">
        <f t="shared" si="3"/>
        <v>0.47547945205479447</v>
      </c>
      <c r="F27" s="16"/>
    </row>
    <row r="28" spans="2:15" x14ac:dyDescent="0.2">
      <c r="B28" s="15"/>
      <c r="E28" s="19"/>
    </row>
    <row r="29" spans="2:15" ht="16" thickBot="1" x14ac:dyDescent="0.25">
      <c r="B29" s="98" t="s">
        <v>23</v>
      </c>
      <c r="C29" s="99"/>
      <c r="D29" s="20">
        <f>SUM(D24:D27)</f>
        <v>2.3741071428571425</v>
      </c>
      <c r="E29" s="21">
        <f>SUM(E24:E27)</f>
        <v>0.94704109589041086</v>
      </c>
      <c r="F29" s="16"/>
    </row>
    <row r="34" spans="1:15" x14ac:dyDescent="0.2">
      <c r="A34" s="5"/>
      <c r="B34" s="5"/>
      <c r="M34"/>
      <c r="N34"/>
      <c r="O34"/>
    </row>
    <row r="35" spans="1:15" x14ac:dyDescent="0.2">
      <c r="A35" s="5"/>
      <c r="B35" s="5"/>
      <c r="M35"/>
      <c r="N35"/>
      <c r="O35"/>
    </row>
  </sheetData>
  <mergeCells count="10">
    <mergeCell ref="H3:L3"/>
    <mergeCell ref="C4:G4"/>
    <mergeCell ref="H4:L4"/>
    <mergeCell ref="B24:C24"/>
    <mergeCell ref="B25:C25"/>
    <mergeCell ref="B26:C26"/>
    <mergeCell ref="B27:C27"/>
    <mergeCell ref="B29:C29"/>
    <mergeCell ref="B3:B4"/>
    <mergeCell ref="C3:G3"/>
  </mergeCells>
  <conditionalFormatting sqref="O6:O21">
    <cfRule type="cellIs" dxfId="11" priority="1" operator="lessThan">
      <formula>0.9999999</formula>
    </cfRule>
    <cfRule type="cellIs" dxfId="10" priority="2" operator="greaterThan">
      <formula>0.9999999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299-DA1E-488A-BA20-505677BB02E2}">
  <dimension ref="A1:P45"/>
  <sheetViews>
    <sheetView topLeftCell="A11" workbookViewId="0">
      <selection activeCell="F12" sqref="F12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37</v>
      </c>
      <c r="E1" s="7" t="s">
        <v>2</v>
      </c>
      <c r="F1" s="7"/>
      <c r="G1" s="68">
        <v>10.7</v>
      </c>
      <c r="I1" s="7" t="s">
        <v>3</v>
      </c>
      <c r="L1" s="67">
        <f>G1-E39</f>
        <v>10.039617229612778</v>
      </c>
      <c r="M1" s="10"/>
      <c r="N1" s="63" t="s">
        <v>4</v>
      </c>
      <c r="O1" s="69">
        <f>277/14</f>
        <v>19.785714285714285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26</v>
      </c>
      <c r="C6" s="41">
        <v>1</v>
      </c>
      <c r="D6" s="41">
        <v>5</v>
      </c>
      <c r="E6" s="41">
        <v>3</v>
      </c>
      <c r="F6" s="28"/>
      <c r="G6" s="42">
        <v>1</v>
      </c>
      <c r="H6" s="32">
        <v>1</v>
      </c>
      <c r="I6" s="41">
        <v>5</v>
      </c>
      <c r="J6" s="41">
        <v>3</v>
      </c>
      <c r="K6" s="28"/>
      <c r="L6" s="33">
        <v>1</v>
      </c>
      <c r="M6" s="58">
        <f t="shared" ref="M6:M31" si="0">(SUM(C6:L6)*12)</f>
        <v>240</v>
      </c>
      <c r="N6" s="22">
        <f t="shared" ref="N6:N31" si="1">B6*$L$1</f>
        <v>261.03004796993224</v>
      </c>
      <c r="O6" s="59">
        <f t="shared" ref="O6:O31" si="2">N6/M6</f>
        <v>1.0876251998747177</v>
      </c>
    </row>
    <row r="7" spans="2:16" ht="16" x14ac:dyDescent="0.2">
      <c r="B7" s="49">
        <v>25</v>
      </c>
      <c r="C7" s="43">
        <v>1</v>
      </c>
      <c r="D7" s="43">
        <v>5</v>
      </c>
      <c r="E7" s="43">
        <v>3</v>
      </c>
      <c r="F7" s="29"/>
      <c r="G7" s="44">
        <v>1</v>
      </c>
      <c r="H7" s="34">
        <v>1</v>
      </c>
      <c r="I7" s="43">
        <v>5</v>
      </c>
      <c r="J7" s="43">
        <v>3</v>
      </c>
      <c r="K7" s="29"/>
      <c r="L7" s="35">
        <v>0</v>
      </c>
      <c r="M7" s="58">
        <f t="shared" si="0"/>
        <v>228</v>
      </c>
      <c r="N7" s="22">
        <f t="shared" si="1"/>
        <v>250.99043074031945</v>
      </c>
      <c r="O7" s="59">
        <f t="shared" si="2"/>
        <v>1.1008352225452607</v>
      </c>
    </row>
    <row r="8" spans="2:16" ht="16" x14ac:dyDescent="0.2">
      <c r="B8" s="47">
        <v>24</v>
      </c>
      <c r="C8" s="41">
        <v>1</v>
      </c>
      <c r="D8" s="41">
        <v>5</v>
      </c>
      <c r="E8" s="41">
        <v>3</v>
      </c>
      <c r="F8" s="28"/>
      <c r="G8" s="42">
        <v>1</v>
      </c>
      <c r="H8" s="32">
        <v>1</v>
      </c>
      <c r="I8" s="41">
        <v>5</v>
      </c>
      <c r="J8" s="41">
        <v>3</v>
      </c>
      <c r="K8" s="28"/>
      <c r="L8" s="33">
        <v>0</v>
      </c>
      <c r="M8" s="58">
        <f t="shared" si="0"/>
        <v>228</v>
      </c>
      <c r="N8" s="22">
        <f t="shared" si="1"/>
        <v>240.95081351070667</v>
      </c>
      <c r="O8" s="59">
        <f t="shared" si="2"/>
        <v>1.0568018136434503</v>
      </c>
    </row>
    <row r="9" spans="2:16" ht="16" x14ac:dyDescent="0.2">
      <c r="B9" s="49">
        <v>23</v>
      </c>
      <c r="C9" s="43">
        <v>1</v>
      </c>
      <c r="D9" s="43">
        <v>5</v>
      </c>
      <c r="E9" s="43">
        <v>2</v>
      </c>
      <c r="F9" s="29">
        <v>0</v>
      </c>
      <c r="G9" s="44">
        <v>1</v>
      </c>
      <c r="H9" s="34">
        <v>1</v>
      </c>
      <c r="I9" s="43">
        <v>5</v>
      </c>
      <c r="J9" s="43">
        <v>2</v>
      </c>
      <c r="K9" s="29"/>
      <c r="L9" s="35">
        <v>0</v>
      </c>
      <c r="M9" s="58">
        <f t="shared" si="0"/>
        <v>204</v>
      </c>
      <c r="N9" s="22">
        <f t="shared" si="1"/>
        <v>230.91119628109391</v>
      </c>
      <c r="O9" s="59">
        <f t="shared" si="2"/>
        <v>1.1319176288288917</v>
      </c>
    </row>
    <row r="10" spans="2:16" ht="16" x14ac:dyDescent="0.2">
      <c r="B10" s="47">
        <v>22</v>
      </c>
      <c r="C10" s="41">
        <v>1</v>
      </c>
      <c r="D10" s="41">
        <v>4</v>
      </c>
      <c r="E10" s="41">
        <v>2</v>
      </c>
      <c r="F10" s="28"/>
      <c r="G10" s="42">
        <v>1</v>
      </c>
      <c r="H10" s="32">
        <v>1</v>
      </c>
      <c r="I10" s="41">
        <v>4</v>
      </c>
      <c r="J10" s="41">
        <v>2</v>
      </c>
      <c r="K10" s="28"/>
      <c r="L10" s="33">
        <v>0</v>
      </c>
      <c r="M10" s="58">
        <f t="shared" si="0"/>
        <v>180</v>
      </c>
      <c r="N10" s="22">
        <f t="shared" si="1"/>
        <v>220.87157905148112</v>
      </c>
      <c r="O10" s="59">
        <f t="shared" si="2"/>
        <v>1.2270643280637841</v>
      </c>
    </row>
    <row r="11" spans="2:16" ht="16" x14ac:dyDescent="0.2">
      <c r="B11" s="49">
        <v>21</v>
      </c>
      <c r="C11" s="43">
        <v>1</v>
      </c>
      <c r="D11" s="43">
        <v>4</v>
      </c>
      <c r="E11" s="43">
        <v>2</v>
      </c>
      <c r="F11" s="29"/>
      <c r="G11" s="44">
        <v>1</v>
      </c>
      <c r="H11" s="34">
        <v>1</v>
      </c>
      <c r="I11" s="43">
        <v>4</v>
      </c>
      <c r="J11" s="43">
        <v>2</v>
      </c>
      <c r="K11" s="29"/>
      <c r="L11" s="35">
        <v>0</v>
      </c>
      <c r="M11" s="58">
        <f t="shared" si="0"/>
        <v>180</v>
      </c>
      <c r="N11" s="22">
        <f t="shared" si="1"/>
        <v>210.83196182186833</v>
      </c>
      <c r="O11" s="59">
        <f t="shared" si="2"/>
        <v>1.1712886767881574</v>
      </c>
    </row>
    <row r="12" spans="2:16" ht="16" x14ac:dyDescent="0.2">
      <c r="B12" s="47">
        <v>20</v>
      </c>
      <c r="C12" s="41">
        <v>1</v>
      </c>
      <c r="D12" s="41">
        <v>4</v>
      </c>
      <c r="E12" s="41">
        <v>2</v>
      </c>
      <c r="F12" s="28"/>
      <c r="G12" s="42">
        <v>1</v>
      </c>
      <c r="H12" s="32">
        <v>1</v>
      </c>
      <c r="I12" s="41">
        <v>4</v>
      </c>
      <c r="J12" s="41">
        <v>2</v>
      </c>
      <c r="K12" s="28"/>
      <c r="L12" s="33">
        <v>0</v>
      </c>
      <c r="M12" s="58">
        <f t="shared" si="0"/>
        <v>180</v>
      </c>
      <c r="N12" s="22">
        <f t="shared" si="1"/>
        <v>200.79234459225557</v>
      </c>
      <c r="O12" s="59">
        <f t="shared" si="2"/>
        <v>1.115513025512531</v>
      </c>
    </row>
    <row r="13" spans="2:16" ht="16" x14ac:dyDescent="0.2">
      <c r="B13" s="49">
        <v>19</v>
      </c>
      <c r="C13" s="43">
        <v>1</v>
      </c>
      <c r="D13" s="43">
        <v>4</v>
      </c>
      <c r="E13" s="43">
        <v>2</v>
      </c>
      <c r="F13" s="29"/>
      <c r="G13" s="44">
        <v>1</v>
      </c>
      <c r="H13" s="34">
        <v>1</v>
      </c>
      <c r="I13" s="43">
        <v>4</v>
      </c>
      <c r="J13" s="43">
        <v>2</v>
      </c>
      <c r="K13" s="29"/>
      <c r="L13" s="35">
        <v>0</v>
      </c>
      <c r="M13" s="58">
        <f t="shared" si="0"/>
        <v>180</v>
      </c>
      <c r="N13" s="22">
        <f t="shared" si="1"/>
        <v>190.75272736264279</v>
      </c>
      <c r="O13" s="59">
        <f t="shared" si="2"/>
        <v>1.0597373742369043</v>
      </c>
    </row>
    <row r="14" spans="2:16" ht="16" x14ac:dyDescent="0.2">
      <c r="B14" s="47">
        <v>18</v>
      </c>
      <c r="C14" s="41">
        <v>1</v>
      </c>
      <c r="D14" s="41">
        <v>4</v>
      </c>
      <c r="E14" s="41">
        <v>2</v>
      </c>
      <c r="F14" s="28"/>
      <c r="G14" s="42">
        <v>1</v>
      </c>
      <c r="H14" s="32">
        <v>1</v>
      </c>
      <c r="I14" s="41">
        <v>4</v>
      </c>
      <c r="J14" s="41">
        <v>2</v>
      </c>
      <c r="K14" s="28"/>
      <c r="L14" s="33">
        <v>0</v>
      </c>
      <c r="M14" s="58">
        <f t="shared" si="0"/>
        <v>180</v>
      </c>
      <c r="N14" s="22">
        <f t="shared" si="1"/>
        <v>180.71311013303</v>
      </c>
      <c r="O14" s="59">
        <f t="shared" si="2"/>
        <v>1.0039617229612778</v>
      </c>
    </row>
    <row r="15" spans="2:16" ht="16" x14ac:dyDescent="0.2">
      <c r="B15" s="49">
        <v>17</v>
      </c>
      <c r="C15" s="43">
        <v>1</v>
      </c>
      <c r="D15" s="43">
        <v>4</v>
      </c>
      <c r="E15" s="43">
        <v>2</v>
      </c>
      <c r="F15" s="29"/>
      <c r="G15" s="44">
        <v>1</v>
      </c>
      <c r="H15" s="34">
        <v>1</v>
      </c>
      <c r="I15" s="43">
        <v>4</v>
      </c>
      <c r="J15" s="43">
        <v>2</v>
      </c>
      <c r="K15" s="29"/>
      <c r="L15" s="35">
        <v>0</v>
      </c>
      <c r="M15" s="58">
        <f t="shared" si="0"/>
        <v>180</v>
      </c>
      <c r="N15" s="22">
        <f t="shared" si="1"/>
        <v>170.67349290341724</v>
      </c>
      <c r="O15" s="59">
        <f t="shared" si="2"/>
        <v>0.94818607168565139</v>
      </c>
    </row>
    <row r="16" spans="2:16" ht="16" x14ac:dyDescent="0.2">
      <c r="B16" s="47">
        <v>16</v>
      </c>
      <c r="C16" s="41">
        <v>1</v>
      </c>
      <c r="D16" s="41">
        <v>3</v>
      </c>
      <c r="E16" s="41">
        <v>2</v>
      </c>
      <c r="F16" s="28"/>
      <c r="G16" s="42">
        <v>1</v>
      </c>
      <c r="H16" s="32">
        <v>1</v>
      </c>
      <c r="I16" s="41">
        <v>3</v>
      </c>
      <c r="J16" s="41">
        <v>2</v>
      </c>
      <c r="K16" s="28"/>
      <c r="L16" s="33">
        <v>0</v>
      </c>
      <c r="M16" s="58">
        <f t="shared" si="0"/>
        <v>156</v>
      </c>
      <c r="N16" s="22">
        <f t="shared" si="1"/>
        <v>160.63387567380445</v>
      </c>
      <c r="O16" s="59">
        <f t="shared" si="2"/>
        <v>1.0297043312423362</v>
      </c>
    </row>
    <row r="17" spans="2:15" ht="16" x14ac:dyDescent="0.2">
      <c r="B17" s="49">
        <v>15</v>
      </c>
      <c r="C17" s="43">
        <v>1</v>
      </c>
      <c r="D17" s="43">
        <v>3</v>
      </c>
      <c r="E17" s="43">
        <v>2</v>
      </c>
      <c r="F17" s="29"/>
      <c r="G17" s="44">
        <v>1</v>
      </c>
      <c r="H17" s="34">
        <v>1</v>
      </c>
      <c r="I17" s="43">
        <v>3</v>
      </c>
      <c r="J17" s="43">
        <v>2</v>
      </c>
      <c r="K17" s="29"/>
      <c r="L17" s="35">
        <v>0</v>
      </c>
      <c r="M17" s="58">
        <f t="shared" si="0"/>
        <v>156</v>
      </c>
      <c r="N17" s="22">
        <f t="shared" si="1"/>
        <v>150.59425844419167</v>
      </c>
      <c r="O17" s="59">
        <f t="shared" si="2"/>
        <v>0.96534781053969021</v>
      </c>
    </row>
    <row r="18" spans="2:15" ht="16" x14ac:dyDescent="0.2">
      <c r="B18" s="47">
        <v>14</v>
      </c>
      <c r="C18" s="41">
        <v>1</v>
      </c>
      <c r="D18" s="41">
        <v>3</v>
      </c>
      <c r="E18" s="41">
        <v>2</v>
      </c>
      <c r="F18" s="28"/>
      <c r="G18" s="42">
        <v>1</v>
      </c>
      <c r="H18" s="32">
        <v>1</v>
      </c>
      <c r="I18" s="41">
        <v>3</v>
      </c>
      <c r="J18" s="41">
        <v>2</v>
      </c>
      <c r="K18" s="28"/>
      <c r="L18" s="33">
        <v>0</v>
      </c>
      <c r="M18" s="58">
        <f t="shared" si="0"/>
        <v>156</v>
      </c>
      <c r="N18" s="22">
        <f t="shared" si="1"/>
        <v>140.55464121457891</v>
      </c>
      <c r="O18" s="59">
        <f t="shared" si="2"/>
        <v>0.90099128983704424</v>
      </c>
    </row>
    <row r="19" spans="2:15" ht="16" x14ac:dyDescent="0.2">
      <c r="B19" s="49">
        <v>13</v>
      </c>
      <c r="C19" s="43">
        <v>1</v>
      </c>
      <c r="D19" s="43">
        <v>3</v>
      </c>
      <c r="E19" s="43">
        <v>1</v>
      </c>
      <c r="F19" s="29"/>
      <c r="G19" s="44">
        <v>1</v>
      </c>
      <c r="H19" s="34">
        <v>1</v>
      </c>
      <c r="I19" s="43">
        <v>3</v>
      </c>
      <c r="J19" s="43">
        <v>1</v>
      </c>
      <c r="K19" s="29"/>
      <c r="L19" s="35">
        <v>0</v>
      </c>
      <c r="M19" s="58">
        <f t="shared" si="0"/>
        <v>132</v>
      </c>
      <c r="N19" s="22">
        <f t="shared" si="1"/>
        <v>130.51502398496612</v>
      </c>
      <c r="O19" s="59">
        <f t="shared" si="2"/>
        <v>0.98875018170428874</v>
      </c>
    </row>
    <row r="20" spans="2:15" ht="16" x14ac:dyDescent="0.2">
      <c r="B20" s="47">
        <v>12</v>
      </c>
      <c r="C20" s="41">
        <v>1</v>
      </c>
      <c r="D20" s="41">
        <v>3</v>
      </c>
      <c r="E20" s="41">
        <v>1</v>
      </c>
      <c r="F20" s="28"/>
      <c r="G20" s="42">
        <v>1</v>
      </c>
      <c r="H20" s="32">
        <v>1</v>
      </c>
      <c r="I20" s="41">
        <v>3</v>
      </c>
      <c r="J20" s="41">
        <v>1</v>
      </c>
      <c r="K20" s="28"/>
      <c r="L20" s="33">
        <v>0</v>
      </c>
      <c r="M20" s="58">
        <f t="shared" si="0"/>
        <v>132</v>
      </c>
      <c r="N20" s="22">
        <f t="shared" si="1"/>
        <v>120.47540675535333</v>
      </c>
      <c r="O20" s="59">
        <f t="shared" si="2"/>
        <v>0.9126924754193434</v>
      </c>
    </row>
    <row r="21" spans="2:15" ht="16" x14ac:dyDescent="0.2">
      <c r="B21" s="49">
        <v>11</v>
      </c>
      <c r="C21" s="43">
        <v>1</v>
      </c>
      <c r="D21" s="43">
        <v>2</v>
      </c>
      <c r="E21" s="43">
        <v>0</v>
      </c>
      <c r="F21" s="29"/>
      <c r="G21" s="44">
        <v>1</v>
      </c>
      <c r="H21" s="34">
        <v>1</v>
      </c>
      <c r="I21" s="43">
        <v>2</v>
      </c>
      <c r="J21" s="43">
        <v>0</v>
      </c>
      <c r="K21" s="29"/>
      <c r="L21" s="35">
        <v>0</v>
      </c>
      <c r="M21" s="58">
        <f t="shared" si="0"/>
        <v>84</v>
      </c>
      <c r="N21" s="22">
        <f t="shared" si="1"/>
        <v>110.43578952574056</v>
      </c>
      <c r="O21" s="59">
        <f t="shared" si="2"/>
        <v>1.3147117800683401</v>
      </c>
    </row>
    <row r="22" spans="2:15" ht="16" x14ac:dyDescent="0.2">
      <c r="B22" s="47">
        <v>10</v>
      </c>
      <c r="C22" s="41">
        <v>1</v>
      </c>
      <c r="D22" s="41">
        <v>2</v>
      </c>
      <c r="E22" s="41">
        <v>0</v>
      </c>
      <c r="F22" s="28"/>
      <c r="G22" s="42">
        <v>1</v>
      </c>
      <c r="H22" s="32">
        <v>1</v>
      </c>
      <c r="I22" s="41">
        <v>2</v>
      </c>
      <c r="J22" s="41">
        <v>0</v>
      </c>
      <c r="K22" s="28"/>
      <c r="L22" s="33">
        <v>0</v>
      </c>
      <c r="M22" s="58">
        <f t="shared" si="0"/>
        <v>84</v>
      </c>
      <c r="N22" s="22">
        <f t="shared" si="1"/>
        <v>100.39617229612779</v>
      </c>
      <c r="O22" s="59">
        <f t="shared" si="2"/>
        <v>1.1951925273348547</v>
      </c>
    </row>
    <row r="23" spans="2:15" ht="16" x14ac:dyDescent="0.2">
      <c r="B23" s="49">
        <v>9</v>
      </c>
      <c r="C23" s="43">
        <v>1</v>
      </c>
      <c r="D23" s="43">
        <v>2</v>
      </c>
      <c r="E23" s="43">
        <v>0</v>
      </c>
      <c r="F23" s="29"/>
      <c r="G23" s="44">
        <v>0</v>
      </c>
      <c r="H23" s="34">
        <v>1</v>
      </c>
      <c r="I23" s="43">
        <v>2</v>
      </c>
      <c r="J23" s="43">
        <v>0</v>
      </c>
      <c r="K23" s="29"/>
      <c r="L23" s="35">
        <v>0</v>
      </c>
      <c r="M23" s="58">
        <f t="shared" si="0"/>
        <v>72</v>
      </c>
      <c r="N23" s="22">
        <f t="shared" si="1"/>
        <v>90.356555066515</v>
      </c>
      <c r="O23" s="59">
        <f t="shared" si="2"/>
        <v>1.2549521537015973</v>
      </c>
    </row>
    <row r="24" spans="2:15" ht="16" x14ac:dyDescent="0.2">
      <c r="B24" s="47">
        <v>8</v>
      </c>
      <c r="C24" s="41">
        <v>1</v>
      </c>
      <c r="D24" s="41">
        <v>2</v>
      </c>
      <c r="E24" s="41">
        <v>0</v>
      </c>
      <c r="F24" s="28"/>
      <c r="G24" s="42">
        <v>0</v>
      </c>
      <c r="H24" s="32">
        <v>1</v>
      </c>
      <c r="I24" s="41">
        <v>2</v>
      </c>
      <c r="J24" s="41">
        <v>0</v>
      </c>
      <c r="K24" s="28"/>
      <c r="L24" s="33">
        <v>0</v>
      </c>
      <c r="M24" s="58">
        <f t="shared" si="0"/>
        <v>72</v>
      </c>
      <c r="N24" s="22">
        <f t="shared" si="1"/>
        <v>80.316937836902227</v>
      </c>
      <c r="O24" s="59">
        <f t="shared" si="2"/>
        <v>1.115513025512531</v>
      </c>
    </row>
    <row r="25" spans="2:15" ht="16" x14ac:dyDescent="0.2">
      <c r="B25" s="49">
        <v>7</v>
      </c>
      <c r="C25" s="43">
        <v>1</v>
      </c>
      <c r="D25" s="43">
        <v>2</v>
      </c>
      <c r="E25" s="43">
        <v>0</v>
      </c>
      <c r="F25" s="29"/>
      <c r="G25" s="44">
        <v>0</v>
      </c>
      <c r="H25" s="34">
        <v>1</v>
      </c>
      <c r="I25" s="43">
        <v>2</v>
      </c>
      <c r="J25" s="43">
        <v>0</v>
      </c>
      <c r="K25" s="29"/>
      <c r="L25" s="35">
        <v>0</v>
      </c>
      <c r="M25" s="58">
        <f t="shared" si="0"/>
        <v>72</v>
      </c>
      <c r="N25" s="22">
        <f t="shared" si="1"/>
        <v>70.277320607289454</v>
      </c>
      <c r="O25" s="59">
        <f t="shared" si="2"/>
        <v>0.97607389732346461</v>
      </c>
    </row>
    <row r="26" spans="2:15" ht="16" x14ac:dyDescent="0.2">
      <c r="B26" s="47">
        <v>6</v>
      </c>
      <c r="C26" s="41">
        <v>1</v>
      </c>
      <c r="D26" s="41">
        <v>2</v>
      </c>
      <c r="E26" s="41">
        <v>0</v>
      </c>
      <c r="F26" s="28"/>
      <c r="G26" s="42">
        <v>0</v>
      </c>
      <c r="H26" s="32">
        <v>1</v>
      </c>
      <c r="I26" s="41">
        <v>2</v>
      </c>
      <c r="J26" s="41">
        <v>0</v>
      </c>
      <c r="K26" s="28"/>
      <c r="L26" s="33">
        <v>0</v>
      </c>
      <c r="M26" s="58">
        <f t="shared" si="0"/>
        <v>72</v>
      </c>
      <c r="N26" s="22">
        <f t="shared" si="1"/>
        <v>60.237703377676667</v>
      </c>
      <c r="O26" s="59">
        <f t="shared" si="2"/>
        <v>0.83663476913439816</v>
      </c>
    </row>
    <row r="27" spans="2:15" ht="16" x14ac:dyDescent="0.2">
      <c r="B27" s="49">
        <v>5</v>
      </c>
      <c r="C27" s="43">
        <v>1</v>
      </c>
      <c r="D27" s="43">
        <v>1</v>
      </c>
      <c r="E27" s="43">
        <v>0</v>
      </c>
      <c r="F27" s="29"/>
      <c r="G27" s="44">
        <v>0</v>
      </c>
      <c r="H27" s="34">
        <v>1</v>
      </c>
      <c r="I27" s="43">
        <v>1</v>
      </c>
      <c r="J27" s="43">
        <v>0</v>
      </c>
      <c r="K27" s="29"/>
      <c r="L27" s="35">
        <v>0</v>
      </c>
      <c r="M27" s="58">
        <f t="shared" si="0"/>
        <v>48</v>
      </c>
      <c r="N27" s="22">
        <f t="shared" si="1"/>
        <v>50.198086148063894</v>
      </c>
      <c r="O27" s="59">
        <f t="shared" si="2"/>
        <v>1.0457934614179978</v>
      </c>
    </row>
    <row r="28" spans="2:15" ht="16" x14ac:dyDescent="0.2">
      <c r="B28" s="47">
        <v>4</v>
      </c>
      <c r="C28" s="41">
        <v>1</v>
      </c>
      <c r="D28" s="41">
        <v>1</v>
      </c>
      <c r="E28" s="41">
        <v>0</v>
      </c>
      <c r="F28" s="28"/>
      <c r="G28" s="42">
        <v>0</v>
      </c>
      <c r="H28" s="32">
        <v>1</v>
      </c>
      <c r="I28" s="41">
        <v>1</v>
      </c>
      <c r="J28" s="41">
        <v>0</v>
      </c>
      <c r="K28" s="28"/>
      <c r="L28" s="33">
        <v>0</v>
      </c>
      <c r="M28" s="58">
        <f t="shared" si="0"/>
        <v>48</v>
      </c>
      <c r="N28" s="22">
        <f t="shared" si="1"/>
        <v>40.158468918451113</v>
      </c>
      <c r="O28" s="59">
        <f t="shared" si="2"/>
        <v>0.83663476913439816</v>
      </c>
    </row>
    <row r="29" spans="2:15" ht="16" x14ac:dyDescent="0.2">
      <c r="B29" s="49">
        <v>3</v>
      </c>
      <c r="C29" s="43">
        <v>1</v>
      </c>
      <c r="D29" s="43">
        <v>1</v>
      </c>
      <c r="E29" s="43">
        <v>0</v>
      </c>
      <c r="F29" s="29"/>
      <c r="G29" s="44">
        <v>0</v>
      </c>
      <c r="H29" s="34">
        <v>1</v>
      </c>
      <c r="I29" s="43">
        <v>1</v>
      </c>
      <c r="J29" s="43">
        <v>0</v>
      </c>
      <c r="K29" s="29"/>
      <c r="L29" s="35">
        <v>0</v>
      </c>
      <c r="M29" s="58">
        <f t="shared" si="0"/>
        <v>48</v>
      </c>
      <c r="N29" s="22">
        <f t="shared" si="1"/>
        <v>30.118851688838333</v>
      </c>
      <c r="O29" s="59">
        <f t="shared" si="2"/>
        <v>0.62747607685079865</v>
      </c>
    </row>
    <row r="30" spans="2:15" ht="16" x14ac:dyDescent="0.2">
      <c r="B30" s="47">
        <v>2</v>
      </c>
      <c r="C30" s="41">
        <v>1</v>
      </c>
      <c r="D30" s="41">
        <v>1</v>
      </c>
      <c r="E30" s="41">
        <v>0</v>
      </c>
      <c r="F30" s="28"/>
      <c r="G30" s="42">
        <v>0</v>
      </c>
      <c r="H30" s="32">
        <v>1</v>
      </c>
      <c r="I30" s="41">
        <v>1</v>
      </c>
      <c r="J30" s="41">
        <v>0</v>
      </c>
      <c r="K30" s="28"/>
      <c r="L30" s="33">
        <v>0</v>
      </c>
      <c r="M30" s="58">
        <f t="shared" si="0"/>
        <v>48</v>
      </c>
      <c r="N30" s="22">
        <f t="shared" si="1"/>
        <v>20.079234459225557</v>
      </c>
      <c r="O30" s="59">
        <f t="shared" si="2"/>
        <v>0.41831738456719908</v>
      </c>
    </row>
    <row r="31" spans="2:15" ht="17" thickBot="1" x14ac:dyDescent="0.25">
      <c r="B31" s="50">
        <v>1</v>
      </c>
      <c r="C31" s="45">
        <v>1</v>
      </c>
      <c r="D31" s="45">
        <v>1</v>
      </c>
      <c r="E31" s="45">
        <v>0</v>
      </c>
      <c r="F31" s="64"/>
      <c r="G31" s="46">
        <v>0</v>
      </c>
      <c r="H31" s="36">
        <v>1</v>
      </c>
      <c r="I31" s="45">
        <v>1</v>
      </c>
      <c r="J31" s="45">
        <v>0</v>
      </c>
      <c r="K31" s="64"/>
      <c r="L31" s="38">
        <v>0</v>
      </c>
      <c r="M31" s="60">
        <f t="shared" si="0"/>
        <v>48</v>
      </c>
      <c r="N31" s="61">
        <f t="shared" si="1"/>
        <v>10.039617229612778</v>
      </c>
      <c r="O31" s="62">
        <f t="shared" si="2"/>
        <v>0.20915869228359954</v>
      </c>
    </row>
    <row r="32" spans="2:15" ht="16" thickBot="1" x14ac:dyDescent="0.25"/>
    <row r="33" spans="1:15" ht="32" x14ac:dyDescent="0.2">
      <c r="B33" s="11"/>
      <c r="C33" s="12"/>
      <c r="D33" s="13" t="s">
        <v>17</v>
      </c>
      <c r="E33" s="14" t="s">
        <v>18</v>
      </c>
      <c r="F33" s="65"/>
    </row>
    <row r="34" spans="1:15" x14ac:dyDescent="0.2">
      <c r="B34" s="96" t="s">
        <v>19</v>
      </c>
      <c r="C34" s="97"/>
      <c r="D34" s="16"/>
      <c r="E34" s="17">
        <f>(D34*2080)/($O$1*365)</f>
        <v>0</v>
      </c>
      <c r="F34" s="16"/>
    </row>
    <row r="35" spans="1:15" x14ac:dyDescent="0.2">
      <c r="B35" s="96" t="s">
        <v>20</v>
      </c>
      <c r="C35" s="97"/>
      <c r="D35" s="18">
        <v>1</v>
      </c>
      <c r="E35" s="17">
        <f t="shared" ref="E35:E37" si="3">(D35*2080)/($O$1*365)</f>
        <v>0.28801740764551703</v>
      </c>
      <c r="F35" s="16"/>
    </row>
    <row r="36" spans="1:15" x14ac:dyDescent="0.2">
      <c r="B36" s="96" t="s">
        <v>21</v>
      </c>
      <c r="C36" s="97"/>
      <c r="D36" s="16">
        <f>(349/14*26)/2080</f>
        <v>0.31160714285714286</v>
      </c>
      <c r="E36" s="17">
        <f t="shared" si="3"/>
        <v>8.9748281489540574E-2</v>
      </c>
      <c r="F36" s="16"/>
    </row>
    <row r="37" spans="1:15" x14ac:dyDescent="0.2">
      <c r="B37" s="96" t="s">
        <v>22</v>
      </c>
      <c r="C37" s="97"/>
      <c r="D37" s="16">
        <f>(1099/14*26)/2080</f>
        <v>0.98124999999999996</v>
      </c>
      <c r="E37" s="17">
        <f t="shared" si="3"/>
        <v>0.28261708125216362</v>
      </c>
      <c r="F37" s="16"/>
    </row>
    <row r="38" spans="1:15" x14ac:dyDescent="0.2">
      <c r="B38" s="15"/>
      <c r="E38" s="19"/>
    </row>
    <row r="39" spans="1:15" ht="16" thickBot="1" x14ac:dyDescent="0.25">
      <c r="B39" s="98" t="s">
        <v>23</v>
      </c>
      <c r="C39" s="99"/>
      <c r="D39" s="20">
        <f>SUM(D34:D37)</f>
        <v>2.2928571428571427</v>
      </c>
      <c r="E39" s="21">
        <f>SUM(E34:E37)</f>
        <v>0.66038277038722115</v>
      </c>
      <c r="F39" s="16"/>
    </row>
    <row r="44" spans="1:15" x14ac:dyDescent="0.2">
      <c r="A44" s="5"/>
      <c r="B44" s="5"/>
      <c r="M44"/>
      <c r="N44"/>
      <c r="O44"/>
    </row>
    <row r="45" spans="1:15" x14ac:dyDescent="0.2">
      <c r="A45" s="5"/>
      <c r="B45" s="5"/>
      <c r="M45"/>
      <c r="N45"/>
      <c r="O45"/>
    </row>
  </sheetData>
  <mergeCells count="10">
    <mergeCell ref="H3:L3"/>
    <mergeCell ref="C4:G4"/>
    <mergeCell ref="H4:L4"/>
    <mergeCell ref="B34:C34"/>
    <mergeCell ref="B35:C35"/>
    <mergeCell ref="B36:C36"/>
    <mergeCell ref="B37:C37"/>
    <mergeCell ref="B39:C39"/>
    <mergeCell ref="B3:B4"/>
    <mergeCell ref="C3:G3"/>
  </mergeCells>
  <conditionalFormatting sqref="O6:O31">
    <cfRule type="cellIs" dxfId="9" priority="1" operator="lessThan">
      <formula>0.9999999</formula>
    </cfRule>
    <cfRule type="cellIs" dxfId="8" priority="2" operator="greaterThan">
      <formula>0.9999999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D222-EB22-4BA0-948D-A3BD8FDA0CBF}">
  <dimension ref="A1:P43"/>
  <sheetViews>
    <sheetView workbookViewId="0"/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38</v>
      </c>
      <c r="E1" s="7" t="s">
        <v>2</v>
      </c>
      <c r="F1" s="7"/>
      <c r="G1" s="68">
        <v>22.43</v>
      </c>
      <c r="I1" s="7" t="s">
        <v>3</v>
      </c>
      <c r="L1" s="67">
        <f>G1-E37</f>
        <v>19.129079623287669</v>
      </c>
      <c r="M1" s="10"/>
      <c r="N1" s="63" t="s">
        <v>4</v>
      </c>
      <c r="O1" s="69">
        <f>256/14</f>
        <v>18.285714285714285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24</v>
      </c>
      <c r="C6" s="73">
        <v>1</v>
      </c>
      <c r="D6" s="73">
        <v>12</v>
      </c>
      <c r="E6" s="73">
        <v>3</v>
      </c>
      <c r="F6" s="73"/>
      <c r="G6" s="73">
        <v>1</v>
      </c>
      <c r="H6" s="73">
        <v>1</v>
      </c>
      <c r="I6" s="73">
        <v>12</v>
      </c>
      <c r="J6" s="73">
        <v>3</v>
      </c>
      <c r="K6" s="73"/>
      <c r="L6" s="73">
        <v>1</v>
      </c>
      <c r="M6" s="58">
        <f t="shared" ref="M6:M29" si="0">(SUM(C6:L6)*12)</f>
        <v>408</v>
      </c>
      <c r="N6" s="22">
        <f t="shared" ref="N6:N29" si="1">B6*$L$1</f>
        <v>459.09791095890409</v>
      </c>
      <c r="O6" s="59">
        <f t="shared" ref="O6:O29" si="2">N6/M6</f>
        <v>1.1252399778404512</v>
      </c>
    </row>
    <row r="7" spans="2:16" ht="16" x14ac:dyDescent="0.2">
      <c r="B7" s="49">
        <v>23</v>
      </c>
      <c r="C7" s="72">
        <v>1</v>
      </c>
      <c r="D7" s="72">
        <v>12</v>
      </c>
      <c r="E7" s="72">
        <v>3</v>
      </c>
      <c r="F7" s="72"/>
      <c r="G7" s="72">
        <v>1</v>
      </c>
      <c r="H7" s="72">
        <v>1</v>
      </c>
      <c r="I7" s="72">
        <v>12</v>
      </c>
      <c r="J7" s="72">
        <v>3</v>
      </c>
      <c r="K7" s="72"/>
      <c r="L7" s="72">
        <v>1</v>
      </c>
      <c r="M7" s="58">
        <f t="shared" si="0"/>
        <v>408</v>
      </c>
      <c r="N7" s="22">
        <f t="shared" si="1"/>
        <v>439.96883133561641</v>
      </c>
      <c r="O7" s="59">
        <f t="shared" si="2"/>
        <v>1.0783549787637656</v>
      </c>
    </row>
    <row r="8" spans="2:16" ht="16" x14ac:dyDescent="0.2">
      <c r="B8" s="47">
        <v>22</v>
      </c>
      <c r="C8" s="73">
        <v>1</v>
      </c>
      <c r="D8" s="73">
        <v>11</v>
      </c>
      <c r="E8" s="73">
        <v>2</v>
      </c>
      <c r="F8" s="73"/>
      <c r="G8" s="73">
        <v>1</v>
      </c>
      <c r="H8" s="73">
        <v>1</v>
      </c>
      <c r="I8" s="73">
        <v>11</v>
      </c>
      <c r="J8" s="73">
        <v>2</v>
      </c>
      <c r="K8" s="73"/>
      <c r="L8" s="73">
        <v>1</v>
      </c>
      <c r="M8" s="58">
        <f t="shared" si="0"/>
        <v>360</v>
      </c>
      <c r="N8" s="22">
        <f t="shared" si="1"/>
        <v>420.83975171232873</v>
      </c>
      <c r="O8" s="59">
        <f t="shared" si="2"/>
        <v>1.1689993103120242</v>
      </c>
    </row>
    <row r="9" spans="2:16" ht="16" x14ac:dyDescent="0.2">
      <c r="B9" s="49">
        <v>21</v>
      </c>
      <c r="C9" s="72">
        <v>1</v>
      </c>
      <c r="D9" s="72">
        <v>11</v>
      </c>
      <c r="E9" s="72">
        <v>2</v>
      </c>
      <c r="F9" s="72"/>
      <c r="G9" s="72">
        <v>1</v>
      </c>
      <c r="H9" s="72">
        <v>1</v>
      </c>
      <c r="I9" s="72">
        <v>11</v>
      </c>
      <c r="J9" s="72">
        <v>2</v>
      </c>
      <c r="K9" s="72"/>
      <c r="L9" s="72">
        <v>1</v>
      </c>
      <c r="M9" s="58">
        <f t="shared" si="0"/>
        <v>360</v>
      </c>
      <c r="N9" s="22">
        <f t="shared" si="1"/>
        <v>401.71067208904105</v>
      </c>
      <c r="O9" s="59">
        <f t="shared" si="2"/>
        <v>1.1158629780251141</v>
      </c>
    </row>
    <row r="10" spans="2:16" ht="16" x14ac:dyDescent="0.2">
      <c r="B10" s="47">
        <v>20</v>
      </c>
      <c r="C10" s="73">
        <v>1</v>
      </c>
      <c r="D10" s="73">
        <v>10</v>
      </c>
      <c r="E10" s="73">
        <v>2</v>
      </c>
      <c r="F10" s="73"/>
      <c r="G10" s="73">
        <v>1</v>
      </c>
      <c r="H10" s="73">
        <v>1</v>
      </c>
      <c r="I10" s="73">
        <v>10</v>
      </c>
      <c r="J10" s="73">
        <v>2</v>
      </c>
      <c r="K10" s="73"/>
      <c r="L10" s="73">
        <v>1</v>
      </c>
      <c r="M10" s="58">
        <f t="shared" si="0"/>
        <v>336</v>
      </c>
      <c r="N10" s="22">
        <f t="shared" si="1"/>
        <v>382.58159246575337</v>
      </c>
      <c r="O10" s="59">
        <f t="shared" si="2"/>
        <v>1.1386356918623612</v>
      </c>
    </row>
    <row r="11" spans="2:16" ht="16" x14ac:dyDescent="0.2">
      <c r="B11" s="49">
        <v>19</v>
      </c>
      <c r="C11" s="72">
        <v>1</v>
      </c>
      <c r="D11" s="72">
        <v>10</v>
      </c>
      <c r="E11" s="72">
        <v>2</v>
      </c>
      <c r="F11" s="72"/>
      <c r="G11" s="72">
        <v>1</v>
      </c>
      <c r="H11" s="72">
        <v>1</v>
      </c>
      <c r="I11" s="72">
        <v>10</v>
      </c>
      <c r="J11" s="72">
        <v>2</v>
      </c>
      <c r="K11" s="72"/>
      <c r="L11" s="72">
        <v>1</v>
      </c>
      <c r="M11" s="58">
        <f t="shared" si="0"/>
        <v>336</v>
      </c>
      <c r="N11" s="22">
        <f t="shared" si="1"/>
        <v>363.45251284246569</v>
      </c>
      <c r="O11" s="59">
        <f t="shared" si="2"/>
        <v>1.0817039072692431</v>
      </c>
    </row>
    <row r="12" spans="2:16" ht="16" x14ac:dyDescent="0.2">
      <c r="B12" s="47">
        <v>18</v>
      </c>
      <c r="C12" s="73">
        <v>1</v>
      </c>
      <c r="D12" s="73">
        <v>9</v>
      </c>
      <c r="E12" s="73">
        <v>2</v>
      </c>
      <c r="F12" s="73"/>
      <c r="G12" s="73">
        <v>1</v>
      </c>
      <c r="H12" s="73">
        <v>1</v>
      </c>
      <c r="I12" s="73">
        <v>9</v>
      </c>
      <c r="J12" s="73">
        <v>2</v>
      </c>
      <c r="K12" s="73"/>
      <c r="L12" s="73">
        <v>1</v>
      </c>
      <c r="M12" s="58">
        <f t="shared" si="0"/>
        <v>312</v>
      </c>
      <c r="N12" s="22">
        <f t="shared" si="1"/>
        <v>344.32343321917807</v>
      </c>
      <c r="O12" s="59">
        <f t="shared" si="2"/>
        <v>1.1036007474973657</v>
      </c>
    </row>
    <row r="13" spans="2:16" ht="16" x14ac:dyDescent="0.2">
      <c r="B13" s="49">
        <v>17</v>
      </c>
      <c r="C13" s="72">
        <v>1</v>
      </c>
      <c r="D13" s="72">
        <v>9</v>
      </c>
      <c r="E13" s="72">
        <v>2</v>
      </c>
      <c r="F13" s="72"/>
      <c r="G13" s="72">
        <v>1</v>
      </c>
      <c r="H13" s="72">
        <v>1</v>
      </c>
      <c r="I13" s="72">
        <v>9</v>
      </c>
      <c r="J13" s="72">
        <v>2</v>
      </c>
      <c r="K13" s="72"/>
      <c r="L13" s="72">
        <v>1</v>
      </c>
      <c r="M13" s="58">
        <f t="shared" si="0"/>
        <v>312</v>
      </c>
      <c r="N13" s="22">
        <f t="shared" si="1"/>
        <v>325.19435359589039</v>
      </c>
      <c r="O13" s="59">
        <f t="shared" si="2"/>
        <v>1.042289594858623</v>
      </c>
    </row>
    <row r="14" spans="2:16" ht="16" x14ac:dyDescent="0.2">
      <c r="B14" s="47">
        <v>16</v>
      </c>
      <c r="C14" s="73">
        <v>1</v>
      </c>
      <c r="D14" s="73">
        <v>8</v>
      </c>
      <c r="E14" s="73">
        <v>2</v>
      </c>
      <c r="F14" s="73"/>
      <c r="G14" s="73">
        <v>1</v>
      </c>
      <c r="H14" s="73">
        <v>1</v>
      </c>
      <c r="I14" s="73">
        <v>8</v>
      </c>
      <c r="J14" s="73">
        <v>2</v>
      </c>
      <c r="K14" s="73"/>
      <c r="L14" s="73">
        <v>1</v>
      </c>
      <c r="M14" s="58">
        <f t="shared" si="0"/>
        <v>288</v>
      </c>
      <c r="N14" s="22">
        <f t="shared" si="1"/>
        <v>306.06527397260271</v>
      </c>
      <c r="O14" s="59">
        <f t="shared" si="2"/>
        <v>1.0627266457382039</v>
      </c>
    </row>
    <row r="15" spans="2:16" ht="16" x14ac:dyDescent="0.2">
      <c r="B15" s="49">
        <v>15</v>
      </c>
      <c r="C15" s="72">
        <v>1</v>
      </c>
      <c r="D15" s="72">
        <v>8</v>
      </c>
      <c r="E15" s="72">
        <v>2</v>
      </c>
      <c r="F15" s="72"/>
      <c r="G15" s="72">
        <v>1</v>
      </c>
      <c r="H15" s="72">
        <v>1</v>
      </c>
      <c r="I15" s="72">
        <v>8</v>
      </c>
      <c r="J15" s="72">
        <v>2</v>
      </c>
      <c r="K15" s="72"/>
      <c r="L15" s="29">
        <v>1</v>
      </c>
      <c r="M15" s="58">
        <f t="shared" si="0"/>
        <v>288</v>
      </c>
      <c r="N15" s="22">
        <f t="shared" si="1"/>
        <v>286.93619434931503</v>
      </c>
      <c r="O15" s="59">
        <f t="shared" si="2"/>
        <v>0.99630623037956612</v>
      </c>
    </row>
    <row r="16" spans="2:16" ht="16" x14ac:dyDescent="0.2">
      <c r="B16" s="47">
        <v>14</v>
      </c>
      <c r="C16" s="73">
        <v>1</v>
      </c>
      <c r="D16" s="73">
        <v>7</v>
      </c>
      <c r="E16" s="73">
        <v>2</v>
      </c>
      <c r="F16" s="73"/>
      <c r="G16" s="73">
        <v>1</v>
      </c>
      <c r="H16" s="73">
        <v>1</v>
      </c>
      <c r="I16" s="73">
        <v>7</v>
      </c>
      <c r="J16" s="73">
        <v>2</v>
      </c>
      <c r="K16" s="73"/>
      <c r="L16" s="28">
        <v>1</v>
      </c>
      <c r="M16" s="58">
        <f t="shared" si="0"/>
        <v>264</v>
      </c>
      <c r="N16" s="22">
        <f t="shared" si="1"/>
        <v>267.80711472602735</v>
      </c>
      <c r="O16" s="59">
        <f t="shared" si="2"/>
        <v>1.0144208891137401</v>
      </c>
    </row>
    <row r="17" spans="2:15" ht="16" x14ac:dyDescent="0.2">
      <c r="B17" s="49">
        <v>13</v>
      </c>
      <c r="C17" s="72">
        <v>1</v>
      </c>
      <c r="D17" s="72">
        <v>7</v>
      </c>
      <c r="E17" s="72">
        <v>1</v>
      </c>
      <c r="F17" s="72"/>
      <c r="G17" s="72">
        <v>0</v>
      </c>
      <c r="H17" s="72">
        <v>1</v>
      </c>
      <c r="I17" s="72">
        <v>7</v>
      </c>
      <c r="J17" s="72">
        <v>1</v>
      </c>
      <c r="K17" s="72"/>
      <c r="L17" s="72">
        <v>0</v>
      </c>
      <c r="M17" s="58">
        <f t="shared" si="0"/>
        <v>216</v>
      </c>
      <c r="N17" s="22">
        <f t="shared" si="1"/>
        <v>248.6780351027397</v>
      </c>
      <c r="O17" s="59">
        <f t="shared" si="2"/>
        <v>1.1512871995497209</v>
      </c>
    </row>
    <row r="18" spans="2:15" ht="16" x14ac:dyDescent="0.2">
      <c r="B18" s="47">
        <v>12</v>
      </c>
      <c r="C18" s="73">
        <v>1</v>
      </c>
      <c r="D18" s="73">
        <v>6</v>
      </c>
      <c r="E18" s="73">
        <v>1</v>
      </c>
      <c r="F18" s="73"/>
      <c r="G18" s="73">
        <v>0</v>
      </c>
      <c r="H18" s="73">
        <v>1</v>
      </c>
      <c r="I18" s="73">
        <v>6</v>
      </c>
      <c r="J18" s="73">
        <v>1</v>
      </c>
      <c r="K18" s="73"/>
      <c r="L18" s="73">
        <v>0</v>
      </c>
      <c r="M18" s="58">
        <f t="shared" si="0"/>
        <v>192</v>
      </c>
      <c r="N18" s="22">
        <f t="shared" si="1"/>
        <v>229.54895547945205</v>
      </c>
      <c r="O18" s="59">
        <f t="shared" si="2"/>
        <v>1.1955674764554793</v>
      </c>
    </row>
    <row r="19" spans="2:15" ht="16" x14ac:dyDescent="0.2">
      <c r="B19" s="49">
        <v>11</v>
      </c>
      <c r="C19" s="72">
        <v>1</v>
      </c>
      <c r="D19" s="72">
        <v>6</v>
      </c>
      <c r="E19" s="72">
        <v>0</v>
      </c>
      <c r="F19" s="72"/>
      <c r="G19" s="72">
        <v>0</v>
      </c>
      <c r="H19" s="72">
        <v>1</v>
      </c>
      <c r="I19" s="72">
        <v>6</v>
      </c>
      <c r="J19" s="72">
        <v>0</v>
      </c>
      <c r="K19" s="72"/>
      <c r="L19" s="72">
        <v>0</v>
      </c>
      <c r="M19" s="58">
        <f t="shared" si="0"/>
        <v>168</v>
      </c>
      <c r="N19" s="22">
        <f t="shared" si="1"/>
        <v>210.41987585616437</v>
      </c>
      <c r="O19" s="59">
        <f t="shared" si="2"/>
        <v>1.2524992610485974</v>
      </c>
    </row>
    <row r="20" spans="2:15" ht="16" x14ac:dyDescent="0.2">
      <c r="B20" s="47">
        <v>10</v>
      </c>
      <c r="C20" s="73">
        <v>1</v>
      </c>
      <c r="D20" s="73">
        <v>5</v>
      </c>
      <c r="E20" s="73">
        <v>0</v>
      </c>
      <c r="F20" s="73"/>
      <c r="G20" s="73">
        <v>0</v>
      </c>
      <c r="H20" s="73">
        <v>1</v>
      </c>
      <c r="I20" s="73">
        <v>5</v>
      </c>
      <c r="J20" s="73">
        <v>0</v>
      </c>
      <c r="K20" s="73"/>
      <c r="L20" s="73">
        <v>0</v>
      </c>
      <c r="M20" s="58">
        <f t="shared" si="0"/>
        <v>144</v>
      </c>
      <c r="N20" s="22">
        <f t="shared" si="1"/>
        <v>191.29079623287669</v>
      </c>
      <c r="O20" s="59">
        <f t="shared" si="2"/>
        <v>1.3284083071727548</v>
      </c>
    </row>
    <row r="21" spans="2:15" ht="16" x14ac:dyDescent="0.2">
      <c r="B21" s="49">
        <v>9</v>
      </c>
      <c r="C21" s="72">
        <v>1</v>
      </c>
      <c r="D21" s="72">
        <v>5</v>
      </c>
      <c r="E21" s="72">
        <v>0</v>
      </c>
      <c r="F21" s="72"/>
      <c r="G21" s="72">
        <v>0</v>
      </c>
      <c r="H21" s="72">
        <v>1</v>
      </c>
      <c r="I21" s="72">
        <v>5</v>
      </c>
      <c r="J21" s="72">
        <v>0</v>
      </c>
      <c r="K21" s="72"/>
      <c r="L21" s="72">
        <v>0</v>
      </c>
      <c r="M21" s="58">
        <f t="shared" si="0"/>
        <v>144</v>
      </c>
      <c r="N21" s="22">
        <f t="shared" si="1"/>
        <v>172.16171660958904</v>
      </c>
      <c r="O21" s="59">
        <f t="shared" si="2"/>
        <v>1.1955674764554793</v>
      </c>
    </row>
    <row r="22" spans="2:15" ht="16" x14ac:dyDescent="0.2">
      <c r="B22" s="47">
        <v>8</v>
      </c>
      <c r="C22" s="73">
        <v>1</v>
      </c>
      <c r="D22" s="73">
        <v>4</v>
      </c>
      <c r="E22" s="73">
        <v>0</v>
      </c>
      <c r="F22" s="73"/>
      <c r="G22" s="73">
        <v>0</v>
      </c>
      <c r="H22" s="73">
        <v>1</v>
      </c>
      <c r="I22" s="73">
        <v>4</v>
      </c>
      <c r="J22" s="73">
        <v>0</v>
      </c>
      <c r="K22" s="73"/>
      <c r="L22" s="73">
        <v>0</v>
      </c>
      <c r="M22" s="58">
        <f t="shared" si="0"/>
        <v>120</v>
      </c>
      <c r="N22" s="22">
        <f t="shared" si="1"/>
        <v>153.03263698630136</v>
      </c>
      <c r="O22" s="59">
        <f t="shared" si="2"/>
        <v>1.2752719748858445</v>
      </c>
    </row>
    <row r="23" spans="2:15" ht="16" x14ac:dyDescent="0.2">
      <c r="B23" s="49">
        <v>7</v>
      </c>
      <c r="C23" s="72">
        <v>1</v>
      </c>
      <c r="D23" s="72">
        <v>4</v>
      </c>
      <c r="E23" s="72">
        <v>0</v>
      </c>
      <c r="F23" s="72"/>
      <c r="G23" s="72">
        <v>0</v>
      </c>
      <c r="H23" s="72">
        <v>1</v>
      </c>
      <c r="I23" s="72">
        <v>4</v>
      </c>
      <c r="J23" s="72">
        <v>0</v>
      </c>
      <c r="K23" s="72"/>
      <c r="L23" s="72">
        <v>0</v>
      </c>
      <c r="M23" s="58">
        <f t="shared" si="0"/>
        <v>120</v>
      </c>
      <c r="N23" s="22">
        <f t="shared" si="1"/>
        <v>133.90355736301368</v>
      </c>
      <c r="O23" s="59">
        <f t="shared" si="2"/>
        <v>1.1158629780251139</v>
      </c>
    </row>
    <row r="24" spans="2:15" ht="16" x14ac:dyDescent="0.2">
      <c r="B24" s="47">
        <v>6</v>
      </c>
      <c r="C24" s="73">
        <v>1</v>
      </c>
      <c r="D24" s="73">
        <v>3</v>
      </c>
      <c r="E24" s="73">
        <v>0</v>
      </c>
      <c r="F24" s="73"/>
      <c r="G24" s="73">
        <v>0</v>
      </c>
      <c r="H24" s="73">
        <v>1</v>
      </c>
      <c r="I24" s="73">
        <v>3</v>
      </c>
      <c r="J24" s="73">
        <v>0</v>
      </c>
      <c r="K24" s="73"/>
      <c r="L24" s="73">
        <v>0</v>
      </c>
      <c r="M24" s="58">
        <f t="shared" si="0"/>
        <v>96</v>
      </c>
      <c r="N24" s="22">
        <f t="shared" si="1"/>
        <v>114.77447773972602</v>
      </c>
      <c r="O24" s="59">
        <f t="shared" si="2"/>
        <v>1.1955674764554793</v>
      </c>
    </row>
    <row r="25" spans="2:15" ht="16" x14ac:dyDescent="0.2">
      <c r="B25" s="49">
        <v>5</v>
      </c>
      <c r="C25" s="72">
        <v>1</v>
      </c>
      <c r="D25" s="72">
        <v>3</v>
      </c>
      <c r="E25" s="72">
        <v>0</v>
      </c>
      <c r="F25" s="72"/>
      <c r="G25" s="72">
        <v>0</v>
      </c>
      <c r="H25" s="72">
        <v>1</v>
      </c>
      <c r="I25" s="72">
        <v>3</v>
      </c>
      <c r="J25" s="72">
        <v>0</v>
      </c>
      <c r="K25" s="72"/>
      <c r="L25" s="72">
        <v>0</v>
      </c>
      <c r="M25" s="58">
        <f t="shared" si="0"/>
        <v>96</v>
      </c>
      <c r="N25" s="22">
        <f t="shared" si="1"/>
        <v>95.645398116438344</v>
      </c>
      <c r="O25" s="59">
        <f t="shared" si="2"/>
        <v>0.99630623037956612</v>
      </c>
    </row>
    <row r="26" spans="2:15" ht="16" x14ac:dyDescent="0.2">
      <c r="B26" s="47">
        <v>4</v>
      </c>
      <c r="C26" s="73">
        <v>1</v>
      </c>
      <c r="D26" s="73">
        <v>2</v>
      </c>
      <c r="E26" s="73">
        <v>0</v>
      </c>
      <c r="F26" s="73"/>
      <c r="G26" s="73">
        <v>0</v>
      </c>
      <c r="H26" s="73">
        <v>1</v>
      </c>
      <c r="I26" s="73">
        <v>2</v>
      </c>
      <c r="J26" s="73">
        <v>0</v>
      </c>
      <c r="K26" s="73"/>
      <c r="L26" s="73">
        <v>0</v>
      </c>
      <c r="M26" s="58">
        <f t="shared" si="0"/>
        <v>72</v>
      </c>
      <c r="N26" s="22">
        <f t="shared" si="1"/>
        <v>76.516318493150678</v>
      </c>
      <c r="O26" s="59">
        <f t="shared" si="2"/>
        <v>1.0627266457382039</v>
      </c>
    </row>
    <row r="27" spans="2:15" ht="16" x14ac:dyDescent="0.2">
      <c r="B27" s="49">
        <v>3</v>
      </c>
      <c r="C27" s="72">
        <v>1</v>
      </c>
      <c r="D27" s="72">
        <v>2</v>
      </c>
      <c r="E27" s="72">
        <v>0</v>
      </c>
      <c r="F27" s="72"/>
      <c r="G27" s="72">
        <v>0</v>
      </c>
      <c r="H27" s="72">
        <v>1</v>
      </c>
      <c r="I27" s="72">
        <v>2</v>
      </c>
      <c r="J27" s="72">
        <v>0</v>
      </c>
      <c r="K27" s="72"/>
      <c r="L27" s="72">
        <v>0</v>
      </c>
      <c r="M27" s="58">
        <f t="shared" si="0"/>
        <v>72</v>
      </c>
      <c r="N27" s="22">
        <f t="shared" si="1"/>
        <v>57.387238869863012</v>
      </c>
      <c r="O27" s="59">
        <f t="shared" si="2"/>
        <v>0.79704498430365289</v>
      </c>
    </row>
    <row r="28" spans="2:15" ht="16" x14ac:dyDescent="0.2">
      <c r="B28" s="47">
        <v>2</v>
      </c>
      <c r="C28" s="73">
        <v>1</v>
      </c>
      <c r="D28" s="73">
        <v>1</v>
      </c>
      <c r="E28" s="73">
        <v>0</v>
      </c>
      <c r="F28" s="73"/>
      <c r="G28" s="73">
        <v>0</v>
      </c>
      <c r="H28" s="73">
        <v>1</v>
      </c>
      <c r="I28" s="73">
        <v>1</v>
      </c>
      <c r="J28" s="73">
        <v>0</v>
      </c>
      <c r="K28" s="73"/>
      <c r="L28" s="73">
        <v>0</v>
      </c>
      <c r="M28" s="58">
        <f t="shared" si="0"/>
        <v>48</v>
      </c>
      <c r="N28" s="22">
        <f t="shared" si="1"/>
        <v>38.258159246575339</v>
      </c>
      <c r="O28" s="59">
        <f t="shared" si="2"/>
        <v>0.79704498430365289</v>
      </c>
    </row>
    <row r="29" spans="2:15" ht="17" thickBot="1" x14ac:dyDescent="0.25">
      <c r="B29" s="50">
        <v>1</v>
      </c>
      <c r="C29" s="74">
        <v>1</v>
      </c>
      <c r="D29" s="74">
        <v>1</v>
      </c>
      <c r="E29" s="74">
        <v>0</v>
      </c>
      <c r="F29" s="74"/>
      <c r="G29" s="74">
        <v>0</v>
      </c>
      <c r="H29" s="74">
        <v>1</v>
      </c>
      <c r="I29" s="74">
        <v>1</v>
      </c>
      <c r="J29" s="74">
        <v>0</v>
      </c>
      <c r="K29" s="74"/>
      <c r="L29" s="74">
        <v>0</v>
      </c>
      <c r="M29" s="60">
        <f t="shared" si="0"/>
        <v>48</v>
      </c>
      <c r="N29" s="61">
        <f t="shared" si="1"/>
        <v>19.129079623287669</v>
      </c>
      <c r="O29" s="62">
        <f t="shared" si="2"/>
        <v>0.39852249215182645</v>
      </c>
    </row>
    <row r="30" spans="2:15" ht="16" thickBot="1" x14ac:dyDescent="0.25"/>
    <row r="31" spans="2:15" ht="32" x14ac:dyDescent="0.2">
      <c r="B31" s="11"/>
      <c r="C31" s="12"/>
      <c r="D31" s="13" t="s">
        <v>17</v>
      </c>
      <c r="E31" s="14" t="s">
        <v>18</v>
      </c>
      <c r="F31" s="65"/>
    </row>
    <row r="32" spans="2:15" x14ac:dyDescent="0.2">
      <c r="B32" s="96" t="s">
        <v>19</v>
      </c>
      <c r="C32" s="97"/>
      <c r="D32" s="16"/>
      <c r="E32" s="17">
        <f>(D32*2080)/($O$1*365)</f>
        <v>0</v>
      </c>
      <c r="F32" s="16"/>
    </row>
    <row r="33" spans="1:15" x14ac:dyDescent="0.2">
      <c r="B33" s="96" t="s">
        <v>20</v>
      </c>
      <c r="C33" s="97"/>
      <c r="D33" s="18">
        <v>1</v>
      </c>
      <c r="E33" s="17">
        <f t="shared" ref="E33:E35" si="3">(D33*2080)/($O$1*365)</f>
        <v>0.31164383561643838</v>
      </c>
      <c r="F33" s="16"/>
    </row>
    <row r="34" spans="1:15" x14ac:dyDescent="0.2">
      <c r="B34" s="96" t="s">
        <v>21</v>
      </c>
      <c r="C34" s="97"/>
      <c r="D34" s="16">
        <f>(1352/14*26)/2080</f>
        <v>1.2071428571428571</v>
      </c>
      <c r="E34" s="17">
        <f t="shared" si="3"/>
        <v>0.37619863013698629</v>
      </c>
      <c r="F34" s="16"/>
    </row>
    <row r="35" spans="1:15" x14ac:dyDescent="0.2">
      <c r="B35" s="96" t="s">
        <v>22</v>
      </c>
      <c r="C35" s="97"/>
      <c r="D35" s="16">
        <f>(9391/14*26)/2080</f>
        <v>8.3848214285714295</v>
      </c>
      <c r="E35" s="17">
        <f t="shared" si="3"/>
        <v>2.6130779109589044</v>
      </c>
      <c r="F35" s="16"/>
    </row>
    <row r="36" spans="1:15" x14ac:dyDescent="0.2">
      <c r="B36" s="15"/>
      <c r="E36" s="19"/>
    </row>
    <row r="37" spans="1:15" ht="16" thickBot="1" x14ac:dyDescent="0.25">
      <c r="B37" s="98" t="s">
        <v>23</v>
      </c>
      <c r="C37" s="99"/>
      <c r="D37" s="20">
        <f>SUM(D32:D35)</f>
        <v>10.591964285714287</v>
      </c>
      <c r="E37" s="21">
        <f>SUM(E32:E35)</f>
        <v>3.300920376712329</v>
      </c>
      <c r="F37" s="16"/>
    </row>
    <row r="42" spans="1:15" x14ac:dyDescent="0.2">
      <c r="A42" s="5"/>
      <c r="B42" s="5"/>
      <c r="M42"/>
      <c r="N42"/>
      <c r="O42"/>
    </row>
    <row r="43" spans="1:15" x14ac:dyDescent="0.2">
      <c r="A43" s="5"/>
      <c r="B43" s="5"/>
      <c r="M43"/>
      <c r="N43"/>
      <c r="O43"/>
    </row>
  </sheetData>
  <mergeCells count="10">
    <mergeCell ref="H3:L3"/>
    <mergeCell ref="C4:G4"/>
    <mergeCell ref="H4:L4"/>
    <mergeCell ref="B32:C32"/>
    <mergeCell ref="B33:C33"/>
    <mergeCell ref="B34:C34"/>
    <mergeCell ref="B35:C35"/>
    <mergeCell ref="B37:C37"/>
    <mergeCell ref="B3:B4"/>
    <mergeCell ref="C3:G3"/>
  </mergeCells>
  <conditionalFormatting sqref="O6:O29">
    <cfRule type="cellIs" dxfId="7" priority="1" operator="lessThan">
      <formula>0.9999999</formula>
    </cfRule>
    <cfRule type="cellIs" dxfId="6" priority="2" operator="greaterThan">
      <formula>0.9999999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5090-33A7-423C-AE07-A79D30C29036}">
  <dimension ref="A1:P3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39</v>
      </c>
      <c r="E1" s="7" t="s">
        <v>2</v>
      </c>
      <c r="F1" s="7"/>
      <c r="G1" s="84">
        <v>22.05</v>
      </c>
      <c r="I1" s="7" t="s">
        <v>3</v>
      </c>
      <c r="L1" s="67">
        <f>G1-E26</f>
        <v>18.524827397260275</v>
      </c>
      <c r="M1" s="10"/>
      <c r="N1" s="63" t="s">
        <v>4</v>
      </c>
      <c r="O1" s="69">
        <f>125/14</f>
        <v>8.9285714285714288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13</v>
      </c>
      <c r="C6" s="75">
        <v>1</v>
      </c>
      <c r="D6" s="75">
        <v>6</v>
      </c>
      <c r="E6" s="75">
        <v>1.5</v>
      </c>
      <c r="F6" s="72"/>
      <c r="G6" s="76">
        <v>0</v>
      </c>
      <c r="H6" s="77">
        <v>1</v>
      </c>
      <c r="I6" s="75">
        <v>6</v>
      </c>
      <c r="J6" s="75">
        <v>1.5</v>
      </c>
      <c r="K6" s="72"/>
      <c r="L6" s="76">
        <v>0</v>
      </c>
      <c r="M6" s="58">
        <f t="shared" ref="M6:M18" si="0">(SUM(C6:L6)*12)</f>
        <v>204</v>
      </c>
      <c r="N6" s="22">
        <f t="shared" ref="N6:N18" si="1">B6*$L$1</f>
        <v>240.82275616438358</v>
      </c>
      <c r="O6" s="59">
        <f t="shared" ref="O6:O18" si="2">N6/M6</f>
        <v>1.1805037066881547</v>
      </c>
    </row>
    <row r="7" spans="2:16" ht="16" x14ac:dyDescent="0.2">
      <c r="B7" s="47">
        <v>12</v>
      </c>
      <c r="C7" s="78">
        <v>1</v>
      </c>
      <c r="D7" s="78">
        <v>6</v>
      </c>
      <c r="E7" s="78">
        <v>1.5</v>
      </c>
      <c r="F7" s="73"/>
      <c r="G7" s="79">
        <v>0</v>
      </c>
      <c r="H7" s="80">
        <v>1</v>
      </c>
      <c r="I7" s="78">
        <v>6</v>
      </c>
      <c r="J7" s="78">
        <v>1.5</v>
      </c>
      <c r="K7" s="73"/>
      <c r="L7" s="79">
        <v>0</v>
      </c>
      <c r="M7" s="58">
        <f t="shared" si="0"/>
        <v>204</v>
      </c>
      <c r="N7" s="22">
        <f t="shared" si="1"/>
        <v>222.2979287671233</v>
      </c>
      <c r="O7" s="59">
        <f t="shared" si="2"/>
        <v>1.0896957292506044</v>
      </c>
    </row>
    <row r="8" spans="2:16" ht="16" x14ac:dyDescent="0.2">
      <c r="B8" s="49">
        <v>11</v>
      </c>
      <c r="C8" s="75">
        <v>1</v>
      </c>
      <c r="D8" s="75">
        <v>6</v>
      </c>
      <c r="E8" s="75">
        <v>1.5</v>
      </c>
      <c r="F8" s="72"/>
      <c r="G8" s="76">
        <v>0</v>
      </c>
      <c r="H8" s="77">
        <v>1</v>
      </c>
      <c r="I8" s="75">
        <v>6</v>
      </c>
      <c r="J8" s="75">
        <v>1.5</v>
      </c>
      <c r="K8" s="72"/>
      <c r="L8" s="76">
        <v>0</v>
      </c>
      <c r="M8" s="58">
        <f t="shared" si="0"/>
        <v>204</v>
      </c>
      <c r="N8" s="22">
        <f t="shared" si="1"/>
        <v>203.77310136986301</v>
      </c>
      <c r="O8" s="59">
        <f t="shared" si="2"/>
        <v>0.998887751813054</v>
      </c>
    </row>
    <row r="9" spans="2:16" ht="16" x14ac:dyDescent="0.2">
      <c r="B9" s="47">
        <v>10</v>
      </c>
      <c r="C9" s="78">
        <v>1</v>
      </c>
      <c r="D9" s="78">
        <v>5</v>
      </c>
      <c r="E9" s="78">
        <v>1</v>
      </c>
      <c r="F9" s="73"/>
      <c r="G9" s="79">
        <v>0</v>
      </c>
      <c r="H9" s="80">
        <v>1</v>
      </c>
      <c r="I9" s="78">
        <v>5</v>
      </c>
      <c r="J9" s="78">
        <v>1</v>
      </c>
      <c r="K9" s="73"/>
      <c r="L9" s="79">
        <v>0</v>
      </c>
      <c r="M9" s="58">
        <f t="shared" si="0"/>
        <v>168</v>
      </c>
      <c r="N9" s="22">
        <f t="shared" si="1"/>
        <v>185.24827397260276</v>
      </c>
      <c r="O9" s="59">
        <f t="shared" si="2"/>
        <v>1.1026682974559687</v>
      </c>
    </row>
    <row r="10" spans="2:16" ht="16" x14ac:dyDescent="0.2">
      <c r="B10" s="49">
        <v>9</v>
      </c>
      <c r="C10" s="75">
        <v>1</v>
      </c>
      <c r="D10" s="75">
        <v>5</v>
      </c>
      <c r="E10" s="75">
        <v>1</v>
      </c>
      <c r="F10" s="72"/>
      <c r="G10" s="76">
        <v>0</v>
      </c>
      <c r="H10" s="77">
        <v>1</v>
      </c>
      <c r="I10" s="75">
        <v>5</v>
      </c>
      <c r="J10" s="75">
        <v>1</v>
      </c>
      <c r="K10" s="72"/>
      <c r="L10" s="76">
        <v>0</v>
      </c>
      <c r="M10" s="58">
        <f t="shared" si="0"/>
        <v>168</v>
      </c>
      <c r="N10" s="22">
        <f t="shared" si="1"/>
        <v>166.72344657534248</v>
      </c>
      <c r="O10" s="59">
        <f t="shared" si="2"/>
        <v>0.99240146771037185</v>
      </c>
    </row>
    <row r="11" spans="2:16" ht="16" x14ac:dyDescent="0.2">
      <c r="B11" s="47">
        <v>8</v>
      </c>
      <c r="C11" s="78">
        <v>1</v>
      </c>
      <c r="D11" s="78">
        <v>4</v>
      </c>
      <c r="E11" s="78">
        <v>1</v>
      </c>
      <c r="F11" s="73"/>
      <c r="G11" s="79">
        <v>0</v>
      </c>
      <c r="H11" s="80">
        <v>1</v>
      </c>
      <c r="I11" s="78">
        <v>4</v>
      </c>
      <c r="J11" s="78">
        <v>1</v>
      </c>
      <c r="K11" s="73"/>
      <c r="L11" s="79">
        <v>0</v>
      </c>
      <c r="M11" s="58">
        <f t="shared" si="0"/>
        <v>144</v>
      </c>
      <c r="N11" s="22">
        <f t="shared" si="1"/>
        <v>148.1986191780822</v>
      </c>
      <c r="O11" s="59">
        <f t="shared" si="2"/>
        <v>1.0291570776255707</v>
      </c>
    </row>
    <row r="12" spans="2:16" ht="16" x14ac:dyDescent="0.2">
      <c r="B12" s="49">
        <v>7</v>
      </c>
      <c r="C12" s="75">
        <v>1</v>
      </c>
      <c r="D12" s="75">
        <v>3</v>
      </c>
      <c r="E12" s="75">
        <v>0</v>
      </c>
      <c r="F12" s="72"/>
      <c r="G12" s="76">
        <v>0</v>
      </c>
      <c r="H12" s="77">
        <v>1</v>
      </c>
      <c r="I12" s="75">
        <v>3</v>
      </c>
      <c r="J12" s="75">
        <v>0</v>
      </c>
      <c r="K12" s="72"/>
      <c r="L12" s="76">
        <v>0</v>
      </c>
      <c r="M12" s="58">
        <f t="shared" si="0"/>
        <v>96</v>
      </c>
      <c r="N12" s="22">
        <f t="shared" si="1"/>
        <v>129.67379178082192</v>
      </c>
      <c r="O12" s="59">
        <f t="shared" si="2"/>
        <v>1.3507686643835617</v>
      </c>
    </row>
    <row r="13" spans="2:16" ht="16" x14ac:dyDescent="0.2">
      <c r="B13" s="47">
        <v>6</v>
      </c>
      <c r="C13" s="78">
        <v>1</v>
      </c>
      <c r="D13" s="78">
        <v>3</v>
      </c>
      <c r="E13" s="78">
        <v>0</v>
      </c>
      <c r="F13" s="73"/>
      <c r="G13" s="79">
        <v>0</v>
      </c>
      <c r="H13" s="80">
        <v>1</v>
      </c>
      <c r="I13" s="78">
        <v>3</v>
      </c>
      <c r="J13" s="78">
        <v>0</v>
      </c>
      <c r="K13" s="73"/>
      <c r="L13" s="79">
        <v>0</v>
      </c>
      <c r="M13" s="58">
        <f t="shared" si="0"/>
        <v>96</v>
      </c>
      <c r="N13" s="22">
        <f t="shared" si="1"/>
        <v>111.14896438356165</v>
      </c>
      <c r="O13" s="59">
        <f t="shared" si="2"/>
        <v>1.1578017123287672</v>
      </c>
    </row>
    <row r="14" spans="2:16" ht="16" x14ac:dyDescent="0.2">
      <c r="B14" s="49">
        <v>5</v>
      </c>
      <c r="C14" s="75">
        <v>1</v>
      </c>
      <c r="D14" s="75">
        <v>2</v>
      </c>
      <c r="E14" s="75">
        <v>0</v>
      </c>
      <c r="F14" s="72"/>
      <c r="G14" s="76">
        <v>0</v>
      </c>
      <c r="H14" s="77">
        <v>1</v>
      </c>
      <c r="I14" s="75">
        <v>2</v>
      </c>
      <c r="J14" s="75">
        <v>0</v>
      </c>
      <c r="K14" s="72"/>
      <c r="L14" s="76">
        <v>0</v>
      </c>
      <c r="M14" s="58">
        <f t="shared" si="0"/>
        <v>72</v>
      </c>
      <c r="N14" s="22">
        <f t="shared" si="1"/>
        <v>92.62413698630138</v>
      </c>
      <c r="O14" s="59">
        <f t="shared" si="2"/>
        <v>1.2864463470319636</v>
      </c>
    </row>
    <row r="15" spans="2:16" ht="16" x14ac:dyDescent="0.2">
      <c r="B15" s="47">
        <v>4</v>
      </c>
      <c r="C15" s="78">
        <v>1</v>
      </c>
      <c r="D15" s="78">
        <v>2</v>
      </c>
      <c r="E15" s="78">
        <v>0</v>
      </c>
      <c r="F15" s="73"/>
      <c r="G15" s="79">
        <v>0</v>
      </c>
      <c r="H15" s="80">
        <v>1</v>
      </c>
      <c r="I15" s="78">
        <v>2</v>
      </c>
      <c r="J15" s="78">
        <v>0</v>
      </c>
      <c r="K15" s="73"/>
      <c r="L15" s="79">
        <v>0</v>
      </c>
      <c r="M15" s="58">
        <f t="shared" si="0"/>
        <v>72</v>
      </c>
      <c r="N15" s="22">
        <f t="shared" si="1"/>
        <v>74.099309589041098</v>
      </c>
      <c r="O15" s="59">
        <f t="shared" si="2"/>
        <v>1.0291570776255707</v>
      </c>
    </row>
    <row r="16" spans="2:16" ht="16" x14ac:dyDescent="0.2">
      <c r="B16" s="49">
        <v>3</v>
      </c>
      <c r="C16" s="75">
        <v>1</v>
      </c>
      <c r="D16" s="75">
        <v>2</v>
      </c>
      <c r="E16" s="75">
        <v>0</v>
      </c>
      <c r="F16" s="72"/>
      <c r="G16" s="76">
        <v>0</v>
      </c>
      <c r="H16" s="77">
        <v>1</v>
      </c>
      <c r="I16" s="75">
        <v>2</v>
      </c>
      <c r="J16" s="75">
        <v>0</v>
      </c>
      <c r="K16" s="72"/>
      <c r="L16" s="76">
        <v>0</v>
      </c>
      <c r="M16" s="58">
        <f t="shared" si="0"/>
        <v>72</v>
      </c>
      <c r="N16" s="22">
        <f t="shared" si="1"/>
        <v>55.574482191780824</v>
      </c>
      <c r="O16" s="59">
        <f t="shared" si="2"/>
        <v>0.77186780821917811</v>
      </c>
    </row>
    <row r="17" spans="1:15" ht="16" x14ac:dyDescent="0.2">
      <c r="B17" s="47">
        <v>2</v>
      </c>
      <c r="C17" s="78">
        <v>1</v>
      </c>
      <c r="D17" s="78">
        <v>1</v>
      </c>
      <c r="E17" s="78">
        <v>0</v>
      </c>
      <c r="F17" s="73"/>
      <c r="G17" s="79">
        <v>0</v>
      </c>
      <c r="H17" s="80">
        <v>1</v>
      </c>
      <c r="I17" s="78">
        <v>1</v>
      </c>
      <c r="J17" s="78">
        <v>0</v>
      </c>
      <c r="K17" s="73"/>
      <c r="L17" s="79">
        <v>0</v>
      </c>
      <c r="M17" s="58">
        <f t="shared" si="0"/>
        <v>48</v>
      </c>
      <c r="N17" s="22">
        <f t="shared" si="1"/>
        <v>37.049654794520549</v>
      </c>
      <c r="O17" s="59">
        <f t="shared" si="2"/>
        <v>0.77186780821917811</v>
      </c>
    </row>
    <row r="18" spans="1:15" ht="17" thickBot="1" x14ac:dyDescent="0.25">
      <c r="B18" s="50">
        <v>1</v>
      </c>
      <c r="C18" s="81">
        <v>1</v>
      </c>
      <c r="D18" s="81">
        <v>1</v>
      </c>
      <c r="E18" s="81">
        <v>0</v>
      </c>
      <c r="F18" s="74"/>
      <c r="G18" s="82">
        <v>0</v>
      </c>
      <c r="H18" s="83">
        <v>1</v>
      </c>
      <c r="I18" s="81">
        <v>1</v>
      </c>
      <c r="J18" s="81">
        <v>0</v>
      </c>
      <c r="K18" s="74"/>
      <c r="L18" s="82">
        <v>0</v>
      </c>
      <c r="M18" s="60">
        <f t="shared" si="0"/>
        <v>48</v>
      </c>
      <c r="N18" s="61">
        <f t="shared" si="1"/>
        <v>18.524827397260275</v>
      </c>
      <c r="O18" s="62">
        <f t="shared" si="2"/>
        <v>0.38593390410958905</v>
      </c>
    </row>
    <row r="19" spans="1:15" ht="16" thickBot="1" x14ac:dyDescent="0.25"/>
    <row r="20" spans="1:15" ht="32" x14ac:dyDescent="0.2">
      <c r="B20" s="11"/>
      <c r="C20" s="12"/>
      <c r="D20" s="13" t="s">
        <v>17</v>
      </c>
      <c r="E20" s="14" t="s">
        <v>18</v>
      </c>
      <c r="F20" s="65"/>
    </row>
    <row r="21" spans="1:15" x14ac:dyDescent="0.2">
      <c r="B21" s="96" t="s">
        <v>19</v>
      </c>
      <c r="C21" s="97"/>
      <c r="D21" s="16"/>
      <c r="E21" s="17">
        <f>(D21*2080)/($O$1*365)</f>
        <v>0</v>
      </c>
      <c r="F21" s="16"/>
    </row>
    <row r="22" spans="1:15" x14ac:dyDescent="0.2">
      <c r="B22" s="96" t="s">
        <v>20</v>
      </c>
      <c r="C22" s="97"/>
      <c r="D22" s="18">
        <v>1</v>
      </c>
      <c r="E22" s="17">
        <f t="shared" ref="E22:E24" si="3">(D22*2080)/($O$1*365)</f>
        <v>0.63824657534246576</v>
      </c>
      <c r="F22" s="16"/>
    </row>
    <row r="23" spans="1:15" x14ac:dyDescent="0.2">
      <c r="B23" s="96" t="s">
        <v>21</v>
      </c>
      <c r="C23" s="97"/>
      <c r="D23" s="16">
        <f>(589/14*26)/2080</f>
        <v>0.52589285714285716</v>
      </c>
      <c r="E23" s="17">
        <f t="shared" si="3"/>
        <v>0.33564931506849316</v>
      </c>
      <c r="F23" s="16"/>
    </row>
    <row r="24" spans="1:15" x14ac:dyDescent="0.2">
      <c r="B24" s="96" t="s">
        <v>22</v>
      </c>
      <c r="C24" s="97"/>
      <c r="D24" s="16">
        <f>(4477/14*26)/2080</f>
        <v>3.997321428571428</v>
      </c>
      <c r="E24" s="17">
        <f t="shared" si="3"/>
        <v>2.5512767123287667</v>
      </c>
      <c r="F24" s="16"/>
    </row>
    <row r="25" spans="1:15" x14ac:dyDescent="0.2">
      <c r="B25" s="15"/>
      <c r="E25" s="19"/>
    </row>
    <row r="26" spans="1:15" ht="16" thickBot="1" x14ac:dyDescent="0.25">
      <c r="B26" s="98" t="s">
        <v>23</v>
      </c>
      <c r="C26" s="99"/>
      <c r="D26" s="20">
        <f>SUM(D21:D24)</f>
        <v>5.5232142857142854</v>
      </c>
      <c r="E26" s="21">
        <f>SUM(E21:E24)</f>
        <v>3.5251726027397257</v>
      </c>
      <c r="F26" s="16"/>
    </row>
    <row r="31" spans="1:15" x14ac:dyDescent="0.2">
      <c r="A31" s="5"/>
      <c r="B31" s="5"/>
      <c r="M31"/>
      <c r="N31"/>
      <c r="O31"/>
    </row>
    <row r="32" spans="1:15" x14ac:dyDescent="0.2">
      <c r="A32" s="5"/>
      <c r="B32" s="5"/>
      <c r="M32"/>
      <c r="N32"/>
      <c r="O32"/>
    </row>
  </sheetData>
  <mergeCells count="10">
    <mergeCell ref="H3:L3"/>
    <mergeCell ref="C4:G4"/>
    <mergeCell ref="H4:L4"/>
    <mergeCell ref="B21:C21"/>
    <mergeCell ref="B22:C22"/>
    <mergeCell ref="B23:C23"/>
    <mergeCell ref="B24:C24"/>
    <mergeCell ref="B26:C26"/>
    <mergeCell ref="B3:B4"/>
    <mergeCell ref="C3:G3"/>
  </mergeCells>
  <conditionalFormatting sqref="O6:O18">
    <cfRule type="cellIs" dxfId="5" priority="1" operator="lessThan">
      <formula>0.9999999</formula>
    </cfRule>
    <cfRule type="cellIs" dxfId="4" priority="2" operator="greaterThan">
      <formula>0.9999999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2955-8AD4-4F1A-B0FA-832D29B0FC2D}">
  <dimension ref="A1:P29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40</v>
      </c>
      <c r="E1" s="7" t="s">
        <v>2</v>
      </c>
      <c r="F1" s="7"/>
      <c r="G1" s="84">
        <v>22.05</v>
      </c>
      <c r="I1" s="7" t="s">
        <v>3</v>
      </c>
      <c r="L1" s="67">
        <f>G1-E23</f>
        <v>20.275600718616662</v>
      </c>
      <c r="M1" s="10"/>
      <c r="N1" s="63" t="s">
        <v>4</v>
      </c>
      <c r="O1" s="69">
        <f>122/14</f>
        <v>8.7142857142857135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10</v>
      </c>
      <c r="C6" s="78">
        <v>1</v>
      </c>
      <c r="D6" s="78">
        <v>5</v>
      </c>
      <c r="E6" s="78">
        <v>1</v>
      </c>
      <c r="F6" s="73"/>
      <c r="G6" s="79">
        <v>0</v>
      </c>
      <c r="H6" s="80">
        <v>1</v>
      </c>
      <c r="I6" s="78">
        <v>5</v>
      </c>
      <c r="J6" s="78">
        <v>1</v>
      </c>
      <c r="K6" s="73"/>
      <c r="L6" s="79">
        <v>0</v>
      </c>
      <c r="M6" s="58">
        <f t="shared" ref="M6:M15" si="0">(SUM(C6:L6)*12)</f>
        <v>168</v>
      </c>
      <c r="N6" s="22">
        <f t="shared" ref="N6:N15" si="1">B6*$L$1</f>
        <v>202.75600718616661</v>
      </c>
      <c r="O6" s="59">
        <f t="shared" ref="O6:O15" si="2">N6/M6</f>
        <v>1.2068809951557538</v>
      </c>
    </row>
    <row r="7" spans="2:16" ht="16" x14ac:dyDescent="0.2">
      <c r="B7" s="49">
        <v>9</v>
      </c>
      <c r="C7" s="75">
        <v>1</v>
      </c>
      <c r="D7" s="75">
        <v>5</v>
      </c>
      <c r="E7" s="75">
        <v>1</v>
      </c>
      <c r="F7" s="72"/>
      <c r="G7" s="76">
        <v>0</v>
      </c>
      <c r="H7" s="77">
        <v>1</v>
      </c>
      <c r="I7" s="75">
        <v>5</v>
      </c>
      <c r="J7" s="75">
        <v>1</v>
      </c>
      <c r="K7" s="72"/>
      <c r="L7" s="76">
        <v>0</v>
      </c>
      <c r="M7" s="58">
        <f t="shared" si="0"/>
        <v>168</v>
      </c>
      <c r="N7" s="22">
        <f t="shared" si="1"/>
        <v>182.48040646754995</v>
      </c>
      <c r="O7" s="59">
        <f t="shared" si="2"/>
        <v>1.0861928956401783</v>
      </c>
    </row>
    <row r="8" spans="2:16" ht="16" x14ac:dyDescent="0.2">
      <c r="B8" s="47">
        <v>8</v>
      </c>
      <c r="C8" s="78">
        <v>1</v>
      </c>
      <c r="D8" s="78">
        <v>4</v>
      </c>
      <c r="E8" s="78">
        <v>1</v>
      </c>
      <c r="F8" s="73"/>
      <c r="G8" s="79">
        <v>0</v>
      </c>
      <c r="H8" s="80">
        <v>1</v>
      </c>
      <c r="I8" s="78">
        <v>4</v>
      </c>
      <c r="J8" s="78">
        <v>1</v>
      </c>
      <c r="K8" s="73"/>
      <c r="L8" s="79">
        <v>0</v>
      </c>
      <c r="M8" s="58">
        <f t="shared" si="0"/>
        <v>144</v>
      </c>
      <c r="N8" s="22">
        <f t="shared" si="1"/>
        <v>162.2048057489333</v>
      </c>
      <c r="O8" s="59">
        <f t="shared" si="2"/>
        <v>1.1264222621453701</v>
      </c>
    </row>
    <row r="9" spans="2:16" ht="16" x14ac:dyDescent="0.2">
      <c r="B9" s="49">
        <v>7</v>
      </c>
      <c r="C9" s="75">
        <v>1</v>
      </c>
      <c r="D9" s="75">
        <v>4</v>
      </c>
      <c r="E9" s="75">
        <v>0</v>
      </c>
      <c r="F9" s="72"/>
      <c r="G9" s="76">
        <v>0</v>
      </c>
      <c r="H9" s="77">
        <v>1</v>
      </c>
      <c r="I9" s="75">
        <v>4</v>
      </c>
      <c r="J9" s="75">
        <v>0</v>
      </c>
      <c r="K9" s="72"/>
      <c r="L9" s="76">
        <v>0</v>
      </c>
      <c r="M9" s="58">
        <f t="shared" si="0"/>
        <v>120</v>
      </c>
      <c r="N9" s="22">
        <f t="shared" si="1"/>
        <v>141.92920503031664</v>
      </c>
      <c r="O9" s="59">
        <f t="shared" si="2"/>
        <v>1.1827433752526386</v>
      </c>
    </row>
    <row r="10" spans="2:16" ht="16" x14ac:dyDescent="0.2">
      <c r="B10" s="47">
        <v>6</v>
      </c>
      <c r="C10" s="78">
        <v>1</v>
      </c>
      <c r="D10" s="78">
        <v>3</v>
      </c>
      <c r="E10" s="78">
        <v>0</v>
      </c>
      <c r="F10" s="73"/>
      <c r="G10" s="79">
        <v>0</v>
      </c>
      <c r="H10" s="80">
        <v>1</v>
      </c>
      <c r="I10" s="78">
        <v>3</v>
      </c>
      <c r="J10" s="78">
        <v>0</v>
      </c>
      <c r="K10" s="73"/>
      <c r="L10" s="79">
        <v>0</v>
      </c>
      <c r="M10" s="58">
        <f t="shared" si="0"/>
        <v>96</v>
      </c>
      <c r="N10" s="22">
        <f t="shared" si="1"/>
        <v>121.65360431169998</v>
      </c>
      <c r="O10" s="59">
        <f t="shared" si="2"/>
        <v>1.2672250449135414</v>
      </c>
    </row>
    <row r="11" spans="2:16" ht="16" x14ac:dyDescent="0.2">
      <c r="B11" s="49">
        <v>5</v>
      </c>
      <c r="C11" s="75">
        <v>1</v>
      </c>
      <c r="D11" s="75">
        <v>2</v>
      </c>
      <c r="E11" s="75">
        <v>0</v>
      </c>
      <c r="F11" s="72"/>
      <c r="G11" s="76">
        <v>0</v>
      </c>
      <c r="H11" s="77">
        <v>1</v>
      </c>
      <c r="I11" s="75">
        <v>2</v>
      </c>
      <c r="J11" s="75">
        <v>0</v>
      </c>
      <c r="K11" s="72"/>
      <c r="L11" s="76">
        <v>0</v>
      </c>
      <c r="M11" s="58">
        <f t="shared" si="0"/>
        <v>72</v>
      </c>
      <c r="N11" s="22">
        <f t="shared" si="1"/>
        <v>101.37800359308331</v>
      </c>
      <c r="O11" s="59">
        <f t="shared" si="2"/>
        <v>1.4080278276817126</v>
      </c>
    </row>
    <row r="12" spans="2:16" ht="16" x14ac:dyDescent="0.2">
      <c r="B12" s="47">
        <v>4</v>
      </c>
      <c r="C12" s="78">
        <v>1</v>
      </c>
      <c r="D12" s="78">
        <v>2</v>
      </c>
      <c r="E12" s="78">
        <v>0</v>
      </c>
      <c r="F12" s="73"/>
      <c r="G12" s="79">
        <v>0</v>
      </c>
      <c r="H12" s="80">
        <v>1</v>
      </c>
      <c r="I12" s="78">
        <v>2</v>
      </c>
      <c r="J12" s="78">
        <v>0</v>
      </c>
      <c r="K12" s="73"/>
      <c r="L12" s="79">
        <v>0</v>
      </c>
      <c r="M12" s="58">
        <f t="shared" si="0"/>
        <v>72</v>
      </c>
      <c r="N12" s="22">
        <f t="shared" si="1"/>
        <v>81.102402874466648</v>
      </c>
      <c r="O12" s="59">
        <f t="shared" si="2"/>
        <v>1.1264222621453701</v>
      </c>
    </row>
    <row r="13" spans="2:16" ht="16" x14ac:dyDescent="0.2">
      <c r="B13" s="49">
        <v>3</v>
      </c>
      <c r="C13" s="75">
        <v>1</v>
      </c>
      <c r="D13" s="75">
        <v>2</v>
      </c>
      <c r="E13" s="75">
        <v>0</v>
      </c>
      <c r="F13" s="72"/>
      <c r="G13" s="76">
        <v>0</v>
      </c>
      <c r="H13" s="77">
        <v>1</v>
      </c>
      <c r="I13" s="75">
        <v>2</v>
      </c>
      <c r="J13" s="75">
        <v>0</v>
      </c>
      <c r="K13" s="72"/>
      <c r="L13" s="76">
        <v>0</v>
      </c>
      <c r="M13" s="58">
        <f t="shared" si="0"/>
        <v>72</v>
      </c>
      <c r="N13" s="22">
        <f t="shared" si="1"/>
        <v>60.82680215584999</v>
      </c>
      <c r="O13" s="59">
        <f t="shared" si="2"/>
        <v>0.84481669660902758</v>
      </c>
    </row>
    <row r="14" spans="2:16" ht="16" x14ac:dyDescent="0.2">
      <c r="B14" s="47">
        <v>2</v>
      </c>
      <c r="C14" s="78">
        <v>1</v>
      </c>
      <c r="D14" s="78">
        <v>1</v>
      </c>
      <c r="E14" s="78">
        <v>0</v>
      </c>
      <c r="F14" s="73"/>
      <c r="G14" s="79">
        <v>0</v>
      </c>
      <c r="H14" s="80">
        <v>1</v>
      </c>
      <c r="I14" s="78">
        <v>1</v>
      </c>
      <c r="J14" s="78">
        <v>0</v>
      </c>
      <c r="K14" s="73"/>
      <c r="L14" s="79">
        <v>0</v>
      </c>
      <c r="M14" s="58">
        <f t="shared" si="0"/>
        <v>48</v>
      </c>
      <c r="N14" s="22">
        <f t="shared" si="1"/>
        <v>40.551201437233324</v>
      </c>
      <c r="O14" s="59">
        <f t="shared" si="2"/>
        <v>0.84481669660902758</v>
      </c>
    </row>
    <row r="15" spans="2:16" ht="17" thickBot="1" x14ac:dyDescent="0.25">
      <c r="B15" s="50">
        <v>1</v>
      </c>
      <c r="C15" s="81">
        <v>1</v>
      </c>
      <c r="D15" s="81">
        <v>1</v>
      </c>
      <c r="E15" s="81">
        <v>0</v>
      </c>
      <c r="F15" s="74"/>
      <c r="G15" s="82">
        <v>0</v>
      </c>
      <c r="H15" s="83">
        <v>1</v>
      </c>
      <c r="I15" s="81">
        <v>1</v>
      </c>
      <c r="J15" s="81">
        <v>0</v>
      </c>
      <c r="K15" s="74"/>
      <c r="L15" s="82">
        <v>0</v>
      </c>
      <c r="M15" s="60">
        <f t="shared" si="0"/>
        <v>48</v>
      </c>
      <c r="N15" s="61">
        <f t="shared" si="1"/>
        <v>20.275600718616662</v>
      </c>
      <c r="O15" s="62">
        <f t="shared" si="2"/>
        <v>0.42240834830451379</v>
      </c>
    </row>
    <row r="16" spans="2:16" ht="16" thickBot="1" x14ac:dyDescent="0.25"/>
    <row r="17" spans="1:15" ht="32" x14ac:dyDescent="0.2">
      <c r="B17" s="11"/>
      <c r="C17" s="12"/>
      <c r="D17" s="13" t="s">
        <v>17</v>
      </c>
      <c r="E17" s="14" t="s">
        <v>18</v>
      </c>
      <c r="F17" s="65"/>
    </row>
    <row r="18" spans="1:15" x14ac:dyDescent="0.2">
      <c r="B18" s="96" t="s">
        <v>19</v>
      </c>
      <c r="C18" s="97"/>
      <c r="D18" s="16"/>
      <c r="E18" s="17">
        <f>(D18*2080)/($O$1*365)</f>
        <v>0</v>
      </c>
      <c r="F18" s="16"/>
    </row>
    <row r="19" spans="1:15" x14ac:dyDescent="0.2">
      <c r="B19" s="96" t="s">
        <v>20</v>
      </c>
      <c r="C19" s="97"/>
      <c r="D19" s="18">
        <v>1</v>
      </c>
      <c r="E19" s="17">
        <f t="shared" ref="E19:E21" si="3">(D19*2080)/($O$1*365)</f>
        <v>0.65394116326072316</v>
      </c>
      <c r="F19" s="16"/>
    </row>
    <row r="20" spans="1:15" x14ac:dyDescent="0.2">
      <c r="B20" s="96" t="s">
        <v>21</v>
      </c>
      <c r="C20" s="97"/>
      <c r="D20" s="16">
        <f>(417/14*26)/2080</f>
        <v>0.37232142857142858</v>
      </c>
      <c r="E20" s="17">
        <f t="shared" si="3"/>
        <v>0.24347630810689427</v>
      </c>
      <c r="F20" s="16"/>
    </row>
    <row r="21" spans="1:15" x14ac:dyDescent="0.2">
      <c r="B21" s="96" t="s">
        <v>22</v>
      </c>
      <c r="C21" s="97"/>
      <c r="D21" s="16">
        <f>(1502/14*26)/2080</f>
        <v>1.3410714285714287</v>
      </c>
      <c r="E21" s="17">
        <f t="shared" si="3"/>
        <v>0.87698181001571984</v>
      </c>
      <c r="F21" s="16"/>
    </row>
    <row r="22" spans="1:15" x14ac:dyDescent="0.2">
      <c r="B22" s="15"/>
      <c r="E22" s="19"/>
    </row>
    <row r="23" spans="1:15" ht="16" thickBot="1" x14ac:dyDescent="0.25">
      <c r="B23" s="98" t="s">
        <v>23</v>
      </c>
      <c r="C23" s="99"/>
      <c r="D23" s="20">
        <f>SUM(D18:D21)</f>
        <v>2.7133928571428569</v>
      </c>
      <c r="E23" s="21">
        <f>SUM(E18:E21)</f>
        <v>1.7743992813833374</v>
      </c>
      <c r="F23" s="16"/>
    </row>
    <row r="28" spans="1:15" x14ac:dyDescent="0.2">
      <c r="A28" s="5"/>
      <c r="B28" s="5"/>
      <c r="M28"/>
      <c r="N28"/>
      <c r="O28"/>
    </row>
    <row r="29" spans="1:15" x14ac:dyDescent="0.2">
      <c r="A29" s="5"/>
      <c r="B29" s="5"/>
      <c r="M29"/>
      <c r="N29"/>
      <c r="O29"/>
    </row>
  </sheetData>
  <mergeCells count="10">
    <mergeCell ref="H3:L3"/>
    <mergeCell ref="C4:G4"/>
    <mergeCell ref="H4:L4"/>
    <mergeCell ref="B19:C19"/>
    <mergeCell ref="B20:C20"/>
    <mergeCell ref="B21:C21"/>
    <mergeCell ref="B18:C18"/>
    <mergeCell ref="B23:C23"/>
    <mergeCell ref="B3:B4"/>
    <mergeCell ref="C3:G3"/>
  </mergeCells>
  <conditionalFormatting sqref="O6:O15">
    <cfRule type="cellIs" dxfId="3" priority="1" operator="lessThan">
      <formula>0.9999999</formula>
    </cfRule>
    <cfRule type="cellIs" dxfId="2" priority="2" operator="greaterThan">
      <formula>0.9999999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3209-FA5C-4F57-8774-2211BA83DCB9}">
  <dimension ref="A1:P36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41</v>
      </c>
      <c r="E1" s="7" t="s">
        <v>2</v>
      </c>
      <c r="F1" s="7"/>
      <c r="G1" s="68">
        <v>28.71</v>
      </c>
      <c r="I1" s="7" t="s">
        <v>3</v>
      </c>
      <c r="L1" s="67">
        <f>G1-E30</f>
        <v>24.847968467304213</v>
      </c>
      <c r="M1" s="10"/>
      <c r="N1" s="63" t="s">
        <v>4</v>
      </c>
      <c r="O1" s="69">
        <f>212/14</f>
        <v>15.142857142857142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17</v>
      </c>
      <c r="C6" s="72">
        <v>1</v>
      </c>
      <c r="D6" s="72">
        <v>12</v>
      </c>
      <c r="E6" s="72">
        <v>2</v>
      </c>
      <c r="F6" s="72"/>
      <c r="G6" s="72">
        <v>1</v>
      </c>
      <c r="H6" s="72">
        <v>1</v>
      </c>
      <c r="I6" s="72">
        <v>12</v>
      </c>
      <c r="J6" s="72">
        <v>2</v>
      </c>
      <c r="K6" s="72"/>
      <c r="L6" s="72">
        <v>1</v>
      </c>
      <c r="M6" s="58">
        <f t="shared" ref="M6:M22" si="0">(SUM(C6:L6)*12)</f>
        <v>384</v>
      </c>
      <c r="N6" s="22">
        <f t="shared" ref="N6:N22" si="1">B6*$L$1</f>
        <v>422.41546394417162</v>
      </c>
      <c r="O6" s="59">
        <f t="shared" ref="O6:O22" si="2">N6/M6</f>
        <v>1.1000402706879469</v>
      </c>
    </row>
    <row r="7" spans="2:16" ht="16" x14ac:dyDescent="0.2">
      <c r="B7" s="47">
        <v>16</v>
      </c>
      <c r="C7" s="73">
        <v>1</v>
      </c>
      <c r="D7" s="73">
        <v>12</v>
      </c>
      <c r="E7" s="73">
        <v>2</v>
      </c>
      <c r="F7" s="73"/>
      <c r="G7" s="73">
        <v>1</v>
      </c>
      <c r="H7" s="73">
        <v>1</v>
      </c>
      <c r="I7" s="73">
        <v>12</v>
      </c>
      <c r="J7" s="73">
        <v>2</v>
      </c>
      <c r="K7" s="73"/>
      <c r="L7" s="73">
        <v>1</v>
      </c>
      <c r="M7" s="58">
        <f t="shared" si="0"/>
        <v>384</v>
      </c>
      <c r="N7" s="22">
        <f t="shared" si="1"/>
        <v>397.56749547686741</v>
      </c>
      <c r="O7" s="59">
        <f t="shared" si="2"/>
        <v>1.0353320194710089</v>
      </c>
    </row>
    <row r="8" spans="2:16" ht="16" x14ac:dyDescent="0.2">
      <c r="B8" s="49">
        <v>15</v>
      </c>
      <c r="C8" s="72">
        <v>1</v>
      </c>
      <c r="D8" s="72">
        <v>11</v>
      </c>
      <c r="E8" s="72">
        <v>2</v>
      </c>
      <c r="F8" s="72"/>
      <c r="G8" s="72">
        <v>1</v>
      </c>
      <c r="H8" s="72">
        <v>1</v>
      </c>
      <c r="I8" s="72">
        <v>11</v>
      </c>
      <c r="J8" s="72">
        <v>2</v>
      </c>
      <c r="K8" s="72"/>
      <c r="L8" s="29">
        <v>1</v>
      </c>
      <c r="M8" s="58">
        <f t="shared" si="0"/>
        <v>360</v>
      </c>
      <c r="N8" s="22">
        <f t="shared" si="1"/>
        <v>372.71952700956319</v>
      </c>
      <c r="O8" s="59">
        <f t="shared" si="2"/>
        <v>1.0353320194710089</v>
      </c>
    </row>
    <row r="9" spans="2:16" ht="16" x14ac:dyDescent="0.2">
      <c r="B9" s="47">
        <v>14</v>
      </c>
      <c r="C9" s="73">
        <v>1</v>
      </c>
      <c r="D9" s="73">
        <v>11</v>
      </c>
      <c r="E9" s="73">
        <v>2</v>
      </c>
      <c r="F9" s="73"/>
      <c r="G9" s="73">
        <v>1</v>
      </c>
      <c r="H9" s="73">
        <v>1</v>
      </c>
      <c r="I9" s="73">
        <v>11</v>
      </c>
      <c r="J9" s="73">
        <v>2</v>
      </c>
      <c r="K9" s="73"/>
      <c r="L9" s="28">
        <v>1</v>
      </c>
      <c r="M9" s="58">
        <f t="shared" si="0"/>
        <v>360</v>
      </c>
      <c r="N9" s="22">
        <f t="shared" si="1"/>
        <v>347.87155854225898</v>
      </c>
      <c r="O9" s="59">
        <f t="shared" si="2"/>
        <v>0.96630988483960834</v>
      </c>
    </row>
    <row r="10" spans="2:16" ht="16" x14ac:dyDescent="0.2">
      <c r="B10" s="49">
        <v>13</v>
      </c>
      <c r="C10" s="72">
        <v>1</v>
      </c>
      <c r="D10" s="72">
        <v>10</v>
      </c>
      <c r="E10" s="72">
        <v>2</v>
      </c>
      <c r="F10" s="72"/>
      <c r="G10" s="72">
        <v>0</v>
      </c>
      <c r="H10" s="72">
        <v>1</v>
      </c>
      <c r="I10" s="72">
        <v>10</v>
      </c>
      <c r="J10" s="72">
        <v>2</v>
      </c>
      <c r="K10" s="72"/>
      <c r="L10" s="72">
        <v>0</v>
      </c>
      <c r="M10" s="58">
        <f t="shared" si="0"/>
        <v>312</v>
      </c>
      <c r="N10" s="22">
        <f t="shared" si="1"/>
        <v>323.02359007495477</v>
      </c>
      <c r="O10" s="59">
        <f t="shared" si="2"/>
        <v>1.0353320194710089</v>
      </c>
    </row>
    <row r="11" spans="2:16" ht="16" x14ac:dyDescent="0.2">
      <c r="B11" s="47">
        <v>12</v>
      </c>
      <c r="C11" s="73">
        <v>1</v>
      </c>
      <c r="D11" s="73">
        <v>10</v>
      </c>
      <c r="E11" s="73">
        <v>2</v>
      </c>
      <c r="F11" s="73"/>
      <c r="G11" s="73">
        <v>0</v>
      </c>
      <c r="H11" s="73">
        <v>1</v>
      </c>
      <c r="I11" s="73">
        <v>10</v>
      </c>
      <c r="J11" s="73">
        <v>2</v>
      </c>
      <c r="K11" s="73"/>
      <c r="L11" s="73">
        <v>0</v>
      </c>
      <c r="M11" s="58">
        <f t="shared" si="0"/>
        <v>312</v>
      </c>
      <c r="N11" s="22">
        <f t="shared" si="1"/>
        <v>298.17562160765056</v>
      </c>
      <c r="O11" s="59">
        <f t="shared" si="2"/>
        <v>0.95569109489631587</v>
      </c>
    </row>
    <row r="12" spans="2:16" ht="16" x14ac:dyDescent="0.2">
      <c r="B12" s="49">
        <v>11</v>
      </c>
      <c r="C12" s="72">
        <v>1</v>
      </c>
      <c r="D12" s="72">
        <v>7</v>
      </c>
      <c r="E12" s="72">
        <v>2</v>
      </c>
      <c r="F12" s="72"/>
      <c r="G12" s="72">
        <v>0</v>
      </c>
      <c r="H12" s="72">
        <v>1</v>
      </c>
      <c r="I12" s="72">
        <v>7</v>
      </c>
      <c r="J12" s="72">
        <v>2</v>
      </c>
      <c r="K12" s="72"/>
      <c r="L12" s="72">
        <v>0</v>
      </c>
      <c r="M12" s="58">
        <f t="shared" si="0"/>
        <v>240</v>
      </c>
      <c r="N12" s="22">
        <f t="shared" si="1"/>
        <v>273.32765314034634</v>
      </c>
      <c r="O12" s="59">
        <f t="shared" si="2"/>
        <v>1.1388652214181099</v>
      </c>
    </row>
    <row r="13" spans="2:16" ht="16" x14ac:dyDescent="0.2">
      <c r="B13" s="47">
        <v>10</v>
      </c>
      <c r="C13" s="73">
        <v>1</v>
      </c>
      <c r="D13" s="73">
        <v>6</v>
      </c>
      <c r="E13" s="73">
        <v>1</v>
      </c>
      <c r="F13" s="73"/>
      <c r="G13" s="73">
        <v>0</v>
      </c>
      <c r="H13" s="73">
        <v>1</v>
      </c>
      <c r="I13" s="73">
        <v>6</v>
      </c>
      <c r="J13" s="73">
        <v>1</v>
      </c>
      <c r="K13" s="73"/>
      <c r="L13" s="73">
        <v>0</v>
      </c>
      <c r="M13" s="58">
        <f t="shared" si="0"/>
        <v>192</v>
      </c>
      <c r="N13" s="22">
        <f t="shared" si="1"/>
        <v>248.47968467304213</v>
      </c>
      <c r="O13" s="59">
        <f t="shared" si="2"/>
        <v>1.294165024338761</v>
      </c>
    </row>
    <row r="14" spans="2:16" ht="16" x14ac:dyDescent="0.2">
      <c r="B14" s="49">
        <v>9</v>
      </c>
      <c r="C14" s="72">
        <v>1</v>
      </c>
      <c r="D14" s="72">
        <v>5</v>
      </c>
      <c r="E14" s="72">
        <v>1</v>
      </c>
      <c r="F14" s="72"/>
      <c r="G14" s="72">
        <v>0</v>
      </c>
      <c r="H14" s="72">
        <v>1</v>
      </c>
      <c r="I14" s="72">
        <v>5</v>
      </c>
      <c r="J14" s="72">
        <v>1</v>
      </c>
      <c r="K14" s="72"/>
      <c r="L14" s="72">
        <v>0</v>
      </c>
      <c r="M14" s="58">
        <f t="shared" si="0"/>
        <v>168</v>
      </c>
      <c r="N14" s="22">
        <f t="shared" si="1"/>
        <v>223.63171620573792</v>
      </c>
      <c r="O14" s="59">
        <f t="shared" si="2"/>
        <v>1.3311411678912972</v>
      </c>
    </row>
    <row r="15" spans="2:16" ht="16" x14ac:dyDescent="0.2">
      <c r="B15" s="47">
        <v>8</v>
      </c>
      <c r="C15" s="73">
        <v>1</v>
      </c>
      <c r="D15" s="73">
        <v>4</v>
      </c>
      <c r="E15" s="73">
        <v>1</v>
      </c>
      <c r="F15" s="73"/>
      <c r="G15" s="73">
        <v>0</v>
      </c>
      <c r="H15" s="73">
        <v>1</v>
      </c>
      <c r="I15" s="73">
        <v>4</v>
      </c>
      <c r="J15" s="73">
        <v>1</v>
      </c>
      <c r="K15" s="73"/>
      <c r="L15" s="73">
        <v>0</v>
      </c>
      <c r="M15" s="58">
        <f t="shared" si="0"/>
        <v>144</v>
      </c>
      <c r="N15" s="22">
        <f t="shared" si="1"/>
        <v>198.7837477384337</v>
      </c>
      <c r="O15" s="59">
        <f t="shared" si="2"/>
        <v>1.3804426926280118</v>
      </c>
    </row>
    <row r="16" spans="2:16" ht="16" x14ac:dyDescent="0.2">
      <c r="B16" s="49">
        <v>7</v>
      </c>
      <c r="C16" s="72">
        <v>1</v>
      </c>
      <c r="D16" s="72">
        <v>3</v>
      </c>
      <c r="E16" s="72">
        <v>0</v>
      </c>
      <c r="F16" s="72"/>
      <c r="G16" s="72">
        <v>0</v>
      </c>
      <c r="H16" s="72">
        <v>1</v>
      </c>
      <c r="I16" s="72">
        <v>3</v>
      </c>
      <c r="J16" s="72">
        <v>0</v>
      </c>
      <c r="K16" s="72"/>
      <c r="L16" s="72">
        <v>0</v>
      </c>
      <c r="M16" s="58">
        <f t="shared" si="0"/>
        <v>96</v>
      </c>
      <c r="N16" s="22">
        <f t="shared" si="1"/>
        <v>173.93577927112949</v>
      </c>
      <c r="O16" s="59">
        <f t="shared" si="2"/>
        <v>1.8118310340742656</v>
      </c>
    </row>
    <row r="17" spans="2:15" ht="16" x14ac:dyDescent="0.2">
      <c r="B17" s="47">
        <v>6</v>
      </c>
      <c r="C17" s="73">
        <v>1</v>
      </c>
      <c r="D17" s="73">
        <v>3</v>
      </c>
      <c r="E17" s="73">
        <v>0</v>
      </c>
      <c r="F17" s="73"/>
      <c r="G17" s="73">
        <v>0</v>
      </c>
      <c r="H17" s="73">
        <v>1</v>
      </c>
      <c r="I17" s="73">
        <v>3</v>
      </c>
      <c r="J17" s="73">
        <v>0</v>
      </c>
      <c r="K17" s="73"/>
      <c r="L17" s="73">
        <v>0</v>
      </c>
      <c r="M17" s="58">
        <f t="shared" si="0"/>
        <v>96</v>
      </c>
      <c r="N17" s="22">
        <f t="shared" si="1"/>
        <v>149.08781080382528</v>
      </c>
      <c r="O17" s="59">
        <f t="shared" si="2"/>
        <v>1.5529980292065133</v>
      </c>
    </row>
    <row r="18" spans="2:15" ht="16" x14ac:dyDescent="0.2">
      <c r="B18" s="49">
        <v>5</v>
      </c>
      <c r="C18" s="72">
        <v>1</v>
      </c>
      <c r="D18" s="72">
        <v>2</v>
      </c>
      <c r="E18" s="72">
        <v>0</v>
      </c>
      <c r="F18" s="72"/>
      <c r="G18" s="72">
        <v>0</v>
      </c>
      <c r="H18" s="72">
        <v>1</v>
      </c>
      <c r="I18" s="72">
        <v>2</v>
      </c>
      <c r="J18" s="72">
        <v>0</v>
      </c>
      <c r="K18" s="72"/>
      <c r="L18" s="72">
        <v>0</v>
      </c>
      <c r="M18" s="58">
        <f t="shared" si="0"/>
        <v>72</v>
      </c>
      <c r="N18" s="22">
        <f t="shared" si="1"/>
        <v>124.23984233652106</v>
      </c>
      <c r="O18" s="59">
        <f t="shared" si="2"/>
        <v>1.7255533657850148</v>
      </c>
    </row>
    <row r="19" spans="2:15" ht="16" x14ac:dyDescent="0.2">
      <c r="B19" s="47">
        <v>4</v>
      </c>
      <c r="C19" s="73">
        <v>1</v>
      </c>
      <c r="D19" s="73">
        <v>2</v>
      </c>
      <c r="E19" s="73">
        <v>0</v>
      </c>
      <c r="F19" s="73"/>
      <c r="G19" s="73">
        <v>0</v>
      </c>
      <c r="H19" s="73">
        <v>1</v>
      </c>
      <c r="I19" s="73">
        <v>2</v>
      </c>
      <c r="J19" s="73">
        <v>0</v>
      </c>
      <c r="K19" s="73"/>
      <c r="L19" s="73">
        <v>0</v>
      </c>
      <c r="M19" s="58">
        <f t="shared" si="0"/>
        <v>72</v>
      </c>
      <c r="N19" s="22">
        <f t="shared" si="1"/>
        <v>99.391873869216852</v>
      </c>
      <c r="O19" s="59">
        <f t="shared" si="2"/>
        <v>1.3804426926280118</v>
      </c>
    </row>
    <row r="20" spans="2:15" ht="16" x14ac:dyDescent="0.2">
      <c r="B20" s="49">
        <v>3</v>
      </c>
      <c r="C20" s="72">
        <v>1</v>
      </c>
      <c r="D20" s="72">
        <v>1</v>
      </c>
      <c r="E20" s="72">
        <v>0</v>
      </c>
      <c r="F20" s="72"/>
      <c r="G20" s="72">
        <v>0</v>
      </c>
      <c r="H20" s="72">
        <v>1</v>
      </c>
      <c r="I20" s="72">
        <v>1</v>
      </c>
      <c r="J20" s="72">
        <v>0</v>
      </c>
      <c r="K20" s="72"/>
      <c r="L20" s="72">
        <v>0</v>
      </c>
      <c r="M20" s="58">
        <f t="shared" si="0"/>
        <v>48</v>
      </c>
      <c r="N20" s="22">
        <f t="shared" si="1"/>
        <v>74.543905401912639</v>
      </c>
      <c r="O20" s="59">
        <f t="shared" si="2"/>
        <v>1.5529980292065133</v>
      </c>
    </row>
    <row r="21" spans="2:15" ht="16" x14ac:dyDescent="0.2">
      <c r="B21" s="47">
        <v>2</v>
      </c>
      <c r="C21" s="73">
        <v>1</v>
      </c>
      <c r="D21" s="73">
        <v>1</v>
      </c>
      <c r="E21" s="73">
        <v>0</v>
      </c>
      <c r="F21" s="73"/>
      <c r="G21" s="73">
        <v>0</v>
      </c>
      <c r="H21" s="73">
        <v>1</v>
      </c>
      <c r="I21" s="73">
        <v>1</v>
      </c>
      <c r="J21" s="73">
        <v>0</v>
      </c>
      <c r="K21" s="73"/>
      <c r="L21" s="73">
        <v>0</v>
      </c>
      <c r="M21" s="58">
        <f t="shared" si="0"/>
        <v>48</v>
      </c>
      <c r="N21" s="22">
        <f t="shared" si="1"/>
        <v>49.695936934608426</v>
      </c>
      <c r="O21" s="59">
        <f t="shared" si="2"/>
        <v>1.0353320194710089</v>
      </c>
    </row>
    <row r="22" spans="2:15" ht="17" thickBot="1" x14ac:dyDescent="0.25">
      <c r="B22" s="50">
        <v>1</v>
      </c>
      <c r="C22" s="74">
        <v>1</v>
      </c>
      <c r="D22" s="74">
        <v>1</v>
      </c>
      <c r="E22" s="74">
        <v>0</v>
      </c>
      <c r="F22" s="74"/>
      <c r="G22" s="74">
        <v>0</v>
      </c>
      <c r="H22" s="74">
        <v>1</v>
      </c>
      <c r="I22" s="74">
        <v>1</v>
      </c>
      <c r="J22" s="74">
        <v>0</v>
      </c>
      <c r="K22" s="74"/>
      <c r="L22" s="74">
        <v>0</v>
      </c>
      <c r="M22" s="60">
        <f t="shared" si="0"/>
        <v>48</v>
      </c>
      <c r="N22" s="61">
        <f t="shared" si="1"/>
        <v>24.847968467304213</v>
      </c>
      <c r="O22" s="62">
        <f t="shared" si="2"/>
        <v>0.51766600973550447</v>
      </c>
    </row>
    <row r="23" spans="2:15" ht="16" thickBot="1" x14ac:dyDescent="0.25"/>
    <row r="24" spans="2:15" ht="32" x14ac:dyDescent="0.2">
      <c r="B24" s="11"/>
      <c r="C24" s="12"/>
      <c r="D24" s="13" t="s">
        <v>17</v>
      </c>
      <c r="E24" s="14" t="s">
        <v>18</v>
      </c>
      <c r="F24" s="65"/>
    </row>
    <row r="25" spans="2:15" x14ac:dyDescent="0.2">
      <c r="B25" s="96" t="s">
        <v>19</v>
      </c>
      <c r="C25" s="97"/>
      <c r="D25" s="16"/>
      <c r="E25" s="17">
        <f>(D25*2080)/($O$1*365)</f>
        <v>0</v>
      </c>
      <c r="F25" s="16"/>
    </row>
    <row r="26" spans="2:15" x14ac:dyDescent="0.2">
      <c r="B26" s="96" t="s">
        <v>20</v>
      </c>
      <c r="C26" s="97"/>
      <c r="D26" s="18">
        <v>1</v>
      </c>
      <c r="E26" s="17">
        <f t="shared" ref="E26:E28" si="3">(D26*2080)/($O$1*365)</f>
        <v>0.37632463168777464</v>
      </c>
      <c r="F26" s="16"/>
    </row>
    <row r="27" spans="2:15" x14ac:dyDescent="0.2">
      <c r="B27" s="96" t="s">
        <v>21</v>
      </c>
      <c r="C27" s="97"/>
      <c r="D27" s="16">
        <f>(1261/14*26)/2080</f>
        <v>1.125892857142857</v>
      </c>
      <c r="E27" s="17">
        <f t="shared" si="3"/>
        <v>0.42370121478418193</v>
      </c>
      <c r="F27" s="16"/>
    </row>
    <row r="28" spans="2:15" x14ac:dyDescent="0.2">
      <c r="B28" s="96" t="s">
        <v>22</v>
      </c>
      <c r="C28" s="97"/>
      <c r="D28" s="16">
        <f>(9113/14*26)/2080</f>
        <v>8.1366071428571445</v>
      </c>
      <c r="E28" s="17">
        <f t="shared" si="3"/>
        <v>3.0620056862238316</v>
      </c>
      <c r="F28" s="16"/>
    </row>
    <row r="29" spans="2:15" x14ac:dyDescent="0.2">
      <c r="B29" s="15"/>
      <c r="E29" s="19"/>
    </row>
    <row r="30" spans="2:15" ht="16" thickBot="1" x14ac:dyDescent="0.25">
      <c r="B30" s="98" t="s">
        <v>23</v>
      </c>
      <c r="C30" s="99"/>
      <c r="D30" s="20">
        <f>SUM(D25:D28)</f>
        <v>10.262500000000001</v>
      </c>
      <c r="E30" s="21">
        <f>SUM(E25:E28)</f>
        <v>3.8620315326957879</v>
      </c>
      <c r="F30" s="16"/>
    </row>
    <row r="35" spans="1:15" x14ac:dyDescent="0.2">
      <c r="A35" s="5"/>
      <c r="B35" s="5"/>
      <c r="M35"/>
      <c r="N35"/>
      <c r="O35"/>
    </row>
    <row r="36" spans="1:15" x14ac:dyDescent="0.2">
      <c r="A36" s="5"/>
      <c r="B36" s="5"/>
      <c r="M36"/>
      <c r="N36"/>
      <c r="O36"/>
    </row>
  </sheetData>
  <mergeCells count="10">
    <mergeCell ref="H3:L3"/>
    <mergeCell ref="C4:G4"/>
    <mergeCell ref="H4:L4"/>
    <mergeCell ref="B25:C25"/>
    <mergeCell ref="B26:C26"/>
    <mergeCell ref="B27:C27"/>
    <mergeCell ref="B28:C28"/>
    <mergeCell ref="B30:C30"/>
    <mergeCell ref="B3:B4"/>
    <mergeCell ref="C3:G3"/>
  </mergeCells>
  <conditionalFormatting sqref="O6:O22">
    <cfRule type="cellIs" dxfId="1" priority="1" operator="lessThan">
      <formula>0.9999999</formula>
    </cfRule>
    <cfRule type="cellIs" dxfId="0" priority="2" operator="greaterThan">
      <formula>0.9999999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4FA5-1355-4A16-BD6B-AABD42C5CCAC}">
  <dimension ref="A1:P40"/>
  <sheetViews>
    <sheetView workbookViewId="0">
      <selection activeCell="T13" sqref="T13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25</v>
      </c>
      <c r="E1" s="7" t="s">
        <v>2</v>
      </c>
      <c r="F1" s="7"/>
      <c r="G1" s="68">
        <v>12.01</v>
      </c>
      <c r="I1" s="7" t="s">
        <v>3</v>
      </c>
      <c r="L1" s="67">
        <f>G1-E34</f>
        <v>11.335176421751765</v>
      </c>
      <c r="M1" s="10"/>
      <c r="N1" s="63" t="s">
        <v>4</v>
      </c>
      <c r="O1" s="69">
        <f>264/14</f>
        <v>18.857142857142858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21</v>
      </c>
      <c r="C6" s="25">
        <v>1</v>
      </c>
      <c r="D6" s="25">
        <v>5</v>
      </c>
      <c r="E6" s="25">
        <v>2</v>
      </c>
      <c r="F6" s="29"/>
      <c r="G6" s="70" t="s">
        <v>26</v>
      </c>
      <c r="H6" s="25">
        <v>1</v>
      </c>
      <c r="I6" s="25">
        <v>5</v>
      </c>
      <c r="J6" s="25">
        <v>2</v>
      </c>
      <c r="K6" s="29"/>
      <c r="L6" s="70" t="s">
        <v>26</v>
      </c>
      <c r="M6" s="58">
        <f t="shared" ref="M6:M26" si="0">(SUM(C6:L6)*12)</f>
        <v>192</v>
      </c>
      <c r="N6" s="22">
        <f t="shared" ref="N6:N26" si="1">B6*$L$1</f>
        <v>238.03870485678706</v>
      </c>
      <c r="O6" s="59">
        <f t="shared" ref="O6:O26" si="2">N6/M6</f>
        <v>1.2397849211290992</v>
      </c>
    </row>
    <row r="7" spans="2:16" ht="16" x14ac:dyDescent="0.2">
      <c r="B7" s="47">
        <v>20</v>
      </c>
      <c r="C7" s="26">
        <v>1</v>
      </c>
      <c r="D7" s="26">
        <v>4</v>
      </c>
      <c r="E7" s="26">
        <v>2</v>
      </c>
      <c r="F7" s="28"/>
      <c r="G7" s="71" t="s">
        <v>26</v>
      </c>
      <c r="H7" s="26">
        <v>1</v>
      </c>
      <c r="I7" s="26">
        <v>4</v>
      </c>
      <c r="J7" s="26">
        <v>2</v>
      </c>
      <c r="K7" s="28"/>
      <c r="L7" s="71" t="s">
        <v>26</v>
      </c>
      <c r="M7" s="58">
        <f t="shared" si="0"/>
        <v>168</v>
      </c>
      <c r="N7" s="22">
        <f t="shared" si="1"/>
        <v>226.70352843503531</v>
      </c>
      <c r="O7" s="59">
        <f t="shared" si="2"/>
        <v>1.3494257644942578</v>
      </c>
    </row>
    <row r="8" spans="2:16" ht="16" x14ac:dyDescent="0.2">
      <c r="B8" s="49">
        <v>19</v>
      </c>
      <c r="C8" s="25">
        <v>1</v>
      </c>
      <c r="D8" s="25">
        <v>4</v>
      </c>
      <c r="E8" s="25">
        <v>2</v>
      </c>
      <c r="F8" s="29"/>
      <c r="G8" s="70" t="s">
        <v>26</v>
      </c>
      <c r="H8" s="25">
        <v>1</v>
      </c>
      <c r="I8" s="25">
        <v>4</v>
      </c>
      <c r="J8" s="25">
        <v>2</v>
      </c>
      <c r="K8" s="29"/>
      <c r="L8" s="70" t="s">
        <v>26</v>
      </c>
      <c r="M8" s="58">
        <f t="shared" si="0"/>
        <v>168</v>
      </c>
      <c r="N8" s="22">
        <f t="shared" si="1"/>
        <v>215.36835201328353</v>
      </c>
      <c r="O8" s="59">
        <f t="shared" si="2"/>
        <v>1.2819544762695447</v>
      </c>
    </row>
    <row r="9" spans="2:16" ht="16" x14ac:dyDescent="0.2">
      <c r="B9" s="47">
        <v>18</v>
      </c>
      <c r="C9" s="26">
        <v>1</v>
      </c>
      <c r="D9" s="26">
        <v>4</v>
      </c>
      <c r="E9" s="26">
        <v>2</v>
      </c>
      <c r="F9" s="28"/>
      <c r="G9" s="71" t="s">
        <v>26</v>
      </c>
      <c r="H9" s="26">
        <v>1</v>
      </c>
      <c r="I9" s="26">
        <v>4</v>
      </c>
      <c r="J9" s="26">
        <v>2</v>
      </c>
      <c r="K9" s="28"/>
      <c r="L9" s="71" t="s">
        <v>26</v>
      </c>
      <c r="M9" s="58">
        <f t="shared" si="0"/>
        <v>168</v>
      </c>
      <c r="N9" s="22">
        <f t="shared" si="1"/>
        <v>204.03317559153177</v>
      </c>
      <c r="O9" s="59">
        <f t="shared" si="2"/>
        <v>1.2144831880448319</v>
      </c>
    </row>
    <row r="10" spans="2:16" ht="16" x14ac:dyDescent="0.2">
      <c r="B10" s="49">
        <v>17</v>
      </c>
      <c r="C10" s="25">
        <v>1</v>
      </c>
      <c r="D10" s="25">
        <v>4</v>
      </c>
      <c r="E10" s="25">
        <v>2</v>
      </c>
      <c r="F10" s="29"/>
      <c r="G10" s="70" t="s">
        <v>26</v>
      </c>
      <c r="H10" s="25">
        <v>1</v>
      </c>
      <c r="I10" s="25">
        <v>4</v>
      </c>
      <c r="J10" s="25">
        <v>2</v>
      </c>
      <c r="K10" s="29"/>
      <c r="L10" s="70" t="s">
        <v>26</v>
      </c>
      <c r="M10" s="58">
        <f t="shared" si="0"/>
        <v>168</v>
      </c>
      <c r="N10" s="22">
        <f t="shared" si="1"/>
        <v>192.69799916977999</v>
      </c>
      <c r="O10" s="59">
        <f t="shared" si="2"/>
        <v>1.1470118998201191</v>
      </c>
    </row>
    <row r="11" spans="2:16" ht="16" x14ac:dyDescent="0.2">
      <c r="B11" s="47">
        <v>16</v>
      </c>
      <c r="C11" s="26">
        <v>1</v>
      </c>
      <c r="D11" s="26">
        <v>3</v>
      </c>
      <c r="E11" s="26">
        <v>2</v>
      </c>
      <c r="F11" s="28"/>
      <c r="G11" s="71" t="s">
        <v>26</v>
      </c>
      <c r="H11" s="26">
        <v>1</v>
      </c>
      <c r="I11" s="26">
        <v>3</v>
      </c>
      <c r="J11" s="26">
        <v>2</v>
      </c>
      <c r="K11" s="28"/>
      <c r="L11" s="71" t="s">
        <v>26</v>
      </c>
      <c r="M11" s="58">
        <f>(SUM(C11:L11)*12)</f>
        <v>144</v>
      </c>
      <c r="N11" s="22">
        <f t="shared" si="1"/>
        <v>181.36282274802824</v>
      </c>
      <c r="O11" s="59">
        <f t="shared" si="2"/>
        <v>1.2594640468613072</v>
      </c>
    </row>
    <row r="12" spans="2:16" ht="16" x14ac:dyDescent="0.2">
      <c r="B12" s="49">
        <v>15</v>
      </c>
      <c r="C12" s="25">
        <v>1</v>
      </c>
      <c r="D12" s="25">
        <v>3</v>
      </c>
      <c r="E12" s="25">
        <v>2</v>
      </c>
      <c r="F12" s="29"/>
      <c r="G12" s="70" t="s">
        <v>26</v>
      </c>
      <c r="H12" s="25">
        <v>1</v>
      </c>
      <c r="I12" s="25">
        <v>3</v>
      </c>
      <c r="J12" s="25">
        <v>2</v>
      </c>
      <c r="K12" s="29"/>
      <c r="L12" s="70" t="s">
        <v>26</v>
      </c>
      <c r="M12" s="58">
        <f t="shared" si="0"/>
        <v>144</v>
      </c>
      <c r="N12" s="22">
        <f t="shared" si="1"/>
        <v>170.02764632627648</v>
      </c>
      <c r="O12" s="59">
        <f t="shared" si="2"/>
        <v>1.1807475439324755</v>
      </c>
    </row>
    <row r="13" spans="2:16" ht="16" x14ac:dyDescent="0.2">
      <c r="B13" s="47">
        <v>14</v>
      </c>
      <c r="C13" s="26">
        <v>1</v>
      </c>
      <c r="D13" s="26">
        <v>3</v>
      </c>
      <c r="E13" s="26">
        <v>2</v>
      </c>
      <c r="F13" s="28"/>
      <c r="G13" s="71" t="s">
        <v>26</v>
      </c>
      <c r="H13" s="26">
        <v>1</v>
      </c>
      <c r="I13" s="26">
        <v>3</v>
      </c>
      <c r="J13" s="26">
        <v>2</v>
      </c>
      <c r="K13" s="28"/>
      <c r="L13" s="71" t="s">
        <v>26</v>
      </c>
      <c r="M13" s="58">
        <f t="shared" si="0"/>
        <v>144</v>
      </c>
      <c r="N13" s="22">
        <f t="shared" si="1"/>
        <v>158.6924699045247</v>
      </c>
      <c r="O13" s="59">
        <f t="shared" si="2"/>
        <v>1.1020310410036438</v>
      </c>
    </row>
    <row r="14" spans="2:16" ht="16" x14ac:dyDescent="0.2">
      <c r="B14" s="49">
        <v>13</v>
      </c>
      <c r="C14" s="25">
        <v>1</v>
      </c>
      <c r="D14" s="25">
        <v>3</v>
      </c>
      <c r="E14" s="25">
        <v>2</v>
      </c>
      <c r="F14" s="29"/>
      <c r="G14" s="44">
        <v>0</v>
      </c>
      <c r="H14" s="25">
        <v>1</v>
      </c>
      <c r="I14" s="25">
        <v>3</v>
      </c>
      <c r="J14" s="25">
        <v>2</v>
      </c>
      <c r="K14" s="29"/>
      <c r="L14" s="35">
        <v>0</v>
      </c>
      <c r="M14" s="58">
        <f t="shared" si="0"/>
        <v>144</v>
      </c>
      <c r="N14" s="22">
        <f t="shared" si="1"/>
        <v>147.35729348277295</v>
      </c>
      <c r="O14" s="59">
        <f t="shared" si="2"/>
        <v>1.0233145380748121</v>
      </c>
    </row>
    <row r="15" spans="2:16" ht="16" x14ac:dyDescent="0.2">
      <c r="B15" s="47">
        <v>12</v>
      </c>
      <c r="C15" s="26">
        <v>1</v>
      </c>
      <c r="D15" s="26">
        <v>3</v>
      </c>
      <c r="E15" s="26">
        <v>2</v>
      </c>
      <c r="F15" s="28"/>
      <c r="G15" s="42">
        <v>0</v>
      </c>
      <c r="H15" s="26">
        <v>1</v>
      </c>
      <c r="I15" s="26">
        <v>3</v>
      </c>
      <c r="J15" s="26">
        <v>2</v>
      </c>
      <c r="K15" s="28"/>
      <c r="L15" s="33">
        <v>0</v>
      </c>
      <c r="M15" s="58">
        <f t="shared" si="0"/>
        <v>144</v>
      </c>
      <c r="N15" s="22">
        <f t="shared" si="1"/>
        <v>136.02211706102116</v>
      </c>
      <c r="O15" s="59">
        <f t="shared" si="2"/>
        <v>0.94459803514598029</v>
      </c>
    </row>
    <row r="16" spans="2:16" ht="16" x14ac:dyDescent="0.2">
      <c r="B16" s="49">
        <v>11</v>
      </c>
      <c r="C16" s="25">
        <v>1</v>
      </c>
      <c r="D16" s="25">
        <v>2</v>
      </c>
      <c r="E16" s="25">
        <v>0</v>
      </c>
      <c r="F16" s="29"/>
      <c r="G16" s="70">
        <v>0</v>
      </c>
      <c r="H16" s="25">
        <v>1</v>
      </c>
      <c r="I16" s="25">
        <v>2</v>
      </c>
      <c r="J16" s="25">
        <v>0</v>
      </c>
      <c r="K16" s="29"/>
      <c r="L16" s="35">
        <v>0</v>
      </c>
      <c r="M16" s="58">
        <f t="shared" si="0"/>
        <v>72</v>
      </c>
      <c r="N16" s="22">
        <f t="shared" si="1"/>
        <v>124.68694063926941</v>
      </c>
      <c r="O16" s="59">
        <f t="shared" si="2"/>
        <v>1.7317630644342974</v>
      </c>
    </row>
    <row r="17" spans="2:15" ht="16" x14ac:dyDescent="0.2">
      <c r="B17" s="47">
        <v>10</v>
      </c>
      <c r="C17" s="26">
        <v>1</v>
      </c>
      <c r="D17" s="26">
        <v>2</v>
      </c>
      <c r="E17" s="26">
        <v>0</v>
      </c>
      <c r="F17" s="28"/>
      <c r="G17" s="71">
        <v>0</v>
      </c>
      <c r="H17" s="26">
        <v>1</v>
      </c>
      <c r="I17" s="26">
        <v>2</v>
      </c>
      <c r="J17" s="26">
        <v>0</v>
      </c>
      <c r="K17" s="28"/>
      <c r="L17" s="33">
        <v>0</v>
      </c>
      <c r="M17" s="58">
        <f t="shared" si="0"/>
        <v>72</v>
      </c>
      <c r="N17" s="22">
        <f t="shared" si="1"/>
        <v>113.35176421751765</v>
      </c>
      <c r="O17" s="59">
        <f t="shared" si="2"/>
        <v>1.574330058576634</v>
      </c>
    </row>
    <row r="18" spans="2:15" ht="16" x14ac:dyDescent="0.2">
      <c r="B18" s="49">
        <v>9</v>
      </c>
      <c r="C18" s="25">
        <v>1</v>
      </c>
      <c r="D18" s="25">
        <v>2</v>
      </c>
      <c r="E18" s="25">
        <v>0</v>
      </c>
      <c r="F18" s="29"/>
      <c r="G18" s="70">
        <v>0</v>
      </c>
      <c r="H18" s="25">
        <v>1</v>
      </c>
      <c r="I18" s="25">
        <v>2</v>
      </c>
      <c r="J18" s="25">
        <v>0</v>
      </c>
      <c r="K18" s="29"/>
      <c r="L18" s="35">
        <v>0</v>
      </c>
      <c r="M18" s="58">
        <f t="shared" si="0"/>
        <v>72</v>
      </c>
      <c r="N18" s="22">
        <f t="shared" si="1"/>
        <v>102.01658779576589</v>
      </c>
      <c r="O18" s="59">
        <f t="shared" si="2"/>
        <v>1.4168970527189706</v>
      </c>
    </row>
    <row r="19" spans="2:15" ht="16" x14ac:dyDescent="0.2">
      <c r="B19" s="47">
        <v>8</v>
      </c>
      <c r="C19" s="26">
        <v>1</v>
      </c>
      <c r="D19" s="26">
        <v>2</v>
      </c>
      <c r="E19" s="26">
        <v>0</v>
      </c>
      <c r="F19" s="28"/>
      <c r="G19" s="71">
        <v>0</v>
      </c>
      <c r="H19" s="26">
        <v>1</v>
      </c>
      <c r="I19" s="26">
        <v>2</v>
      </c>
      <c r="J19" s="26">
        <v>0</v>
      </c>
      <c r="K19" s="28"/>
      <c r="L19" s="33">
        <v>0</v>
      </c>
      <c r="M19" s="58">
        <f t="shared" si="0"/>
        <v>72</v>
      </c>
      <c r="N19" s="22">
        <f t="shared" si="1"/>
        <v>90.681411374014118</v>
      </c>
      <c r="O19" s="59">
        <f t="shared" si="2"/>
        <v>1.2594640468613072</v>
      </c>
    </row>
    <row r="20" spans="2:15" ht="16" x14ac:dyDescent="0.2">
      <c r="B20" s="49">
        <v>7</v>
      </c>
      <c r="C20" s="25">
        <v>1</v>
      </c>
      <c r="D20" s="25">
        <v>2</v>
      </c>
      <c r="E20" s="25">
        <v>0</v>
      </c>
      <c r="F20" s="29"/>
      <c r="G20" s="70">
        <v>0</v>
      </c>
      <c r="H20" s="25">
        <v>1</v>
      </c>
      <c r="I20" s="25">
        <v>2</v>
      </c>
      <c r="J20" s="25">
        <v>0</v>
      </c>
      <c r="K20" s="29"/>
      <c r="L20" s="35">
        <v>0</v>
      </c>
      <c r="M20" s="58">
        <f t="shared" si="0"/>
        <v>72</v>
      </c>
      <c r="N20" s="22">
        <f t="shared" si="1"/>
        <v>79.34623495226235</v>
      </c>
      <c r="O20" s="59">
        <f t="shared" si="2"/>
        <v>1.1020310410036438</v>
      </c>
    </row>
    <row r="21" spans="2:15" ht="16" x14ac:dyDescent="0.2">
      <c r="B21" s="47">
        <v>6</v>
      </c>
      <c r="C21" s="26">
        <v>1</v>
      </c>
      <c r="D21" s="26">
        <v>2</v>
      </c>
      <c r="E21" s="26">
        <v>0</v>
      </c>
      <c r="F21" s="28"/>
      <c r="G21" s="71">
        <v>0</v>
      </c>
      <c r="H21" s="26">
        <v>1</v>
      </c>
      <c r="I21" s="26">
        <v>2</v>
      </c>
      <c r="J21" s="26">
        <v>0</v>
      </c>
      <c r="K21" s="28"/>
      <c r="L21" s="33">
        <v>0</v>
      </c>
      <c r="M21" s="58">
        <f t="shared" si="0"/>
        <v>72</v>
      </c>
      <c r="N21" s="22">
        <f t="shared" si="1"/>
        <v>68.011058530510581</v>
      </c>
      <c r="O21" s="59">
        <f t="shared" si="2"/>
        <v>0.94459803514598029</v>
      </c>
    </row>
    <row r="22" spans="2:15" ht="16" x14ac:dyDescent="0.2">
      <c r="B22" s="49">
        <v>5</v>
      </c>
      <c r="C22" s="25">
        <v>1</v>
      </c>
      <c r="D22" s="25">
        <v>1</v>
      </c>
      <c r="E22" s="25">
        <v>0</v>
      </c>
      <c r="F22" s="29"/>
      <c r="G22" s="70">
        <v>0</v>
      </c>
      <c r="H22" s="25">
        <v>1</v>
      </c>
      <c r="I22" s="25">
        <v>1</v>
      </c>
      <c r="J22" s="25">
        <v>0</v>
      </c>
      <c r="K22" s="29"/>
      <c r="L22" s="35">
        <v>0</v>
      </c>
      <c r="M22" s="58">
        <f t="shared" si="0"/>
        <v>48</v>
      </c>
      <c r="N22" s="22">
        <f t="shared" si="1"/>
        <v>56.675882108758827</v>
      </c>
      <c r="O22" s="59">
        <f t="shared" si="2"/>
        <v>1.1807475439324755</v>
      </c>
    </row>
    <row r="23" spans="2:15" ht="16" x14ac:dyDescent="0.2">
      <c r="B23" s="47">
        <v>4</v>
      </c>
      <c r="C23" s="26">
        <v>1</v>
      </c>
      <c r="D23" s="26">
        <v>1</v>
      </c>
      <c r="E23" s="26">
        <v>0</v>
      </c>
      <c r="F23" s="28"/>
      <c r="G23" s="71">
        <v>0</v>
      </c>
      <c r="H23" s="26">
        <v>1</v>
      </c>
      <c r="I23" s="26">
        <v>1</v>
      </c>
      <c r="J23" s="26">
        <v>0</v>
      </c>
      <c r="K23" s="28"/>
      <c r="L23" s="33">
        <v>0</v>
      </c>
      <c r="M23" s="58">
        <f t="shared" si="0"/>
        <v>48</v>
      </c>
      <c r="N23" s="22">
        <f t="shared" si="1"/>
        <v>45.340705687007059</v>
      </c>
      <c r="O23" s="59">
        <f t="shared" si="2"/>
        <v>0.9445980351459804</v>
      </c>
    </row>
    <row r="24" spans="2:15" ht="16" x14ac:dyDescent="0.2">
      <c r="B24" s="49">
        <v>3</v>
      </c>
      <c r="C24" s="25">
        <v>1</v>
      </c>
      <c r="D24" s="25">
        <v>1</v>
      </c>
      <c r="E24" s="25">
        <v>0</v>
      </c>
      <c r="F24" s="29"/>
      <c r="G24" s="70">
        <v>0</v>
      </c>
      <c r="H24" s="25">
        <v>1</v>
      </c>
      <c r="I24" s="25">
        <v>1</v>
      </c>
      <c r="J24" s="25">
        <v>0</v>
      </c>
      <c r="K24" s="29"/>
      <c r="L24" s="35">
        <v>0</v>
      </c>
      <c r="M24" s="58">
        <f t="shared" si="0"/>
        <v>48</v>
      </c>
      <c r="N24" s="22">
        <f t="shared" si="1"/>
        <v>34.005529265255291</v>
      </c>
      <c r="O24" s="59">
        <f t="shared" si="2"/>
        <v>0.70844852635948519</v>
      </c>
    </row>
    <row r="25" spans="2:15" ht="16" x14ac:dyDescent="0.2">
      <c r="B25" s="47">
        <v>2</v>
      </c>
      <c r="C25" s="26">
        <v>1</v>
      </c>
      <c r="D25" s="26">
        <v>1</v>
      </c>
      <c r="E25" s="26">
        <v>0</v>
      </c>
      <c r="F25" s="28"/>
      <c r="G25" s="71">
        <v>0</v>
      </c>
      <c r="H25" s="26">
        <v>1</v>
      </c>
      <c r="I25" s="26">
        <v>1</v>
      </c>
      <c r="J25" s="26">
        <v>0</v>
      </c>
      <c r="K25" s="28"/>
      <c r="L25" s="33">
        <v>0</v>
      </c>
      <c r="M25" s="58">
        <f t="shared" si="0"/>
        <v>48</v>
      </c>
      <c r="N25" s="22">
        <f t="shared" si="1"/>
        <v>22.67035284350353</v>
      </c>
      <c r="O25" s="59">
        <f t="shared" si="2"/>
        <v>0.4722990175729902</v>
      </c>
    </row>
    <row r="26" spans="2:15" ht="17" thickBot="1" x14ac:dyDescent="0.25">
      <c r="B26" s="50">
        <v>1</v>
      </c>
      <c r="C26" s="25">
        <v>1</v>
      </c>
      <c r="D26" s="25">
        <v>1</v>
      </c>
      <c r="E26" s="25">
        <v>0</v>
      </c>
      <c r="F26" s="29"/>
      <c r="G26" s="44">
        <v>0</v>
      </c>
      <c r="H26" s="25">
        <v>1</v>
      </c>
      <c r="I26" s="25">
        <v>1</v>
      </c>
      <c r="J26" s="25">
        <v>0</v>
      </c>
      <c r="K26" s="64"/>
      <c r="L26" s="38">
        <v>0</v>
      </c>
      <c r="M26" s="60">
        <f t="shared" si="0"/>
        <v>48</v>
      </c>
      <c r="N26" s="61">
        <f t="shared" si="1"/>
        <v>11.335176421751765</v>
      </c>
      <c r="O26" s="62">
        <f t="shared" si="2"/>
        <v>0.2361495087864951</v>
      </c>
    </row>
    <row r="27" spans="2:15" ht="16" thickBot="1" x14ac:dyDescent="0.25"/>
    <row r="28" spans="2:15" ht="32" x14ac:dyDescent="0.2">
      <c r="B28" s="11"/>
      <c r="C28" s="12"/>
      <c r="D28" s="13" t="s">
        <v>17</v>
      </c>
      <c r="E28" s="14" t="s">
        <v>18</v>
      </c>
      <c r="F28" s="65"/>
    </row>
    <row r="29" spans="2:15" x14ac:dyDescent="0.2">
      <c r="B29" s="96" t="s">
        <v>19</v>
      </c>
      <c r="C29" s="97"/>
      <c r="D29" s="16"/>
      <c r="E29" s="17">
        <f>(D29*2080)/($O$1*365)</f>
        <v>0</v>
      </c>
      <c r="F29" s="16"/>
    </row>
    <row r="30" spans="2:15" x14ac:dyDescent="0.2">
      <c r="B30" s="96" t="s">
        <v>20</v>
      </c>
      <c r="C30" s="97"/>
      <c r="D30" s="18">
        <v>1</v>
      </c>
      <c r="E30" s="17">
        <f t="shared" ref="E30:E32" si="3">(D30*2080)/($O$1*365)</f>
        <v>0.3022000830220008</v>
      </c>
      <c r="F30" s="16"/>
    </row>
    <row r="31" spans="2:15" x14ac:dyDescent="0.2">
      <c r="B31" s="96" t="s">
        <v>21</v>
      </c>
      <c r="C31" s="97"/>
      <c r="D31" s="16">
        <f>(191/14*26)/2080</f>
        <v>0.17053571428571429</v>
      </c>
      <c r="E31" s="17">
        <f t="shared" si="3"/>
        <v>5.1535907015359067E-2</v>
      </c>
      <c r="F31" s="16"/>
    </row>
    <row r="32" spans="2:15" x14ac:dyDescent="0.2">
      <c r="B32" s="96" t="s">
        <v>22</v>
      </c>
      <c r="C32" s="97"/>
      <c r="D32" s="16">
        <f>(1190/14*26)/2080</f>
        <v>1.0625</v>
      </c>
      <c r="E32" s="17">
        <f t="shared" si="3"/>
        <v>0.32108758821087585</v>
      </c>
      <c r="F32" s="16"/>
    </row>
    <row r="33" spans="1:15" x14ac:dyDescent="0.2">
      <c r="B33" s="15"/>
      <c r="E33" s="19"/>
    </row>
    <row r="34" spans="1:15" ht="16" thickBot="1" x14ac:dyDescent="0.25">
      <c r="B34" s="98" t="s">
        <v>23</v>
      </c>
      <c r="C34" s="99"/>
      <c r="D34" s="20">
        <f>SUM(D29:D32)</f>
        <v>2.2330357142857142</v>
      </c>
      <c r="E34" s="21">
        <f>SUM(E29:E32)</f>
        <v>0.67482357824823569</v>
      </c>
      <c r="F34" s="16"/>
    </row>
    <row r="39" spans="1:15" x14ac:dyDescent="0.2">
      <c r="A39" s="5"/>
      <c r="B39" s="5"/>
      <c r="M39"/>
      <c r="N39"/>
      <c r="O39"/>
    </row>
    <row r="40" spans="1:15" x14ac:dyDescent="0.2">
      <c r="A40" s="5"/>
      <c r="B40" s="5"/>
      <c r="M40"/>
      <c r="N40"/>
      <c r="O40"/>
    </row>
  </sheetData>
  <mergeCells count="10">
    <mergeCell ref="H3:L3"/>
    <mergeCell ref="C4:G4"/>
    <mergeCell ref="H4:L4"/>
    <mergeCell ref="B29:C29"/>
    <mergeCell ref="B30:C30"/>
    <mergeCell ref="B31:C31"/>
    <mergeCell ref="B32:C32"/>
    <mergeCell ref="B34:C34"/>
    <mergeCell ref="B3:B4"/>
    <mergeCell ref="C3:G3"/>
  </mergeCells>
  <conditionalFormatting sqref="O6:O26">
    <cfRule type="cellIs" dxfId="31" priority="1" operator="lessThan">
      <formula>0.9999999</formula>
    </cfRule>
    <cfRule type="cellIs" dxfId="30" priority="2" operator="greaterThan">
      <formula>0.9999999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E338-6510-4F0B-9C2B-717E4076B9F7}">
  <dimension ref="A1:P44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27</v>
      </c>
      <c r="E1" s="7" t="s">
        <v>2</v>
      </c>
      <c r="F1" s="7"/>
      <c r="G1" s="68">
        <v>10.79</v>
      </c>
      <c r="I1" s="7" t="s">
        <v>3</v>
      </c>
      <c r="L1" s="67">
        <f>G1-E38</f>
        <v>10.04381798453818</v>
      </c>
      <c r="M1" s="10"/>
      <c r="N1" s="63" t="s">
        <v>4</v>
      </c>
      <c r="O1" s="69">
        <f>303/14</f>
        <v>21.642857142857142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25</v>
      </c>
      <c r="C6" s="72">
        <v>1</v>
      </c>
      <c r="D6" s="72">
        <v>5</v>
      </c>
      <c r="E6" s="72">
        <v>3</v>
      </c>
      <c r="F6" s="72"/>
      <c r="G6" s="72">
        <v>1</v>
      </c>
      <c r="H6" s="72">
        <v>1</v>
      </c>
      <c r="I6" s="72">
        <v>5</v>
      </c>
      <c r="J6" s="72">
        <v>3</v>
      </c>
      <c r="K6" s="72"/>
      <c r="L6" s="72">
        <v>1</v>
      </c>
      <c r="M6" s="58">
        <f t="shared" ref="M6:M30" si="0">(SUM(C6:L6)*12)</f>
        <v>240</v>
      </c>
      <c r="N6" s="22">
        <f t="shared" ref="N6:N30" si="1">B6*$L$1</f>
        <v>251.09544961345449</v>
      </c>
      <c r="O6" s="59">
        <f t="shared" ref="O6:O30" si="2">N6/M6</f>
        <v>1.0462310400560604</v>
      </c>
    </row>
    <row r="7" spans="2:16" ht="16" x14ac:dyDescent="0.2">
      <c r="B7" s="47">
        <v>24</v>
      </c>
      <c r="C7" s="73">
        <v>1</v>
      </c>
      <c r="D7" s="73">
        <v>5</v>
      </c>
      <c r="E7" s="73">
        <v>3</v>
      </c>
      <c r="F7" s="73">
        <v>0</v>
      </c>
      <c r="G7" s="73">
        <v>1</v>
      </c>
      <c r="H7" s="73">
        <v>1</v>
      </c>
      <c r="I7" s="73">
        <v>5</v>
      </c>
      <c r="J7" s="73">
        <v>3</v>
      </c>
      <c r="K7" s="73"/>
      <c r="L7" s="73">
        <v>1</v>
      </c>
      <c r="M7" s="58">
        <f t="shared" si="0"/>
        <v>240</v>
      </c>
      <c r="N7" s="22">
        <f t="shared" si="1"/>
        <v>241.05163162891631</v>
      </c>
      <c r="O7" s="59">
        <f t="shared" si="2"/>
        <v>1.0043817984538179</v>
      </c>
    </row>
    <row r="8" spans="2:16" ht="16" x14ac:dyDescent="0.2">
      <c r="B8" s="49">
        <v>23</v>
      </c>
      <c r="C8" s="72">
        <v>1</v>
      </c>
      <c r="D8" s="72">
        <v>5</v>
      </c>
      <c r="E8" s="72">
        <v>3</v>
      </c>
      <c r="F8" s="72"/>
      <c r="G8" s="72">
        <v>1</v>
      </c>
      <c r="H8" s="72">
        <v>1</v>
      </c>
      <c r="I8" s="72">
        <v>5</v>
      </c>
      <c r="J8" s="72">
        <v>2</v>
      </c>
      <c r="K8" s="72"/>
      <c r="L8" s="72">
        <v>1</v>
      </c>
      <c r="M8" s="58">
        <f t="shared" si="0"/>
        <v>228</v>
      </c>
      <c r="N8" s="22">
        <f t="shared" si="1"/>
        <v>231.00781364437813</v>
      </c>
      <c r="O8" s="59">
        <f t="shared" si="2"/>
        <v>1.0131921651069216</v>
      </c>
    </row>
    <row r="9" spans="2:16" ht="16" x14ac:dyDescent="0.2">
      <c r="B9" s="47">
        <v>22</v>
      </c>
      <c r="C9" s="73">
        <v>1</v>
      </c>
      <c r="D9" s="73">
        <v>5</v>
      </c>
      <c r="E9" s="73">
        <v>2</v>
      </c>
      <c r="F9" s="73"/>
      <c r="G9" s="73">
        <v>1</v>
      </c>
      <c r="H9" s="73">
        <v>1</v>
      </c>
      <c r="I9" s="73">
        <v>5</v>
      </c>
      <c r="J9" s="73">
        <v>2</v>
      </c>
      <c r="K9" s="73"/>
      <c r="L9" s="73">
        <v>1</v>
      </c>
      <c r="M9" s="58">
        <f t="shared" si="0"/>
        <v>216</v>
      </c>
      <c r="N9" s="22">
        <f t="shared" si="1"/>
        <v>220.96399565983995</v>
      </c>
      <c r="O9" s="59">
        <f t="shared" si="2"/>
        <v>1.0229814613881478</v>
      </c>
    </row>
    <row r="10" spans="2:16" ht="16" x14ac:dyDescent="0.2">
      <c r="B10" s="49">
        <v>21</v>
      </c>
      <c r="C10" s="72">
        <v>1</v>
      </c>
      <c r="D10" s="72">
        <v>5</v>
      </c>
      <c r="E10" s="72">
        <v>2</v>
      </c>
      <c r="F10" s="72"/>
      <c r="G10" s="72">
        <v>1</v>
      </c>
      <c r="H10" s="72">
        <v>1</v>
      </c>
      <c r="I10" s="72">
        <v>4</v>
      </c>
      <c r="J10" s="72">
        <v>2</v>
      </c>
      <c r="K10" s="72"/>
      <c r="L10" s="72">
        <v>1</v>
      </c>
      <c r="M10" s="58">
        <f t="shared" si="0"/>
        <v>204</v>
      </c>
      <c r="N10" s="22">
        <f t="shared" si="1"/>
        <v>210.92017767530177</v>
      </c>
      <c r="O10" s="59">
        <f t="shared" si="2"/>
        <v>1.0339224395848126</v>
      </c>
    </row>
    <row r="11" spans="2:16" ht="16" x14ac:dyDescent="0.2">
      <c r="B11" s="47">
        <v>20</v>
      </c>
      <c r="C11" s="73">
        <v>1</v>
      </c>
      <c r="D11" s="73">
        <v>4</v>
      </c>
      <c r="E11" s="73">
        <v>2</v>
      </c>
      <c r="F11" s="73"/>
      <c r="G11" s="73">
        <v>1</v>
      </c>
      <c r="H11" s="73">
        <v>1</v>
      </c>
      <c r="I11" s="73">
        <v>4</v>
      </c>
      <c r="J11" s="73">
        <v>2</v>
      </c>
      <c r="K11" s="73"/>
      <c r="L11" s="73">
        <v>1</v>
      </c>
      <c r="M11" s="58">
        <f t="shared" si="0"/>
        <v>192</v>
      </c>
      <c r="N11" s="22">
        <f t="shared" si="1"/>
        <v>200.87635969076359</v>
      </c>
      <c r="O11" s="59">
        <f t="shared" si="2"/>
        <v>1.0462310400560604</v>
      </c>
    </row>
    <row r="12" spans="2:16" ht="16" x14ac:dyDescent="0.2">
      <c r="B12" s="49">
        <v>19</v>
      </c>
      <c r="C12" s="72">
        <v>1</v>
      </c>
      <c r="D12" s="72">
        <v>4</v>
      </c>
      <c r="E12" s="72">
        <v>2</v>
      </c>
      <c r="F12" s="72"/>
      <c r="G12" s="72">
        <v>1</v>
      </c>
      <c r="H12" s="72">
        <v>1</v>
      </c>
      <c r="I12" s="72">
        <v>4</v>
      </c>
      <c r="J12" s="72">
        <v>2</v>
      </c>
      <c r="K12" s="72"/>
      <c r="L12" s="72">
        <v>1</v>
      </c>
      <c r="M12" s="58">
        <f t="shared" si="0"/>
        <v>192</v>
      </c>
      <c r="N12" s="22">
        <f t="shared" si="1"/>
        <v>190.83254170622541</v>
      </c>
      <c r="O12" s="59">
        <f t="shared" si="2"/>
        <v>0.99391948805325736</v>
      </c>
    </row>
    <row r="13" spans="2:16" ht="16" x14ac:dyDescent="0.2">
      <c r="B13" s="47">
        <v>18</v>
      </c>
      <c r="C13" s="73">
        <v>1</v>
      </c>
      <c r="D13" s="73">
        <v>4</v>
      </c>
      <c r="E13" s="73">
        <v>2</v>
      </c>
      <c r="F13" s="73"/>
      <c r="G13" s="73">
        <v>1</v>
      </c>
      <c r="H13" s="73">
        <v>1</v>
      </c>
      <c r="I13" s="73">
        <v>4</v>
      </c>
      <c r="J13" s="73">
        <v>2</v>
      </c>
      <c r="K13" s="73"/>
      <c r="L13" s="73">
        <v>1</v>
      </c>
      <c r="M13" s="58">
        <f t="shared" si="0"/>
        <v>192</v>
      </c>
      <c r="N13" s="22">
        <f t="shared" si="1"/>
        <v>180.78872372168723</v>
      </c>
      <c r="O13" s="59">
        <f t="shared" si="2"/>
        <v>0.94160793605045434</v>
      </c>
    </row>
    <row r="14" spans="2:16" ht="16" x14ac:dyDescent="0.2">
      <c r="B14" s="49">
        <v>17</v>
      </c>
      <c r="C14" s="72">
        <v>1</v>
      </c>
      <c r="D14" s="72">
        <v>3</v>
      </c>
      <c r="E14" s="72">
        <v>2</v>
      </c>
      <c r="F14" s="72"/>
      <c r="G14" s="72">
        <v>1</v>
      </c>
      <c r="H14" s="72">
        <v>1</v>
      </c>
      <c r="I14" s="72">
        <v>3</v>
      </c>
      <c r="J14" s="72">
        <v>2</v>
      </c>
      <c r="K14" s="72"/>
      <c r="L14" s="72">
        <v>1</v>
      </c>
      <c r="M14" s="58">
        <f t="shared" si="0"/>
        <v>168</v>
      </c>
      <c r="N14" s="22">
        <f t="shared" si="1"/>
        <v>170.74490573714905</v>
      </c>
      <c r="O14" s="59">
        <f t="shared" si="2"/>
        <v>1.0163387246258873</v>
      </c>
    </row>
    <row r="15" spans="2:16" ht="16" x14ac:dyDescent="0.2">
      <c r="B15" s="47">
        <v>16</v>
      </c>
      <c r="C15" s="73">
        <v>1</v>
      </c>
      <c r="D15" s="73">
        <v>3</v>
      </c>
      <c r="E15" s="73">
        <v>2</v>
      </c>
      <c r="F15" s="73"/>
      <c r="G15" s="73">
        <v>1</v>
      </c>
      <c r="H15" s="73">
        <v>1</v>
      </c>
      <c r="I15" s="73">
        <v>3</v>
      </c>
      <c r="J15" s="73">
        <v>2</v>
      </c>
      <c r="K15" s="73"/>
      <c r="L15" s="73">
        <v>1</v>
      </c>
      <c r="M15" s="58">
        <f t="shared" si="0"/>
        <v>168</v>
      </c>
      <c r="N15" s="22">
        <f t="shared" si="1"/>
        <v>160.70108775261087</v>
      </c>
      <c r="O15" s="59">
        <f t="shared" si="2"/>
        <v>0.9565540937655409</v>
      </c>
    </row>
    <row r="16" spans="2:16" ht="16" x14ac:dyDescent="0.2">
      <c r="B16" s="49">
        <v>15</v>
      </c>
      <c r="C16" s="72">
        <v>1</v>
      </c>
      <c r="D16" s="72">
        <v>3</v>
      </c>
      <c r="E16" s="72">
        <v>2</v>
      </c>
      <c r="F16" s="72"/>
      <c r="G16" s="72">
        <v>1</v>
      </c>
      <c r="H16" s="72">
        <v>1</v>
      </c>
      <c r="I16" s="72">
        <v>3</v>
      </c>
      <c r="J16" s="72">
        <v>2</v>
      </c>
      <c r="K16" s="72"/>
      <c r="L16" s="72" t="s">
        <v>26</v>
      </c>
      <c r="M16" s="58">
        <f t="shared" si="0"/>
        <v>156</v>
      </c>
      <c r="N16" s="22">
        <f t="shared" si="1"/>
        <v>150.65726976807269</v>
      </c>
      <c r="O16" s="59">
        <f t="shared" si="2"/>
        <v>0.96575172928251729</v>
      </c>
    </row>
    <row r="17" spans="2:15" ht="16" x14ac:dyDescent="0.2">
      <c r="B17" s="47">
        <v>14</v>
      </c>
      <c r="C17" s="73">
        <v>1</v>
      </c>
      <c r="D17" s="73">
        <v>3</v>
      </c>
      <c r="E17" s="73">
        <v>2</v>
      </c>
      <c r="F17" s="73"/>
      <c r="G17" s="73">
        <v>1</v>
      </c>
      <c r="H17" s="73">
        <v>1</v>
      </c>
      <c r="I17" s="73">
        <v>3</v>
      </c>
      <c r="J17" s="73">
        <v>2</v>
      </c>
      <c r="K17" s="73"/>
      <c r="L17" s="73" t="s">
        <v>26</v>
      </c>
      <c r="M17" s="58">
        <f t="shared" si="0"/>
        <v>156</v>
      </c>
      <c r="N17" s="22">
        <f t="shared" si="1"/>
        <v>140.61345178353452</v>
      </c>
      <c r="O17" s="59">
        <f t="shared" si="2"/>
        <v>0.9013682806636828</v>
      </c>
    </row>
    <row r="18" spans="2:15" ht="16" x14ac:dyDescent="0.2">
      <c r="B18" s="49">
        <v>13</v>
      </c>
      <c r="C18" s="72">
        <v>1</v>
      </c>
      <c r="D18" s="72">
        <v>3</v>
      </c>
      <c r="E18" s="72">
        <v>2</v>
      </c>
      <c r="F18" s="72"/>
      <c r="G18" s="72">
        <v>0</v>
      </c>
      <c r="H18" s="72">
        <v>1</v>
      </c>
      <c r="I18" s="72">
        <v>3</v>
      </c>
      <c r="J18" s="72">
        <v>2</v>
      </c>
      <c r="K18" s="72"/>
      <c r="L18" s="72">
        <v>0</v>
      </c>
      <c r="M18" s="58">
        <f t="shared" si="0"/>
        <v>144</v>
      </c>
      <c r="N18" s="22">
        <f t="shared" si="1"/>
        <v>130.56963379899634</v>
      </c>
      <c r="O18" s="59">
        <f t="shared" si="2"/>
        <v>0.90673356804858563</v>
      </c>
    </row>
    <row r="19" spans="2:15" ht="16" x14ac:dyDescent="0.2">
      <c r="B19" s="47">
        <v>12</v>
      </c>
      <c r="C19" s="73">
        <v>1</v>
      </c>
      <c r="D19" s="73">
        <v>2</v>
      </c>
      <c r="E19" s="73">
        <v>2</v>
      </c>
      <c r="F19" s="73"/>
      <c r="G19" s="73">
        <v>0</v>
      </c>
      <c r="H19" s="73">
        <v>1</v>
      </c>
      <c r="I19" s="73">
        <v>2</v>
      </c>
      <c r="J19" s="73">
        <v>2</v>
      </c>
      <c r="K19" s="73"/>
      <c r="L19" s="73">
        <v>0</v>
      </c>
      <c r="M19" s="58">
        <f t="shared" si="0"/>
        <v>120</v>
      </c>
      <c r="N19" s="22">
        <f t="shared" si="1"/>
        <v>120.52581581445816</v>
      </c>
      <c r="O19" s="59">
        <f t="shared" si="2"/>
        <v>1.0043817984538179</v>
      </c>
    </row>
    <row r="20" spans="2:15" ht="16" x14ac:dyDescent="0.2">
      <c r="B20" s="49">
        <v>11</v>
      </c>
      <c r="C20" s="72">
        <v>1</v>
      </c>
      <c r="D20" s="72">
        <v>2</v>
      </c>
      <c r="E20" s="72">
        <v>0</v>
      </c>
      <c r="F20" s="72"/>
      <c r="G20" s="72">
        <v>0</v>
      </c>
      <c r="H20" s="72">
        <v>1</v>
      </c>
      <c r="I20" s="72">
        <v>2</v>
      </c>
      <c r="J20" s="72">
        <v>0</v>
      </c>
      <c r="K20" s="72"/>
      <c r="L20" s="72">
        <v>0</v>
      </c>
      <c r="M20" s="58">
        <f t="shared" si="0"/>
        <v>72</v>
      </c>
      <c r="N20" s="22">
        <f t="shared" si="1"/>
        <v>110.48199782991998</v>
      </c>
      <c r="O20" s="59">
        <f t="shared" si="2"/>
        <v>1.534472192082222</v>
      </c>
    </row>
    <row r="21" spans="2:15" ht="16" x14ac:dyDescent="0.2">
      <c r="B21" s="47">
        <v>10</v>
      </c>
      <c r="C21" s="73">
        <v>1</v>
      </c>
      <c r="D21" s="73">
        <v>1</v>
      </c>
      <c r="E21" s="73">
        <v>0</v>
      </c>
      <c r="F21" s="73"/>
      <c r="G21" s="73">
        <v>0</v>
      </c>
      <c r="H21" s="73">
        <v>1</v>
      </c>
      <c r="I21" s="73">
        <v>1</v>
      </c>
      <c r="J21" s="73">
        <v>0</v>
      </c>
      <c r="K21" s="73"/>
      <c r="L21" s="73">
        <v>0</v>
      </c>
      <c r="M21" s="58">
        <f t="shared" si="0"/>
        <v>48</v>
      </c>
      <c r="N21" s="22">
        <f t="shared" si="1"/>
        <v>100.4381798453818</v>
      </c>
      <c r="O21" s="59">
        <f t="shared" si="2"/>
        <v>2.0924620801121208</v>
      </c>
    </row>
    <row r="22" spans="2:15" ht="16" x14ac:dyDescent="0.2">
      <c r="B22" s="49">
        <v>9</v>
      </c>
      <c r="C22" s="72">
        <v>1</v>
      </c>
      <c r="D22" s="72">
        <v>1</v>
      </c>
      <c r="E22" s="72">
        <v>0</v>
      </c>
      <c r="F22" s="72"/>
      <c r="G22" s="72">
        <v>0</v>
      </c>
      <c r="H22" s="72">
        <v>1</v>
      </c>
      <c r="I22" s="72">
        <v>1</v>
      </c>
      <c r="J22" s="72">
        <v>0</v>
      </c>
      <c r="K22" s="72"/>
      <c r="L22" s="72">
        <v>0</v>
      </c>
      <c r="M22" s="58">
        <f t="shared" si="0"/>
        <v>48</v>
      </c>
      <c r="N22" s="22">
        <f t="shared" si="1"/>
        <v>90.394361860843617</v>
      </c>
      <c r="O22" s="59">
        <f t="shared" si="2"/>
        <v>1.8832158721009087</v>
      </c>
    </row>
    <row r="23" spans="2:15" ht="16" x14ac:dyDescent="0.2">
      <c r="B23" s="47">
        <v>8</v>
      </c>
      <c r="C23" s="73">
        <v>1</v>
      </c>
      <c r="D23" s="73">
        <v>1</v>
      </c>
      <c r="E23" s="73">
        <v>0</v>
      </c>
      <c r="F23" s="73"/>
      <c r="G23" s="73">
        <v>0</v>
      </c>
      <c r="H23" s="73">
        <v>1</v>
      </c>
      <c r="I23" s="73">
        <v>1</v>
      </c>
      <c r="J23" s="73">
        <v>0</v>
      </c>
      <c r="K23" s="73"/>
      <c r="L23" s="73">
        <v>0</v>
      </c>
      <c r="M23" s="58">
        <f t="shared" si="0"/>
        <v>48</v>
      </c>
      <c r="N23" s="22">
        <f t="shared" si="1"/>
        <v>80.350543876305437</v>
      </c>
      <c r="O23" s="59">
        <f t="shared" si="2"/>
        <v>1.6739696640896966</v>
      </c>
    </row>
    <row r="24" spans="2:15" ht="16" x14ac:dyDescent="0.2">
      <c r="B24" s="49">
        <v>7</v>
      </c>
      <c r="C24" s="72">
        <v>1</v>
      </c>
      <c r="D24" s="72">
        <v>1</v>
      </c>
      <c r="E24" s="72">
        <v>0</v>
      </c>
      <c r="F24" s="72"/>
      <c r="G24" s="72">
        <v>0</v>
      </c>
      <c r="H24" s="72">
        <v>1</v>
      </c>
      <c r="I24" s="72">
        <v>1</v>
      </c>
      <c r="J24" s="72">
        <v>0</v>
      </c>
      <c r="K24" s="72"/>
      <c r="L24" s="72">
        <v>0</v>
      </c>
      <c r="M24" s="58">
        <f t="shared" si="0"/>
        <v>48</v>
      </c>
      <c r="N24" s="22">
        <f t="shared" si="1"/>
        <v>70.306725891767258</v>
      </c>
      <c r="O24" s="59">
        <f t="shared" si="2"/>
        <v>1.4647234560784845</v>
      </c>
    </row>
    <row r="25" spans="2:15" ht="16" x14ac:dyDescent="0.2">
      <c r="B25" s="47">
        <v>6</v>
      </c>
      <c r="C25" s="73">
        <v>1</v>
      </c>
      <c r="D25" s="73">
        <v>1</v>
      </c>
      <c r="E25" s="73">
        <v>0</v>
      </c>
      <c r="F25" s="73"/>
      <c r="G25" s="73">
        <v>0</v>
      </c>
      <c r="H25" s="73">
        <v>1</v>
      </c>
      <c r="I25" s="73">
        <v>1</v>
      </c>
      <c r="J25" s="73">
        <v>0</v>
      </c>
      <c r="K25" s="73"/>
      <c r="L25" s="73">
        <v>0</v>
      </c>
      <c r="M25" s="58">
        <f t="shared" si="0"/>
        <v>48</v>
      </c>
      <c r="N25" s="22">
        <f t="shared" si="1"/>
        <v>60.262907907229078</v>
      </c>
      <c r="O25" s="59">
        <f t="shared" si="2"/>
        <v>1.2554772480672725</v>
      </c>
    </row>
    <row r="26" spans="2:15" ht="16" x14ac:dyDescent="0.2">
      <c r="B26" s="49">
        <v>5</v>
      </c>
      <c r="C26" s="72">
        <v>1</v>
      </c>
      <c r="D26" s="72">
        <v>1</v>
      </c>
      <c r="E26" s="72">
        <v>0</v>
      </c>
      <c r="F26" s="72"/>
      <c r="G26" s="72">
        <v>0</v>
      </c>
      <c r="H26" s="72">
        <v>1</v>
      </c>
      <c r="I26" s="72">
        <v>1</v>
      </c>
      <c r="J26" s="72">
        <v>0</v>
      </c>
      <c r="K26" s="72"/>
      <c r="L26" s="72">
        <v>0</v>
      </c>
      <c r="M26" s="58">
        <f t="shared" si="0"/>
        <v>48</v>
      </c>
      <c r="N26" s="22">
        <f t="shared" si="1"/>
        <v>50.219089922690898</v>
      </c>
      <c r="O26" s="59">
        <f t="shared" si="2"/>
        <v>1.0462310400560604</v>
      </c>
    </row>
    <row r="27" spans="2:15" ht="16" x14ac:dyDescent="0.2">
      <c r="B27" s="47">
        <v>4</v>
      </c>
      <c r="C27" s="73">
        <v>1</v>
      </c>
      <c r="D27" s="73">
        <v>1</v>
      </c>
      <c r="E27" s="73">
        <v>0</v>
      </c>
      <c r="F27" s="73"/>
      <c r="G27" s="73">
        <v>0</v>
      </c>
      <c r="H27" s="73">
        <v>1</v>
      </c>
      <c r="I27" s="73">
        <v>1</v>
      </c>
      <c r="J27" s="73">
        <v>0</v>
      </c>
      <c r="K27" s="73"/>
      <c r="L27" s="73">
        <v>0</v>
      </c>
      <c r="M27" s="58">
        <f t="shared" si="0"/>
        <v>48</v>
      </c>
      <c r="N27" s="22">
        <f t="shared" si="1"/>
        <v>40.175271938152719</v>
      </c>
      <c r="O27" s="59">
        <f t="shared" si="2"/>
        <v>0.8369848320448483</v>
      </c>
    </row>
    <row r="28" spans="2:15" ht="16" x14ac:dyDescent="0.2">
      <c r="B28" s="49">
        <v>3</v>
      </c>
      <c r="C28" s="72">
        <v>1</v>
      </c>
      <c r="D28" s="72">
        <v>1</v>
      </c>
      <c r="E28" s="72">
        <v>0</v>
      </c>
      <c r="F28" s="72"/>
      <c r="G28" s="72">
        <v>0</v>
      </c>
      <c r="H28" s="72">
        <v>1</v>
      </c>
      <c r="I28" s="72">
        <v>1</v>
      </c>
      <c r="J28" s="72">
        <v>0</v>
      </c>
      <c r="K28" s="72"/>
      <c r="L28" s="72">
        <v>0</v>
      </c>
      <c r="M28" s="58">
        <f t="shared" si="0"/>
        <v>48</v>
      </c>
      <c r="N28" s="22">
        <f t="shared" si="1"/>
        <v>30.131453953614539</v>
      </c>
      <c r="O28" s="59">
        <f t="shared" si="2"/>
        <v>0.62773862403363623</v>
      </c>
    </row>
    <row r="29" spans="2:15" ht="16" x14ac:dyDescent="0.2">
      <c r="B29" s="47">
        <v>2</v>
      </c>
      <c r="C29" s="73">
        <v>1</v>
      </c>
      <c r="D29" s="73">
        <v>1</v>
      </c>
      <c r="E29" s="73">
        <v>0</v>
      </c>
      <c r="F29" s="73"/>
      <c r="G29" s="73">
        <v>0</v>
      </c>
      <c r="H29" s="73">
        <v>1</v>
      </c>
      <c r="I29" s="73">
        <v>1</v>
      </c>
      <c r="J29" s="73">
        <v>0</v>
      </c>
      <c r="K29" s="73"/>
      <c r="L29" s="73">
        <v>0</v>
      </c>
      <c r="M29" s="58">
        <f t="shared" si="0"/>
        <v>48</v>
      </c>
      <c r="N29" s="22">
        <f t="shared" si="1"/>
        <v>20.087635969076359</v>
      </c>
      <c r="O29" s="59">
        <f t="shared" si="2"/>
        <v>0.41849241602242415</v>
      </c>
    </row>
    <row r="30" spans="2:15" ht="17" thickBot="1" x14ac:dyDescent="0.25">
      <c r="B30" s="50">
        <v>1</v>
      </c>
      <c r="C30" s="74">
        <v>1</v>
      </c>
      <c r="D30" s="74">
        <v>1</v>
      </c>
      <c r="E30" s="74">
        <v>0</v>
      </c>
      <c r="F30" s="74"/>
      <c r="G30" s="74">
        <v>0</v>
      </c>
      <c r="H30" s="74">
        <v>1</v>
      </c>
      <c r="I30" s="74">
        <v>1</v>
      </c>
      <c r="J30" s="74">
        <v>0</v>
      </c>
      <c r="K30" s="74"/>
      <c r="L30" s="74">
        <v>0</v>
      </c>
      <c r="M30" s="60">
        <f t="shared" si="0"/>
        <v>48</v>
      </c>
      <c r="N30" s="61">
        <f t="shared" si="1"/>
        <v>10.04381798453818</v>
      </c>
      <c r="O30" s="62">
        <f t="shared" si="2"/>
        <v>0.20924620801121208</v>
      </c>
    </row>
    <row r="31" spans="2:15" ht="16" thickBot="1" x14ac:dyDescent="0.25"/>
    <row r="32" spans="2:15" ht="32" x14ac:dyDescent="0.2">
      <c r="B32" s="11"/>
      <c r="C32" s="12"/>
      <c r="D32" s="13" t="s">
        <v>17</v>
      </c>
      <c r="E32" s="14" t="s">
        <v>18</v>
      </c>
      <c r="F32" s="65"/>
    </row>
    <row r="33" spans="1:15" x14ac:dyDescent="0.2">
      <c r="B33" s="96" t="s">
        <v>19</v>
      </c>
      <c r="C33" s="97"/>
      <c r="D33" s="16"/>
      <c r="E33" s="17">
        <f>(D33*2080)/($O$1*365)</f>
        <v>0</v>
      </c>
      <c r="F33" s="16"/>
    </row>
    <row r="34" spans="1:15" x14ac:dyDescent="0.2">
      <c r="B34" s="96" t="s">
        <v>20</v>
      </c>
      <c r="C34" s="97"/>
      <c r="D34" s="18">
        <v>1</v>
      </c>
      <c r="E34" s="17">
        <f t="shared" ref="E34:E36" si="3">(D34*2080)/($O$1*365)</f>
        <v>0.26330304263303045</v>
      </c>
      <c r="F34" s="16"/>
    </row>
    <row r="35" spans="1:15" x14ac:dyDescent="0.2">
      <c r="B35" s="96" t="s">
        <v>21</v>
      </c>
      <c r="C35" s="97"/>
      <c r="D35" s="16">
        <f>(574/14*26)/2080</f>
        <v>0.51249999999999996</v>
      </c>
      <c r="E35" s="17">
        <f t="shared" si="3"/>
        <v>0.13494280934942809</v>
      </c>
      <c r="F35" s="16"/>
    </row>
    <row r="36" spans="1:15" x14ac:dyDescent="0.2">
      <c r="B36" s="96" t="s">
        <v>22</v>
      </c>
      <c r="C36" s="97"/>
      <c r="D36" s="16">
        <f>(1480/14*26)/2080</f>
        <v>1.3214285714285714</v>
      </c>
      <c r="E36" s="17">
        <f t="shared" si="3"/>
        <v>0.34793616347936163</v>
      </c>
      <c r="F36" s="16"/>
    </row>
    <row r="37" spans="1:15" x14ac:dyDescent="0.2">
      <c r="B37" s="15"/>
      <c r="E37" s="19"/>
    </row>
    <row r="38" spans="1:15" ht="16" thickBot="1" x14ac:dyDescent="0.25">
      <c r="B38" s="98" t="s">
        <v>23</v>
      </c>
      <c r="C38" s="99"/>
      <c r="D38" s="20">
        <f>SUM(D33:D36)</f>
        <v>2.8339285714285714</v>
      </c>
      <c r="E38" s="21">
        <f>SUM(E33:E36)</f>
        <v>0.74618201546182017</v>
      </c>
      <c r="F38" s="16"/>
    </row>
    <row r="43" spans="1:15" x14ac:dyDescent="0.2">
      <c r="A43" s="5"/>
      <c r="B43" s="5"/>
      <c r="M43"/>
      <c r="N43"/>
      <c r="O43"/>
    </row>
    <row r="44" spans="1:15" x14ac:dyDescent="0.2">
      <c r="A44" s="5"/>
      <c r="B44" s="5"/>
      <c r="M44"/>
      <c r="N44"/>
      <c r="O44"/>
    </row>
  </sheetData>
  <mergeCells count="10">
    <mergeCell ref="H3:L3"/>
    <mergeCell ref="C4:G4"/>
    <mergeCell ref="H4:L4"/>
    <mergeCell ref="B33:C33"/>
    <mergeCell ref="B34:C34"/>
    <mergeCell ref="B35:C35"/>
    <mergeCell ref="B36:C36"/>
    <mergeCell ref="B38:C38"/>
    <mergeCell ref="B3:B4"/>
    <mergeCell ref="C3:G3"/>
  </mergeCells>
  <conditionalFormatting sqref="O6:O30">
    <cfRule type="cellIs" dxfId="29" priority="1" operator="lessThan">
      <formula>0.9999999</formula>
    </cfRule>
    <cfRule type="cellIs" dxfId="28" priority="2" operator="greaterThan">
      <formula>0.9999999</formula>
    </cfRule>
  </conditionalFormatting>
  <pageMargins left="0.7" right="0.7" top="0.75" bottom="0.75" header="0.3" footer="0.3"/>
  <ignoredErrors>
    <ignoredError sqref="L16:L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681F-7E27-49AA-BFDC-5FFE948B3EA0}">
  <dimension ref="A1:P40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28</v>
      </c>
      <c r="E1" s="7" t="s">
        <v>2</v>
      </c>
      <c r="F1" s="7"/>
      <c r="G1" s="68">
        <v>10.31</v>
      </c>
      <c r="I1" s="7" t="s">
        <v>3</v>
      </c>
      <c r="L1" s="67">
        <f>G1-E34</f>
        <v>9.6765090430458738</v>
      </c>
      <c r="M1" s="10"/>
      <c r="N1" s="63" t="s">
        <v>4</v>
      </c>
      <c r="O1" s="69">
        <f>281/14</f>
        <v>20.071428571428573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21</v>
      </c>
      <c r="C6" s="75">
        <v>1</v>
      </c>
      <c r="D6" s="76">
        <v>4</v>
      </c>
      <c r="E6" s="76">
        <v>2</v>
      </c>
      <c r="F6" s="72">
        <v>1</v>
      </c>
      <c r="G6" s="76">
        <v>1</v>
      </c>
      <c r="H6" s="77">
        <v>1</v>
      </c>
      <c r="I6" s="76">
        <v>4</v>
      </c>
      <c r="J6" s="76">
        <v>2</v>
      </c>
      <c r="K6" s="72"/>
      <c r="L6" s="76">
        <v>1</v>
      </c>
      <c r="M6" s="58">
        <f t="shared" ref="M6:M26" si="0">(SUM(C6:L6)*12)</f>
        <v>204</v>
      </c>
      <c r="N6" s="22">
        <f t="shared" ref="N6:N26" si="1">B6*$L$1</f>
        <v>203.20668990396334</v>
      </c>
      <c r="O6" s="59">
        <f t="shared" ref="O6:O26" si="2">N6/M6</f>
        <v>0.99611122501942817</v>
      </c>
    </row>
    <row r="7" spans="2:16" ht="16" x14ac:dyDescent="0.2">
      <c r="B7" s="47">
        <v>20</v>
      </c>
      <c r="C7" s="78">
        <v>1</v>
      </c>
      <c r="D7" s="79">
        <v>4</v>
      </c>
      <c r="E7" s="79">
        <v>2</v>
      </c>
      <c r="F7" s="73"/>
      <c r="G7" s="79">
        <v>1</v>
      </c>
      <c r="H7" s="80">
        <v>1</v>
      </c>
      <c r="I7" s="79">
        <v>4</v>
      </c>
      <c r="J7" s="79">
        <v>2</v>
      </c>
      <c r="K7" s="73"/>
      <c r="L7" s="79">
        <v>1</v>
      </c>
      <c r="M7" s="58">
        <f t="shared" si="0"/>
        <v>192</v>
      </c>
      <c r="N7" s="22">
        <f t="shared" si="1"/>
        <v>193.53018086091748</v>
      </c>
      <c r="O7" s="59">
        <f t="shared" si="2"/>
        <v>1.0079696919839451</v>
      </c>
    </row>
    <row r="8" spans="2:16" ht="16" x14ac:dyDescent="0.2">
      <c r="B8" s="49">
        <v>19</v>
      </c>
      <c r="C8" s="75">
        <v>1</v>
      </c>
      <c r="D8" s="76">
        <v>4</v>
      </c>
      <c r="E8" s="76">
        <v>2</v>
      </c>
      <c r="F8" s="72"/>
      <c r="G8" s="76">
        <v>1</v>
      </c>
      <c r="H8" s="77">
        <v>1</v>
      </c>
      <c r="I8" s="76">
        <v>4</v>
      </c>
      <c r="J8" s="76">
        <v>2</v>
      </c>
      <c r="K8" s="72"/>
      <c r="L8" s="76">
        <v>0</v>
      </c>
      <c r="M8" s="58">
        <f t="shared" si="0"/>
        <v>180</v>
      </c>
      <c r="N8" s="22">
        <f t="shared" si="1"/>
        <v>183.8536718178716</v>
      </c>
      <c r="O8" s="59">
        <f t="shared" si="2"/>
        <v>1.0214092878770644</v>
      </c>
    </row>
    <row r="9" spans="2:16" ht="16" x14ac:dyDescent="0.2">
      <c r="B9" s="47">
        <v>18</v>
      </c>
      <c r="C9" s="78">
        <v>1</v>
      </c>
      <c r="D9" s="79">
        <v>4</v>
      </c>
      <c r="E9" s="79">
        <v>2</v>
      </c>
      <c r="F9" s="73"/>
      <c r="G9" s="79">
        <v>1</v>
      </c>
      <c r="H9" s="80">
        <v>1</v>
      </c>
      <c r="I9" s="79">
        <v>3</v>
      </c>
      <c r="J9" s="79">
        <v>2</v>
      </c>
      <c r="K9" s="73"/>
      <c r="L9" s="79">
        <v>0</v>
      </c>
      <c r="M9" s="58">
        <f t="shared" si="0"/>
        <v>168</v>
      </c>
      <c r="N9" s="22">
        <f t="shared" si="1"/>
        <v>174.17716277482572</v>
      </c>
      <c r="O9" s="59">
        <f t="shared" si="2"/>
        <v>1.0367688260406294</v>
      </c>
    </row>
    <row r="10" spans="2:16" ht="16" x14ac:dyDescent="0.2">
      <c r="B10" s="49">
        <v>17</v>
      </c>
      <c r="C10" s="75">
        <v>1</v>
      </c>
      <c r="D10" s="76">
        <v>3</v>
      </c>
      <c r="E10" s="76">
        <v>2</v>
      </c>
      <c r="F10" s="72"/>
      <c r="G10" s="76">
        <v>1</v>
      </c>
      <c r="H10" s="77">
        <v>1</v>
      </c>
      <c r="I10" s="76">
        <v>3</v>
      </c>
      <c r="J10" s="76">
        <v>2</v>
      </c>
      <c r="K10" s="72"/>
      <c r="L10" s="76">
        <v>0</v>
      </c>
      <c r="M10" s="58">
        <f t="shared" si="0"/>
        <v>156</v>
      </c>
      <c r="N10" s="22">
        <f t="shared" si="1"/>
        <v>164.50065373177986</v>
      </c>
      <c r="O10" s="59">
        <f t="shared" si="2"/>
        <v>1.0544913700755119</v>
      </c>
    </row>
    <row r="11" spans="2:16" ht="16" x14ac:dyDescent="0.2">
      <c r="B11" s="47">
        <v>16</v>
      </c>
      <c r="C11" s="78">
        <v>1</v>
      </c>
      <c r="D11" s="79">
        <v>3</v>
      </c>
      <c r="E11" s="79">
        <v>2</v>
      </c>
      <c r="F11" s="73"/>
      <c r="G11" s="79">
        <v>1</v>
      </c>
      <c r="H11" s="80">
        <v>1</v>
      </c>
      <c r="I11" s="79">
        <v>3</v>
      </c>
      <c r="J11" s="79">
        <v>2</v>
      </c>
      <c r="K11" s="73"/>
      <c r="L11" s="79">
        <v>0</v>
      </c>
      <c r="M11" s="58">
        <f t="shared" si="0"/>
        <v>156</v>
      </c>
      <c r="N11" s="22">
        <f t="shared" si="1"/>
        <v>154.82414468873398</v>
      </c>
      <c r="O11" s="59">
        <f t="shared" si="2"/>
        <v>0.99246246595342291</v>
      </c>
    </row>
    <row r="12" spans="2:16" ht="16" x14ac:dyDescent="0.2">
      <c r="B12" s="49">
        <v>15</v>
      </c>
      <c r="C12" s="75">
        <v>1</v>
      </c>
      <c r="D12" s="76">
        <v>3</v>
      </c>
      <c r="E12" s="76">
        <v>2</v>
      </c>
      <c r="F12" s="72"/>
      <c r="G12" s="76">
        <v>1</v>
      </c>
      <c r="H12" s="77">
        <v>1</v>
      </c>
      <c r="I12" s="76">
        <v>3</v>
      </c>
      <c r="J12" s="76">
        <v>2</v>
      </c>
      <c r="K12" s="72"/>
      <c r="L12" s="76">
        <v>0</v>
      </c>
      <c r="M12" s="58">
        <f t="shared" si="0"/>
        <v>156</v>
      </c>
      <c r="N12" s="22">
        <f t="shared" si="1"/>
        <v>145.1476356456881</v>
      </c>
      <c r="O12" s="59">
        <f t="shared" si="2"/>
        <v>0.93043356183133397</v>
      </c>
    </row>
    <row r="13" spans="2:16" ht="16" x14ac:dyDescent="0.2">
      <c r="B13" s="47">
        <v>14</v>
      </c>
      <c r="C13" s="78">
        <v>1</v>
      </c>
      <c r="D13" s="79">
        <v>2</v>
      </c>
      <c r="E13" s="79">
        <v>2</v>
      </c>
      <c r="F13" s="73">
        <v>0</v>
      </c>
      <c r="G13" s="79">
        <v>1</v>
      </c>
      <c r="H13" s="80">
        <v>1</v>
      </c>
      <c r="I13" s="79">
        <v>2</v>
      </c>
      <c r="J13" s="79">
        <v>2</v>
      </c>
      <c r="K13" s="73">
        <v>1</v>
      </c>
      <c r="L13" s="79">
        <v>0</v>
      </c>
      <c r="M13" s="58">
        <f t="shared" si="0"/>
        <v>144</v>
      </c>
      <c r="N13" s="22">
        <f t="shared" si="1"/>
        <v>135.47112660264224</v>
      </c>
      <c r="O13" s="59">
        <f t="shared" si="2"/>
        <v>0.9407717125183489</v>
      </c>
    </row>
    <row r="14" spans="2:16" ht="16" x14ac:dyDescent="0.2">
      <c r="B14" s="49">
        <v>13</v>
      </c>
      <c r="C14" s="75">
        <v>1</v>
      </c>
      <c r="D14" s="76">
        <v>3</v>
      </c>
      <c r="E14" s="76">
        <v>2</v>
      </c>
      <c r="F14" s="72"/>
      <c r="G14" s="76">
        <v>0</v>
      </c>
      <c r="H14" s="77">
        <v>1</v>
      </c>
      <c r="I14" s="76">
        <v>3</v>
      </c>
      <c r="J14" s="76">
        <v>2</v>
      </c>
      <c r="K14" s="72"/>
      <c r="L14" s="76">
        <v>0</v>
      </c>
      <c r="M14" s="58">
        <f t="shared" si="0"/>
        <v>144</v>
      </c>
      <c r="N14" s="22">
        <f t="shared" si="1"/>
        <v>125.79461755959636</v>
      </c>
      <c r="O14" s="59">
        <f t="shared" si="2"/>
        <v>0.87357373305275254</v>
      </c>
    </row>
    <row r="15" spans="2:16" ht="16" x14ac:dyDescent="0.2">
      <c r="B15" s="47">
        <v>12</v>
      </c>
      <c r="C15" s="78">
        <v>1</v>
      </c>
      <c r="D15" s="79">
        <v>2</v>
      </c>
      <c r="E15" s="79">
        <v>2</v>
      </c>
      <c r="F15" s="73"/>
      <c r="G15" s="79">
        <v>0</v>
      </c>
      <c r="H15" s="80">
        <v>1</v>
      </c>
      <c r="I15" s="79">
        <v>2</v>
      </c>
      <c r="J15" s="79">
        <v>2</v>
      </c>
      <c r="K15" s="73"/>
      <c r="L15" s="79">
        <v>0</v>
      </c>
      <c r="M15" s="58">
        <f t="shared" si="0"/>
        <v>120</v>
      </c>
      <c r="N15" s="22">
        <f t="shared" si="1"/>
        <v>116.11810851655048</v>
      </c>
      <c r="O15" s="59">
        <f t="shared" si="2"/>
        <v>0.96765090430458733</v>
      </c>
    </row>
    <row r="16" spans="2:16" ht="16" x14ac:dyDescent="0.2">
      <c r="B16" s="49">
        <v>11</v>
      </c>
      <c r="C16" s="75">
        <v>1</v>
      </c>
      <c r="D16" s="76">
        <v>2</v>
      </c>
      <c r="E16" s="76">
        <v>0</v>
      </c>
      <c r="F16" s="72"/>
      <c r="G16" s="76">
        <v>0</v>
      </c>
      <c r="H16" s="77">
        <v>1</v>
      </c>
      <c r="I16" s="76">
        <v>2</v>
      </c>
      <c r="J16" s="76">
        <v>0</v>
      </c>
      <c r="K16" s="72"/>
      <c r="L16" s="76">
        <v>0</v>
      </c>
      <c r="M16" s="58">
        <f t="shared" si="0"/>
        <v>72</v>
      </c>
      <c r="N16" s="22">
        <f t="shared" si="1"/>
        <v>106.44159947350461</v>
      </c>
      <c r="O16" s="59">
        <f t="shared" si="2"/>
        <v>1.4783555482431197</v>
      </c>
    </row>
    <row r="17" spans="2:15" ht="16" x14ac:dyDescent="0.2">
      <c r="B17" s="47">
        <v>10</v>
      </c>
      <c r="C17" s="78">
        <v>1</v>
      </c>
      <c r="D17" s="79">
        <v>2</v>
      </c>
      <c r="E17" s="79">
        <v>0</v>
      </c>
      <c r="F17" s="73"/>
      <c r="G17" s="79">
        <v>0</v>
      </c>
      <c r="H17" s="80">
        <v>1</v>
      </c>
      <c r="I17" s="79">
        <v>2</v>
      </c>
      <c r="J17" s="79">
        <v>0</v>
      </c>
      <c r="K17" s="73"/>
      <c r="L17" s="79">
        <v>0</v>
      </c>
      <c r="M17" s="58">
        <f t="shared" si="0"/>
        <v>72</v>
      </c>
      <c r="N17" s="22">
        <f t="shared" si="1"/>
        <v>96.765090430458741</v>
      </c>
      <c r="O17" s="59">
        <f t="shared" si="2"/>
        <v>1.3439595893119269</v>
      </c>
    </row>
    <row r="18" spans="2:15" ht="16" x14ac:dyDescent="0.2">
      <c r="B18" s="49">
        <v>9</v>
      </c>
      <c r="C18" s="75">
        <v>1</v>
      </c>
      <c r="D18" s="76">
        <v>2</v>
      </c>
      <c r="E18" s="76">
        <v>0</v>
      </c>
      <c r="F18" s="72"/>
      <c r="G18" s="76">
        <v>0</v>
      </c>
      <c r="H18" s="77">
        <v>1</v>
      </c>
      <c r="I18" s="76">
        <v>2</v>
      </c>
      <c r="J18" s="76">
        <v>0</v>
      </c>
      <c r="K18" s="72"/>
      <c r="L18" s="76">
        <v>0</v>
      </c>
      <c r="M18" s="58">
        <f t="shared" si="0"/>
        <v>72</v>
      </c>
      <c r="N18" s="22">
        <f t="shared" si="1"/>
        <v>87.088581387412859</v>
      </c>
      <c r="O18" s="59">
        <f t="shared" si="2"/>
        <v>1.2095636303807342</v>
      </c>
    </row>
    <row r="19" spans="2:15" ht="16" x14ac:dyDescent="0.2">
      <c r="B19" s="47">
        <v>8</v>
      </c>
      <c r="C19" s="78">
        <v>1</v>
      </c>
      <c r="D19" s="79">
        <v>2</v>
      </c>
      <c r="E19" s="79">
        <v>0</v>
      </c>
      <c r="F19" s="73"/>
      <c r="G19" s="79">
        <v>0</v>
      </c>
      <c r="H19" s="80">
        <v>1</v>
      </c>
      <c r="I19" s="79">
        <v>2</v>
      </c>
      <c r="J19" s="79">
        <v>0</v>
      </c>
      <c r="K19" s="73"/>
      <c r="L19" s="79">
        <v>0</v>
      </c>
      <c r="M19" s="58">
        <f t="shared" si="0"/>
        <v>72</v>
      </c>
      <c r="N19" s="22">
        <f t="shared" si="1"/>
        <v>77.41207234436699</v>
      </c>
      <c r="O19" s="59">
        <f t="shared" si="2"/>
        <v>1.0751676714495415</v>
      </c>
    </row>
    <row r="20" spans="2:15" ht="16" x14ac:dyDescent="0.2">
      <c r="B20" s="49">
        <v>7</v>
      </c>
      <c r="C20" s="75">
        <v>1</v>
      </c>
      <c r="D20" s="76">
        <v>2</v>
      </c>
      <c r="E20" s="76">
        <v>0</v>
      </c>
      <c r="F20" s="72"/>
      <c r="G20" s="76">
        <v>0</v>
      </c>
      <c r="H20" s="77">
        <v>1</v>
      </c>
      <c r="I20" s="76">
        <v>2</v>
      </c>
      <c r="J20" s="76">
        <v>0</v>
      </c>
      <c r="K20" s="72"/>
      <c r="L20" s="76">
        <v>0</v>
      </c>
      <c r="M20" s="58">
        <f t="shared" si="0"/>
        <v>72</v>
      </c>
      <c r="N20" s="22">
        <f t="shared" si="1"/>
        <v>67.735563301321122</v>
      </c>
      <c r="O20" s="59">
        <f t="shared" si="2"/>
        <v>0.9407717125183489</v>
      </c>
    </row>
    <row r="21" spans="2:15" ht="16" x14ac:dyDescent="0.2">
      <c r="B21" s="47">
        <v>6</v>
      </c>
      <c r="C21" s="78">
        <v>1</v>
      </c>
      <c r="D21" s="79">
        <v>1</v>
      </c>
      <c r="E21" s="79">
        <v>0</v>
      </c>
      <c r="F21" s="73"/>
      <c r="G21" s="79">
        <v>0</v>
      </c>
      <c r="H21" s="80">
        <v>1</v>
      </c>
      <c r="I21" s="79">
        <v>1</v>
      </c>
      <c r="J21" s="79">
        <v>0</v>
      </c>
      <c r="K21" s="73"/>
      <c r="L21" s="79">
        <v>0</v>
      </c>
      <c r="M21" s="58">
        <f t="shared" si="0"/>
        <v>48</v>
      </c>
      <c r="N21" s="22">
        <f t="shared" si="1"/>
        <v>58.059054258275239</v>
      </c>
      <c r="O21" s="59">
        <f t="shared" si="2"/>
        <v>1.2095636303807342</v>
      </c>
    </row>
    <row r="22" spans="2:15" ht="16" x14ac:dyDescent="0.2">
      <c r="B22" s="49">
        <v>5</v>
      </c>
      <c r="C22" s="75">
        <v>1</v>
      </c>
      <c r="D22" s="76">
        <v>1</v>
      </c>
      <c r="E22" s="76">
        <v>0</v>
      </c>
      <c r="F22" s="72"/>
      <c r="G22" s="76">
        <v>0</v>
      </c>
      <c r="H22" s="77">
        <v>1</v>
      </c>
      <c r="I22" s="76">
        <v>1</v>
      </c>
      <c r="J22" s="76">
        <v>0</v>
      </c>
      <c r="K22" s="72"/>
      <c r="L22" s="76">
        <v>0</v>
      </c>
      <c r="M22" s="58">
        <f t="shared" si="0"/>
        <v>48</v>
      </c>
      <c r="N22" s="22">
        <f t="shared" si="1"/>
        <v>48.382545215229371</v>
      </c>
      <c r="O22" s="59">
        <f t="shared" si="2"/>
        <v>1.0079696919839451</v>
      </c>
    </row>
    <row r="23" spans="2:15" ht="16" x14ac:dyDescent="0.2">
      <c r="B23" s="47">
        <v>4</v>
      </c>
      <c r="C23" s="78">
        <v>1</v>
      </c>
      <c r="D23" s="79">
        <v>1</v>
      </c>
      <c r="E23" s="79">
        <v>0</v>
      </c>
      <c r="F23" s="73"/>
      <c r="G23" s="79">
        <v>0</v>
      </c>
      <c r="H23" s="80">
        <v>1</v>
      </c>
      <c r="I23" s="79">
        <v>1</v>
      </c>
      <c r="J23" s="79">
        <v>0</v>
      </c>
      <c r="K23" s="73"/>
      <c r="L23" s="79">
        <v>0</v>
      </c>
      <c r="M23" s="58">
        <f t="shared" si="0"/>
        <v>48</v>
      </c>
      <c r="N23" s="22">
        <f t="shared" si="1"/>
        <v>38.706036172183495</v>
      </c>
      <c r="O23" s="59">
        <f t="shared" si="2"/>
        <v>0.80637575358715619</v>
      </c>
    </row>
    <row r="24" spans="2:15" ht="16" x14ac:dyDescent="0.2">
      <c r="B24" s="49">
        <v>3</v>
      </c>
      <c r="C24" s="75">
        <v>1</v>
      </c>
      <c r="D24" s="76">
        <v>1</v>
      </c>
      <c r="E24" s="76">
        <v>0</v>
      </c>
      <c r="F24" s="72"/>
      <c r="G24" s="76">
        <v>0</v>
      </c>
      <c r="H24" s="77">
        <v>1</v>
      </c>
      <c r="I24" s="76">
        <v>1</v>
      </c>
      <c r="J24" s="76">
        <v>0</v>
      </c>
      <c r="K24" s="72"/>
      <c r="L24" s="76">
        <v>0</v>
      </c>
      <c r="M24" s="58">
        <f t="shared" si="0"/>
        <v>48</v>
      </c>
      <c r="N24" s="22">
        <f t="shared" si="1"/>
        <v>29.02952712913762</v>
      </c>
      <c r="O24" s="59">
        <f t="shared" si="2"/>
        <v>0.60478181519036711</v>
      </c>
    </row>
    <row r="25" spans="2:15" ht="16" x14ac:dyDescent="0.2">
      <c r="B25" s="47">
        <v>2</v>
      </c>
      <c r="C25" s="78">
        <v>1</v>
      </c>
      <c r="D25" s="79">
        <v>1</v>
      </c>
      <c r="E25" s="79">
        <v>0</v>
      </c>
      <c r="F25" s="73"/>
      <c r="G25" s="79">
        <v>0</v>
      </c>
      <c r="H25" s="80">
        <v>1</v>
      </c>
      <c r="I25" s="79">
        <v>1</v>
      </c>
      <c r="J25" s="79">
        <v>0</v>
      </c>
      <c r="K25" s="73"/>
      <c r="L25" s="79">
        <v>0</v>
      </c>
      <c r="M25" s="58">
        <f t="shared" si="0"/>
        <v>48</v>
      </c>
      <c r="N25" s="22">
        <f t="shared" si="1"/>
        <v>19.353018086091748</v>
      </c>
      <c r="O25" s="59">
        <f t="shared" si="2"/>
        <v>0.40318787679357809</v>
      </c>
    </row>
    <row r="26" spans="2:15" ht="17" thickBot="1" x14ac:dyDescent="0.25">
      <c r="B26" s="50">
        <v>1</v>
      </c>
      <c r="C26" s="81">
        <v>1</v>
      </c>
      <c r="D26" s="82">
        <v>1</v>
      </c>
      <c r="E26" s="82">
        <v>0</v>
      </c>
      <c r="F26" s="74"/>
      <c r="G26" s="82">
        <v>0</v>
      </c>
      <c r="H26" s="83">
        <v>1</v>
      </c>
      <c r="I26" s="82">
        <v>1</v>
      </c>
      <c r="J26" s="82">
        <v>0</v>
      </c>
      <c r="K26" s="74"/>
      <c r="L26" s="82">
        <v>0</v>
      </c>
      <c r="M26" s="60">
        <f t="shared" si="0"/>
        <v>48</v>
      </c>
      <c r="N26" s="61">
        <f t="shared" si="1"/>
        <v>9.6765090430458738</v>
      </c>
      <c r="O26" s="62">
        <f t="shared" si="2"/>
        <v>0.20159393839678905</v>
      </c>
    </row>
    <row r="27" spans="2:15" ht="16" thickBot="1" x14ac:dyDescent="0.25"/>
    <row r="28" spans="2:15" ht="32" x14ac:dyDescent="0.2">
      <c r="B28" s="11"/>
      <c r="C28" s="12"/>
      <c r="D28" s="13" t="s">
        <v>17</v>
      </c>
      <c r="E28" s="14" t="s">
        <v>18</v>
      </c>
      <c r="F28" s="65"/>
    </row>
    <row r="29" spans="2:15" x14ac:dyDescent="0.2">
      <c r="B29" s="96" t="s">
        <v>19</v>
      </c>
      <c r="C29" s="97"/>
      <c r="D29" s="16"/>
      <c r="E29" s="17">
        <f>(D29*2080)/($O$1*365)</f>
        <v>0</v>
      </c>
      <c r="F29" s="16"/>
    </row>
    <row r="30" spans="2:15" x14ac:dyDescent="0.2">
      <c r="B30" s="96" t="s">
        <v>20</v>
      </c>
      <c r="C30" s="97"/>
      <c r="D30" s="18">
        <v>1</v>
      </c>
      <c r="E30" s="17">
        <f t="shared" ref="E30:E32" si="3">(D30*2080)/($O$1*365)</f>
        <v>0.2839175157217374</v>
      </c>
      <c r="F30" s="16"/>
    </row>
    <row r="31" spans="2:15" x14ac:dyDescent="0.2">
      <c r="B31" s="96" t="s">
        <v>21</v>
      </c>
      <c r="C31" s="97"/>
      <c r="D31" s="16">
        <f>(147/14*26)/2080</f>
        <v>0.13125000000000001</v>
      </c>
      <c r="E31" s="17">
        <f t="shared" si="3"/>
        <v>3.7264173938478036E-2</v>
      </c>
      <c r="F31" s="16"/>
    </row>
    <row r="32" spans="2:15" x14ac:dyDescent="0.2">
      <c r="B32" s="96" t="s">
        <v>22</v>
      </c>
      <c r="C32" s="97"/>
      <c r="D32" s="16">
        <f>(1232/14*26)/2080</f>
        <v>1.1000000000000001</v>
      </c>
      <c r="E32" s="17">
        <f t="shared" si="3"/>
        <v>0.31230926729391112</v>
      </c>
      <c r="F32" s="16"/>
    </row>
    <row r="33" spans="1:15" x14ac:dyDescent="0.2">
      <c r="B33" s="15"/>
      <c r="E33" s="19"/>
    </row>
    <row r="34" spans="1:15" ht="16" thickBot="1" x14ac:dyDescent="0.25">
      <c r="B34" s="98" t="s">
        <v>23</v>
      </c>
      <c r="C34" s="99"/>
      <c r="D34" s="20">
        <f>SUM(D29:D32)</f>
        <v>2.2312500000000002</v>
      </c>
      <c r="E34" s="21">
        <f>SUM(E29:E32)</f>
        <v>0.63349095695412649</v>
      </c>
      <c r="F34" s="16"/>
    </row>
    <row r="39" spans="1:15" x14ac:dyDescent="0.2">
      <c r="A39" s="5"/>
      <c r="B39" s="5"/>
      <c r="M39"/>
      <c r="N39"/>
      <c r="O39"/>
    </row>
    <row r="40" spans="1:15" x14ac:dyDescent="0.2">
      <c r="A40" s="5"/>
      <c r="B40" s="5"/>
      <c r="M40"/>
      <c r="N40"/>
      <c r="O40"/>
    </row>
  </sheetData>
  <mergeCells count="10">
    <mergeCell ref="H3:L3"/>
    <mergeCell ref="C4:G4"/>
    <mergeCell ref="H4:L4"/>
    <mergeCell ref="B29:C29"/>
    <mergeCell ref="B30:C30"/>
    <mergeCell ref="B31:C31"/>
    <mergeCell ref="B32:C32"/>
    <mergeCell ref="B34:C34"/>
    <mergeCell ref="B3:B4"/>
    <mergeCell ref="C3:G3"/>
  </mergeCells>
  <conditionalFormatting sqref="O6:O26">
    <cfRule type="cellIs" dxfId="27" priority="1" operator="lessThan">
      <formula>0.9999999</formula>
    </cfRule>
    <cfRule type="cellIs" dxfId="26" priority="2" operator="greaterThan">
      <formula>0.9999999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92C8-CCC1-4553-B1DC-615497E3F185}">
  <dimension ref="A1:P40"/>
  <sheetViews>
    <sheetView workbookViewId="0"/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29</v>
      </c>
      <c r="E1" s="7" t="s">
        <v>2</v>
      </c>
      <c r="F1" s="7"/>
      <c r="G1" s="68">
        <v>12.69</v>
      </c>
      <c r="I1" s="7" t="s">
        <v>3</v>
      </c>
      <c r="L1" s="67">
        <f>G1-E34</f>
        <v>11.470567296430207</v>
      </c>
      <c r="M1" s="10"/>
      <c r="N1" s="63" t="s">
        <v>4</v>
      </c>
      <c r="O1" s="69">
        <f>269/14</f>
        <v>19.214285714285715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21</v>
      </c>
      <c r="C6" s="43">
        <v>1</v>
      </c>
      <c r="D6" s="43">
        <v>5</v>
      </c>
      <c r="E6" s="43">
        <v>2</v>
      </c>
      <c r="F6" s="29"/>
      <c r="G6" s="44">
        <v>1</v>
      </c>
      <c r="H6" s="34">
        <v>1</v>
      </c>
      <c r="I6" s="43">
        <v>5</v>
      </c>
      <c r="J6" s="43">
        <v>2</v>
      </c>
      <c r="K6" s="29"/>
      <c r="L6" s="44">
        <v>1</v>
      </c>
      <c r="M6" s="58">
        <f t="shared" ref="M6:M26" si="0">(SUM(C6:L6)*12)</f>
        <v>216</v>
      </c>
      <c r="N6" s="22">
        <f t="shared" ref="N6:N26" si="1">B6*$L$1</f>
        <v>240.88191322503437</v>
      </c>
      <c r="O6" s="59">
        <f t="shared" ref="O6:O26" si="2">N6/M6</f>
        <v>1.1151940427084925</v>
      </c>
    </row>
    <row r="7" spans="2:16" ht="16" x14ac:dyDescent="0.2">
      <c r="B7" s="47">
        <v>20</v>
      </c>
      <c r="C7" s="41">
        <v>1</v>
      </c>
      <c r="D7" s="41">
        <v>5</v>
      </c>
      <c r="E7" s="41">
        <v>2</v>
      </c>
      <c r="F7" s="28"/>
      <c r="G7" s="42">
        <v>1</v>
      </c>
      <c r="H7" s="32">
        <v>1</v>
      </c>
      <c r="I7" s="41">
        <v>5</v>
      </c>
      <c r="J7" s="41">
        <v>2</v>
      </c>
      <c r="K7" s="28"/>
      <c r="L7" s="42">
        <v>1</v>
      </c>
      <c r="M7" s="58">
        <f t="shared" si="0"/>
        <v>216</v>
      </c>
      <c r="N7" s="22">
        <f t="shared" si="1"/>
        <v>229.41134592860413</v>
      </c>
      <c r="O7" s="59">
        <f t="shared" si="2"/>
        <v>1.0620895644842785</v>
      </c>
    </row>
    <row r="8" spans="2:16" ht="16" x14ac:dyDescent="0.2">
      <c r="B8" s="49">
        <v>19</v>
      </c>
      <c r="C8" s="43">
        <v>1</v>
      </c>
      <c r="D8" s="43">
        <v>5</v>
      </c>
      <c r="E8" s="43">
        <v>2</v>
      </c>
      <c r="F8" s="29"/>
      <c r="G8" s="44">
        <v>1</v>
      </c>
      <c r="H8" s="34">
        <v>1</v>
      </c>
      <c r="I8" s="43">
        <v>5</v>
      </c>
      <c r="J8" s="43">
        <v>2</v>
      </c>
      <c r="K8" s="29"/>
      <c r="L8" s="44">
        <v>1</v>
      </c>
      <c r="M8" s="58">
        <f t="shared" si="0"/>
        <v>216</v>
      </c>
      <c r="N8" s="22">
        <f t="shared" si="1"/>
        <v>217.94077863217393</v>
      </c>
      <c r="O8" s="59">
        <f t="shared" si="2"/>
        <v>1.0089850862600644</v>
      </c>
    </row>
    <row r="9" spans="2:16" ht="16" x14ac:dyDescent="0.2">
      <c r="B9" s="47">
        <v>18</v>
      </c>
      <c r="C9" s="41">
        <v>1</v>
      </c>
      <c r="D9" s="41">
        <v>4</v>
      </c>
      <c r="E9" s="41">
        <v>2</v>
      </c>
      <c r="F9" s="28"/>
      <c r="G9" s="42">
        <v>1</v>
      </c>
      <c r="H9" s="32">
        <v>1</v>
      </c>
      <c r="I9" s="41">
        <v>4</v>
      </c>
      <c r="J9" s="41">
        <v>2</v>
      </c>
      <c r="K9" s="28"/>
      <c r="L9" s="42">
        <v>1</v>
      </c>
      <c r="M9" s="58">
        <f t="shared" si="0"/>
        <v>192</v>
      </c>
      <c r="N9" s="22">
        <f t="shared" si="1"/>
        <v>206.47021133574373</v>
      </c>
      <c r="O9" s="59">
        <f t="shared" si="2"/>
        <v>1.0753656840403318</v>
      </c>
    </row>
    <row r="10" spans="2:16" ht="16" x14ac:dyDescent="0.2">
      <c r="B10" s="49">
        <v>17</v>
      </c>
      <c r="C10" s="43">
        <v>1</v>
      </c>
      <c r="D10" s="43">
        <v>4</v>
      </c>
      <c r="E10" s="43">
        <v>2</v>
      </c>
      <c r="F10" s="29"/>
      <c r="G10" s="44">
        <v>1</v>
      </c>
      <c r="H10" s="34">
        <v>1</v>
      </c>
      <c r="I10" s="43">
        <v>4</v>
      </c>
      <c r="J10" s="43">
        <v>2</v>
      </c>
      <c r="K10" s="29"/>
      <c r="L10" s="44">
        <v>1</v>
      </c>
      <c r="M10" s="58">
        <f t="shared" si="0"/>
        <v>192</v>
      </c>
      <c r="N10" s="22">
        <f t="shared" si="1"/>
        <v>194.99964403931352</v>
      </c>
      <c r="O10" s="59">
        <f t="shared" si="2"/>
        <v>1.0156231460380913</v>
      </c>
    </row>
    <row r="11" spans="2:16" ht="16" x14ac:dyDescent="0.2">
      <c r="B11" s="47">
        <v>16</v>
      </c>
      <c r="C11" s="41">
        <v>1</v>
      </c>
      <c r="D11" s="41">
        <v>4</v>
      </c>
      <c r="E11" s="41">
        <v>2</v>
      </c>
      <c r="F11" s="28"/>
      <c r="G11" s="42">
        <v>1</v>
      </c>
      <c r="H11" s="32">
        <v>1</v>
      </c>
      <c r="I11" s="41">
        <v>4</v>
      </c>
      <c r="J11" s="41">
        <v>2</v>
      </c>
      <c r="K11" s="28"/>
      <c r="L11" s="42">
        <v>1</v>
      </c>
      <c r="M11" s="58">
        <f t="shared" si="0"/>
        <v>192</v>
      </c>
      <c r="N11" s="22">
        <f t="shared" si="1"/>
        <v>183.52907674288332</v>
      </c>
      <c r="O11" s="59">
        <f t="shared" si="2"/>
        <v>0.95588060803585062</v>
      </c>
    </row>
    <row r="12" spans="2:16" ht="16" x14ac:dyDescent="0.2">
      <c r="B12" s="49">
        <v>15</v>
      </c>
      <c r="C12" s="43">
        <v>1</v>
      </c>
      <c r="D12" s="43">
        <v>4</v>
      </c>
      <c r="E12" s="43">
        <v>2</v>
      </c>
      <c r="F12" s="29"/>
      <c r="G12" s="44">
        <v>1</v>
      </c>
      <c r="H12" s="34">
        <v>1</v>
      </c>
      <c r="I12" s="43">
        <v>4</v>
      </c>
      <c r="J12" s="43">
        <v>2</v>
      </c>
      <c r="K12" s="29"/>
      <c r="L12" s="44">
        <v>0</v>
      </c>
      <c r="M12" s="58">
        <f t="shared" si="0"/>
        <v>180</v>
      </c>
      <c r="N12" s="22">
        <f t="shared" si="1"/>
        <v>172.05850944645312</v>
      </c>
      <c r="O12" s="59">
        <f t="shared" si="2"/>
        <v>0.95588060803585062</v>
      </c>
    </row>
    <row r="13" spans="2:16" ht="16" x14ac:dyDescent="0.2">
      <c r="B13" s="47">
        <v>14</v>
      </c>
      <c r="C13" s="41">
        <v>1</v>
      </c>
      <c r="D13" s="41">
        <v>3</v>
      </c>
      <c r="E13" s="41">
        <v>2</v>
      </c>
      <c r="F13" s="28"/>
      <c r="G13" s="42">
        <v>1</v>
      </c>
      <c r="H13" s="32">
        <v>1</v>
      </c>
      <c r="I13" s="41">
        <v>3</v>
      </c>
      <c r="J13" s="41">
        <v>2</v>
      </c>
      <c r="K13" s="28"/>
      <c r="L13" s="42">
        <v>0</v>
      </c>
      <c r="M13" s="58">
        <f t="shared" si="0"/>
        <v>156</v>
      </c>
      <c r="N13" s="22">
        <f t="shared" si="1"/>
        <v>160.58794215002291</v>
      </c>
      <c r="O13" s="59">
        <f t="shared" si="2"/>
        <v>1.0294098855770699</v>
      </c>
    </row>
    <row r="14" spans="2:16" ht="16" x14ac:dyDescent="0.2">
      <c r="B14" s="49">
        <v>13</v>
      </c>
      <c r="C14" s="43">
        <v>1</v>
      </c>
      <c r="D14" s="43">
        <v>3</v>
      </c>
      <c r="E14" s="43">
        <v>1</v>
      </c>
      <c r="F14" s="29"/>
      <c r="G14" s="44">
        <v>0</v>
      </c>
      <c r="H14" s="34">
        <v>1</v>
      </c>
      <c r="I14" s="43">
        <v>3</v>
      </c>
      <c r="J14" s="43">
        <v>1</v>
      </c>
      <c r="K14" s="29"/>
      <c r="L14" s="44">
        <v>0</v>
      </c>
      <c r="M14" s="58">
        <f t="shared" si="0"/>
        <v>120</v>
      </c>
      <c r="N14" s="22">
        <f t="shared" si="1"/>
        <v>149.11737485359271</v>
      </c>
      <c r="O14" s="59">
        <f t="shared" si="2"/>
        <v>1.2426447904466058</v>
      </c>
    </row>
    <row r="15" spans="2:16" ht="16" x14ac:dyDescent="0.2">
      <c r="B15" s="47">
        <v>12</v>
      </c>
      <c r="C15" s="41">
        <v>1</v>
      </c>
      <c r="D15" s="41">
        <v>3</v>
      </c>
      <c r="E15" s="41">
        <v>1</v>
      </c>
      <c r="F15" s="28"/>
      <c r="G15" s="42">
        <v>0</v>
      </c>
      <c r="H15" s="32">
        <v>1</v>
      </c>
      <c r="I15" s="41">
        <v>3</v>
      </c>
      <c r="J15" s="41">
        <v>1</v>
      </c>
      <c r="K15" s="28"/>
      <c r="L15" s="42">
        <v>0</v>
      </c>
      <c r="M15" s="58">
        <f t="shared" si="0"/>
        <v>120</v>
      </c>
      <c r="N15" s="22">
        <f t="shared" si="1"/>
        <v>137.6468075571625</v>
      </c>
      <c r="O15" s="59">
        <f t="shared" si="2"/>
        <v>1.147056729643021</v>
      </c>
    </row>
    <row r="16" spans="2:16" ht="16" x14ac:dyDescent="0.2">
      <c r="B16" s="49">
        <v>11</v>
      </c>
      <c r="C16" s="43">
        <v>1</v>
      </c>
      <c r="D16" s="43">
        <v>3</v>
      </c>
      <c r="E16" s="43">
        <v>0</v>
      </c>
      <c r="F16" s="29"/>
      <c r="G16" s="44">
        <v>0</v>
      </c>
      <c r="H16" s="34">
        <v>1</v>
      </c>
      <c r="I16" s="43">
        <v>3</v>
      </c>
      <c r="J16" s="43">
        <v>0</v>
      </c>
      <c r="K16" s="29"/>
      <c r="L16" s="44">
        <v>0</v>
      </c>
      <c r="M16" s="58">
        <f t="shared" si="0"/>
        <v>96</v>
      </c>
      <c r="N16" s="22">
        <f t="shared" si="1"/>
        <v>126.17624026073229</v>
      </c>
      <c r="O16" s="59">
        <f t="shared" si="2"/>
        <v>1.3143358360492947</v>
      </c>
    </row>
    <row r="17" spans="2:15" ht="16" x14ac:dyDescent="0.2">
      <c r="B17" s="47">
        <v>10</v>
      </c>
      <c r="C17" s="41">
        <v>1</v>
      </c>
      <c r="D17" s="41">
        <v>2</v>
      </c>
      <c r="E17" s="41">
        <v>0</v>
      </c>
      <c r="F17" s="28"/>
      <c r="G17" s="42">
        <v>0</v>
      </c>
      <c r="H17" s="32">
        <v>1</v>
      </c>
      <c r="I17" s="41">
        <v>2</v>
      </c>
      <c r="J17" s="41">
        <v>0</v>
      </c>
      <c r="K17" s="28"/>
      <c r="L17" s="42">
        <v>0</v>
      </c>
      <c r="M17" s="58">
        <f t="shared" si="0"/>
        <v>72</v>
      </c>
      <c r="N17" s="22">
        <f t="shared" si="1"/>
        <v>114.70567296430207</v>
      </c>
      <c r="O17" s="59">
        <f t="shared" si="2"/>
        <v>1.5931343467264176</v>
      </c>
    </row>
    <row r="18" spans="2:15" ht="16" x14ac:dyDescent="0.2">
      <c r="B18" s="49">
        <v>9</v>
      </c>
      <c r="C18" s="43">
        <v>1</v>
      </c>
      <c r="D18" s="43">
        <v>2</v>
      </c>
      <c r="E18" s="43">
        <v>0</v>
      </c>
      <c r="F18" s="29"/>
      <c r="G18" s="44">
        <v>0</v>
      </c>
      <c r="H18" s="34">
        <v>1</v>
      </c>
      <c r="I18" s="43">
        <v>2</v>
      </c>
      <c r="J18" s="43">
        <v>0</v>
      </c>
      <c r="K18" s="29"/>
      <c r="L18" s="44">
        <v>0</v>
      </c>
      <c r="M18" s="58">
        <f t="shared" si="0"/>
        <v>72</v>
      </c>
      <c r="N18" s="22">
        <f t="shared" si="1"/>
        <v>103.23510566787186</v>
      </c>
      <c r="O18" s="59">
        <f t="shared" si="2"/>
        <v>1.4338209120537759</v>
      </c>
    </row>
    <row r="19" spans="2:15" ht="16" x14ac:dyDescent="0.2">
      <c r="B19" s="47">
        <v>8</v>
      </c>
      <c r="C19" s="41">
        <v>1</v>
      </c>
      <c r="D19" s="41">
        <v>2</v>
      </c>
      <c r="E19" s="41">
        <v>0</v>
      </c>
      <c r="F19" s="28"/>
      <c r="G19" s="42">
        <v>0</v>
      </c>
      <c r="H19" s="32">
        <v>1</v>
      </c>
      <c r="I19" s="41">
        <v>2</v>
      </c>
      <c r="J19" s="41">
        <v>0</v>
      </c>
      <c r="K19" s="28"/>
      <c r="L19" s="42">
        <v>0</v>
      </c>
      <c r="M19" s="58">
        <f t="shared" si="0"/>
        <v>72</v>
      </c>
      <c r="N19" s="22">
        <f t="shared" si="1"/>
        <v>91.76453837144166</v>
      </c>
      <c r="O19" s="59">
        <f t="shared" si="2"/>
        <v>1.2745074773811342</v>
      </c>
    </row>
    <row r="20" spans="2:15" ht="16" x14ac:dyDescent="0.2">
      <c r="B20" s="49">
        <v>7</v>
      </c>
      <c r="C20" s="43">
        <v>1</v>
      </c>
      <c r="D20" s="43">
        <v>2</v>
      </c>
      <c r="E20" s="43">
        <v>0</v>
      </c>
      <c r="F20" s="29"/>
      <c r="G20" s="44">
        <v>0</v>
      </c>
      <c r="H20" s="34">
        <v>1</v>
      </c>
      <c r="I20" s="43">
        <v>2</v>
      </c>
      <c r="J20" s="43">
        <v>0</v>
      </c>
      <c r="K20" s="29"/>
      <c r="L20" s="44">
        <v>0</v>
      </c>
      <c r="M20" s="58">
        <f t="shared" si="0"/>
        <v>72</v>
      </c>
      <c r="N20" s="22">
        <f t="shared" si="1"/>
        <v>80.293971075011456</v>
      </c>
      <c r="O20" s="59">
        <f t="shared" si="2"/>
        <v>1.1151940427084925</v>
      </c>
    </row>
    <row r="21" spans="2:15" ht="16" x14ac:dyDescent="0.2">
      <c r="B21" s="47">
        <v>6</v>
      </c>
      <c r="C21" s="41">
        <v>1</v>
      </c>
      <c r="D21" s="41">
        <v>2</v>
      </c>
      <c r="E21" s="41">
        <v>0</v>
      </c>
      <c r="F21" s="28"/>
      <c r="G21" s="42">
        <v>0</v>
      </c>
      <c r="H21" s="32">
        <v>1</v>
      </c>
      <c r="I21" s="41">
        <v>2</v>
      </c>
      <c r="J21" s="41">
        <v>0</v>
      </c>
      <c r="K21" s="28"/>
      <c r="L21" s="42">
        <v>0</v>
      </c>
      <c r="M21" s="58">
        <f t="shared" si="0"/>
        <v>72</v>
      </c>
      <c r="N21" s="22">
        <f t="shared" si="1"/>
        <v>68.823403778581252</v>
      </c>
      <c r="O21" s="59">
        <f t="shared" si="2"/>
        <v>0.95588060803585073</v>
      </c>
    </row>
    <row r="22" spans="2:15" ht="16" x14ac:dyDescent="0.2">
      <c r="B22" s="49">
        <v>5</v>
      </c>
      <c r="C22" s="43">
        <v>1</v>
      </c>
      <c r="D22" s="43">
        <v>1</v>
      </c>
      <c r="E22" s="43">
        <v>0</v>
      </c>
      <c r="F22" s="29"/>
      <c r="G22" s="44">
        <v>0</v>
      </c>
      <c r="H22" s="34">
        <v>1</v>
      </c>
      <c r="I22" s="43">
        <v>1</v>
      </c>
      <c r="J22" s="43">
        <v>0</v>
      </c>
      <c r="K22" s="29"/>
      <c r="L22" s="44">
        <v>0</v>
      </c>
      <c r="M22" s="58">
        <f t="shared" si="0"/>
        <v>48</v>
      </c>
      <c r="N22" s="22">
        <f t="shared" si="1"/>
        <v>57.352836482151034</v>
      </c>
      <c r="O22" s="59">
        <f t="shared" si="2"/>
        <v>1.1948507600448133</v>
      </c>
    </row>
    <row r="23" spans="2:15" ht="16" x14ac:dyDescent="0.2">
      <c r="B23" s="47">
        <v>4</v>
      </c>
      <c r="C23" s="41">
        <v>1</v>
      </c>
      <c r="D23" s="41">
        <v>1</v>
      </c>
      <c r="E23" s="41">
        <v>0</v>
      </c>
      <c r="F23" s="28"/>
      <c r="G23" s="42">
        <v>0</v>
      </c>
      <c r="H23" s="32">
        <v>1</v>
      </c>
      <c r="I23" s="41">
        <v>1</v>
      </c>
      <c r="J23" s="41">
        <v>0</v>
      </c>
      <c r="K23" s="28"/>
      <c r="L23" s="42">
        <v>0</v>
      </c>
      <c r="M23" s="58">
        <f t="shared" si="0"/>
        <v>48</v>
      </c>
      <c r="N23" s="22">
        <f t="shared" si="1"/>
        <v>45.88226918572083</v>
      </c>
      <c r="O23" s="59">
        <f t="shared" si="2"/>
        <v>0.95588060803585062</v>
      </c>
    </row>
    <row r="24" spans="2:15" ht="16" x14ac:dyDescent="0.2">
      <c r="B24" s="49">
        <v>3</v>
      </c>
      <c r="C24" s="43">
        <v>1</v>
      </c>
      <c r="D24" s="43">
        <v>1</v>
      </c>
      <c r="E24" s="43">
        <v>0</v>
      </c>
      <c r="F24" s="29"/>
      <c r="G24" s="44">
        <v>0</v>
      </c>
      <c r="H24" s="34">
        <v>1</v>
      </c>
      <c r="I24" s="43">
        <v>1</v>
      </c>
      <c r="J24" s="43">
        <v>0</v>
      </c>
      <c r="K24" s="29"/>
      <c r="L24" s="44">
        <v>0</v>
      </c>
      <c r="M24" s="58">
        <f t="shared" si="0"/>
        <v>48</v>
      </c>
      <c r="N24" s="22">
        <f t="shared" si="1"/>
        <v>34.411701889290626</v>
      </c>
      <c r="O24" s="59">
        <f t="shared" si="2"/>
        <v>0.71691045602688808</v>
      </c>
    </row>
    <row r="25" spans="2:15" ht="16" x14ac:dyDescent="0.2">
      <c r="B25" s="47">
        <v>2</v>
      </c>
      <c r="C25" s="41">
        <v>1</v>
      </c>
      <c r="D25" s="41">
        <v>1</v>
      </c>
      <c r="E25" s="41">
        <v>0</v>
      </c>
      <c r="F25" s="28"/>
      <c r="G25" s="42">
        <v>0</v>
      </c>
      <c r="H25" s="32">
        <v>1</v>
      </c>
      <c r="I25" s="41">
        <v>1</v>
      </c>
      <c r="J25" s="41">
        <v>0</v>
      </c>
      <c r="K25" s="28"/>
      <c r="L25" s="42">
        <v>0</v>
      </c>
      <c r="M25" s="58">
        <f t="shared" si="0"/>
        <v>48</v>
      </c>
      <c r="N25" s="22">
        <f t="shared" si="1"/>
        <v>22.941134592860415</v>
      </c>
      <c r="O25" s="59">
        <f t="shared" si="2"/>
        <v>0.47794030401792531</v>
      </c>
    </row>
    <row r="26" spans="2:15" ht="17" thickBot="1" x14ac:dyDescent="0.25">
      <c r="B26" s="50">
        <v>1</v>
      </c>
      <c r="C26" s="45">
        <v>1</v>
      </c>
      <c r="D26" s="45">
        <v>1</v>
      </c>
      <c r="E26" s="45">
        <v>0</v>
      </c>
      <c r="F26" s="64"/>
      <c r="G26" s="46">
        <v>0</v>
      </c>
      <c r="H26" s="36">
        <v>1</v>
      </c>
      <c r="I26" s="45">
        <v>1</v>
      </c>
      <c r="J26" s="45">
        <v>0</v>
      </c>
      <c r="K26" s="64"/>
      <c r="L26" s="46">
        <v>0</v>
      </c>
      <c r="M26" s="60">
        <f t="shared" si="0"/>
        <v>48</v>
      </c>
      <c r="N26" s="61">
        <f t="shared" si="1"/>
        <v>11.470567296430207</v>
      </c>
      <c r="O26" s="62">
        <f t="shared" si="2"/>
        <v>0.23897015200896266</v>
      </c>
    </row>
    <row r="27" spans="2:15" ht="16" thickBot="1" x14ac:dyDescent="0.25"/>
    <row r="28" spans="2:15" ht="32" x14ac:dyDescent="0.2">
      <c r="B28" s="11"/>
      <c r="C28" s="12"/>
      <c r="D28" s="13" t="s">
        <v>17</v>
      </c>
      <c r="E28" s="14" t="s">
        <v>18</v>
      </c>
      <c r="F28" s="65"/>
    </row>
    <row r="29" spans="2:15" x14ac:dyDescent="0.2">
      <c r="B29" s="96" t="s">
        <v>19</v>
      </c>
      <c r="C29" s="97"/>
      <c r="D29" s="16"/>
      <c r="E29" s="17">
        <f>(D29*2080)/($O$1*365)</f>
        <v>0</v>
      </c>
      <c r="F29" s="16"/>
    </row>
    <row r="30" spans="2:15" x14ac:dyDescent="0.2">
      <c r="B30" s="96" t="s">
        <v>20</v>
      </c>
      <c r="C30" s="97"/>
      <c r="D30" s="18">
        <v>1</v>
      </c>
      <c r="E30" s="17">
        <f t="shared" ref="E30:E32" si="3">(D30*2080)/($O$1*365)</f>
        <v>0.29658298110709375</v>
      </c>
      <c r="F30" s="16"/>
    </row>
    <row r="31" spans="2:15" x14ac:dyDescent="0.2">
      <c r="B31" s="96" t="s">
        <v>21</v>
      </c>
      <c r="C31" s="97"/>
      <c r="D31" s="16">
        <f>(531/14*26)/2080</f>
        <v>0.47410714285714289</v>
      </c>
      <c r="E31" s="17">
        <f t="shared" si="3"/>
        <v>0.14061210979273819</v>
      </c>
      <c r="F31" s="16"/>
    </row>
    <row r="32" spans="2:15" x14ac:dyDescent="0.2">
      <c r="B32" s="96" t="s">
        <v>22</v>
      </c>
      <c r="C32" s="97"/>
      <c r="D32" s="16">
        <f>(2954/14*26)/2080</f>
        <v>2.6375000000000002</v>
      </c>
      <c r="E32" s="17">
        <f t="shared" si="3"/>
        <v>0.78223761266995973</v>
      </c>
      <c r="F32" s="16"/>
    </row>
    <row r="33" spans="1:15" x14ac:dyDescent="0.2">
      <c r="B33" s="15"/>
      <c r="E33" s="19"/>
    </row>
    <row r="34" spans="1:15" ht="16" thickBot="1" x14ac:dyDescent="0.25">
      <c r="B34" s="98" t="s">
        <v>23</v>
      </c>
      <c r="C34" s="99"/>
      <c r="D34" s="20">
        <f>SUM(D29:D32)</f>
        <v>4.1116071428571432</v>
      </c>
      <c r="E34" s="21">
        <f>SUM(E29:E32)</f>
        <v>1.2194327035697916</v>
      </c>
      <c r="F34" s="16"/>
    </row>
    <row r="39" spans="1:15" x14ac:dyDescent="0.2">
      <c r="A39" s="5"/>
      <c r="B39" s="5"/>
      <c r="M39"/>
      <c r="N39"/>
      <c r="O39"/>
    </row>
    <row r="40" spans="1:15" x14ac:dyDescent="0.2">
      <c r="A40" s="5"/>
      <c r="B40" s="5"/>
      <c r="M40"/>
      <c r="N40"/>
      <c r="O40"/>
    </row>
  </sheetData>
  <mergeCells count="10">
    <mergeCell ref="H3:L3"/>
    <mergeCell ref="C4:G4"/>
    <mergeCell ref="H4:L4"/>
    <mergeCell ref="B29:C29"/>
    <mergeCell ref="B30:C30"/>
    <mergeCell ref="B31:C31"/>
    <mergeCell ref="B32:C32"/>
    <mergeCell ref="B34:C34"/>
    <mergeCell ref="B3:B4"/>
    <mergeCell ref="C3:G3"/>
  </mergeCells>
  <conditionalFormatting sqref="O6:O26">
    <cfRule type="cellIs" dxfId="25" priority="1" operator="lessThan">
      <formula>0.9999999</formula>
    </cfRule>
    <cfRule type="cellIs" dxfId="24" priority="2" operator="greaterThan">
      <formula>0.9999999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B191-B971-4646-BE7E-DF7057EABA6A}">
  <dimension ref="A1:P3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30</v>
      </c>
      <c r="E1" s="7" t="s">
        <v>2</v>
      </c>
      <c r="F1" s="7"/>
      <c r="G1" s="84">
        <v>14</v>
      </c>
      <c r="I1" s="7" t="s">
        <v>3</v>
      </c>
      <c r="L1" s="67">
        <f>G1-E27</f>
        <v>12.647084148727984</v>
      </c>
      <c r="M1" s="10"/>
      <c r="N1" s="63" t="s">
        <v>4</v>
      </c>
      <c r="O1" s="69">
        <f>140/14</f>
        <v>10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14</v>
      </c>
      <c r="C6" s="78">
        <v>0</v>
      </c>
      <c r="D6" s="78">
        <v>4</v>
      </c>
      <c r="E6" s="78">
        <v>1</v>
      </c>
      <c r="F6" s="73">
        <v>2</v>
      </c>
      <c r="G6" s="79">
        <v>0</v>
      </c>
      <c r="H6" s="80">
        <v>1</v>
      </c>
      <c r="I6" s="78">
        <v>3</v>
      </c>
      <c r="J6" s="78">
        <v>1</v>
      </c>
      <c r="K6" s="73"/>
      <c r="L6" s="79">
        <v>0</v>
      </c>
      <c r="M6" s="58">
        <f t="shared" ref="M6:M19" si="0">(SUM(C6:L6)*12)</f>
        <v>144</v>
      </c>
      <c r="N6" s="22">
        <f t="shared" ref="N6:N19" si="1">B6*$L$1</f>
        <v>177.05917808219178</v>
      </c>
      <c r="O6" s="59">
        <f t="shared" ref="O6:O19" si="2">N6/M6</f>
        <v>1.2295776255707762</v>
      </c>
    </row>
    <row r="7" spans="2:16" ht="16" x14ac:dyDescent="0.2">
      <c r="B7" s="49">
        <v>13</v>
      </c>
      <c r="C7" s="75">
        <v>1</v>
      </c>
      <c r="D7" s="75">
        <v>3</v>
      </c>
      <c r="E7" s="75">
        <v>2</v>
      </c>
      <c r="F7" s="72"/>
      <c r="G7" s="76">
        <v>0</v>
      </c>
      <c r="H7" s="77">
        <v>1</v>
      </c>
      <c r="I7" s="75">
        <v>3</v>
      </c>
      <c r="J7" s="75">
        <v>1</v>
      </c>
      <c r="K7" s="72"/>
      <c r="L7" s="76">
        <v>0</v>
      </c>
      <c r="M7" s="58">
        <f t="shared" si="0"/>
        <v>132</v>
      </c>
      <c r="N7" s="22">
        <f t="shared" si="1"/>
        <v>164.41209393346378</v>
      </c>
      <c r="O7" s="59">
        <f t="shared" si="2"/>
        <v>1.2455461661626044</v>
      </c>
    </row>
    <row r="8" spans="2:16" ht="16" x14ac:dyDescent="0.2">
      <c r="B8" s="47">
        <v>12</v>
      </c>
      <c r="C8" s="78">
        <v>1</v>
      </c>
      <c r="D8" s="78">
        <v>3</v>
      </c>
      <c r="E8" s="78">
        <v>2</v>
      </c>
      <c r="F8" s="73"/>
      <c r="G8" s="79">
        <v>0</v>
      </c>
      <c r="H8" s="80">
        <v>1</v>
      </c>
      <c r="I8" s="78">
        <v>3</v>
      </c>
      <c r="J8" s="78">
        <v>1</v>
      </c>
      <c r="K8" s="73"/>
      <c r="L8" s="79">
        <v>0</v>
      </c>
      <c r="M8" s="58">
        <f t="shared" si="0"/>
        <v>132</v>
      </c>
      <c r="N8" s="22">
        <f t="shared" si="1"/>
        <v>151.76500978473581</v>
      </c>
      <c r="O8" s="59">
        <f t="shared" si="2"/>
        <v>1.1497349226116349</v>
      </c>
    </row>
    <row r="9" spans="2:16" ht="16" x14ac:dyDescent="0.2">
      <c r="B9" s="49">
        <v>11</v>
      </c>
      <c r="C9" s="75">
        <v>1</v>
      </c>
      <c r="D9" s="75">
        <v>2</v>
      </c>
      <c r="E9" s="75">
        <v>1</v>
      </c>
      <c r="F9" s="72"/>
      <c r="G9" s="76">
        <v>0</v>
      </c>
      <c r="H9" s="77">
        <v>1</v>
      </c>
      <c r="I9" s="75">
        <v>2</v>
      </c>
      <c r="J9" s="75">
        <v>1</v>
      </c>
      <c r="K9" s="72"/>
      <c r="L9" s="76">
        <v>0</v>
      </c>
      <c r="M9" s="58">
        <f t="shared" si="0"/>
        <v>96</v>
      </c>
      <c r="N9" s="22">
        <f t="shared" si="1"/>
        <v>139.11792563600784</v>
      </c>
      <c r="O9" s="59">
        <f t="shared" si="2"/>
        <v>1.4491450587084149</v>
      </c>
    </row>
    <row r="10" spans="2:16" ht="16" x14ac:dyDescent="0.2">
      <c r="B10" s="47">
        <v>10</v>
      </c>
      <c r="C10" s="78">
        <v>1</v>
      </c>
      <c r="D10" s="78">
        <v>2</v>
      </c>
      <c r="E10" s="78">
        <v>1</v>
      </c>
      <c r="F10" s="73"/>
      <c r="G10" s="79">
        <v>0</v>
      </c>
      <c r="H10" s="80">
        <v>1</v>
      </c>
      <c r="I10" s="78">
        <v>2</v>
      </c>
      <c r="J10" s="78">
        <v>0</v>
      </c>
      <c r="K10" s="73"/>
      <c r="L10" s="79">
        <v>0</v>
      </c>
      <c r="M10" s="58">
        <f t="shared" si="0"/>
        <v>84</v>
      </c>
      <c r="N10" s="22">
        <f t="shared" si="1"/>
        <v>126.47084148727984</v>
      </c>
      <c r="O10" s="59">
        <f t="shared" si="2"/>
        <v>1.5056052558009505</v>
      </c>
    </row>
    <row r="11" spans="2:16" ht="16" x14ac:dyDescent="0.2">
      <c r="B11" s="49">
        <v>9</v>
      </c>
      <c r="C11" s="75">
        <v>1</v>
      </c>
      <c r="D11" s="75">
        <v>2</v>
      </c>
      <c r="E11" s="75">
        <v>0</v>
      </c>
      <c r="F11" s="72"/>
      <c r="G11" s="76">
        <v>0</v>
      </c>
      <c r="H11" s="77">
        <v>1</v>
      </c>
      <c r="I11" s="75">
        <v>2</v>
      </c>
      <c r="J11" s="75">
        <v>0</v>
      </c>
      <c r="K11" s="72"/>
      <c r="L11" s="76">
        <v>0</v>
      </c>
      <c r="M11" s="58">
        <f t="shared" si="0"/>
        <v>72</v>
      </c>
      <c r="N11" s="22">
        <f t="shared" si="1"/>
        <v>113.82375733855186</v>
      </c>
      <c r="O11" s="59">
        <f t="shared" si="2"/>
        <v>1.580885518590998</v>
      </c>
    </row>
    <row r="12" spans="2:16" ht="16" x14ac:dyDescent="0.2">
      <c r="B12" s="47">
        <v>8</v>
      </c>
      <c r="C12" s="78">
        <v>1</v>
      </c>
      <c r="D12" s="78">
        <v>2</v>
      </c>
      <c r="E12" s="78">
        <v>0</v>
      </c>
      <c r="F12" s="73"/>
      <c r="G12" s="79">
        <v>0</v>
      </c>
      <c r="H12" s="80">
        <v>1</v>
      </c>
      <c r="I12" s="78">
        <v>2</v>
      </c>
      <c r="J12" s="78">
        <v>0</v>
      </c>
      <c r="K12" s="73"/>
      <c r="L12" s="79">
        <v>0</v>
      </c>
      <c r="M12" s="58">
        <f t="shared" si="0"/>
        <v>72</v>
      </c>
      <c r="N12" s="22">
        <f t="shared" si="1"/>
        <v>101.17667318982387</v>
      </c>
      <c r="O12" s="59">
        <f t="shared" si="2"/>
        <v>1.4052315720808872</v>
      </c>
    </row>
    <row r="13" spans="2:16" ht="16" x14ac:dyDescent="0.2">
      <c r="B13" s="49">
        <v>7</v>
      </c>
      <c r="C13" s="75">
        <v>1</v>
      </c>
      <c r="D13" s="75">
        <v>2</v>
      </c>
      <c r="E13" s="75">
        <v>0</v>
      </c>
      <c r="F13" s="72"/>
      <c r="G13" s="76">
        <v>0</v>
      </c>
      <c r="H13" s="77">
        <v>1</v>
      </c>
      <c r="I13" s="75">
        <v>2</v>
      </c>
      <c r="J13" s="75">
        <v>0</v>
      </c>
      <c r="K13" s="72"/>
      <c r="L13" s="76">
        <v>0</v>
      </c>
      <c r="M13" s="58">
        <f t="shared" si="0"/>
        <v>72</v>
      </c>
      <c r="N13" s="22">
        <f t="shared" si="1"/>
        <v>88.529589041095889</v>
      </c>
      <c r="O13" s="59">
        <f t="shared" si="2"/>
        <v>1.2295776255707762</v>
      </c>
    </row>
    <row r="14" spans="2:16" ht="16" x14ac:dyDescent="0.2">
      <c r="B14" s="47">
        <v>6</v>
      </c>
      <c r="C14" s="78">
        <v>1</v>
      </c>
      <c r="D14" s="78">
        <v>2</v>
      </c>
      <c r="E14" s="78">
        <v>0</v>
      </c>
      <c r="F14" s="73"/>
      <c r="G14" s="79">
        <v>0</v>
      </c>
      <c r="H14" s="80">
        <v>1</v>
      </c>
      <c r="I14" s="78">
        <v>2</v>
      </c>
      <c r="J14" s="78">
        <v>0</v>
      </c>
      <c r="K14" s="73"/>
      <c r="L14" s="79">
        <v>0</v>
      </c>
      <c r="M14" s="58">
        <f t="shared" si="0"/>
        <v>72</v>
      </c>
      <c r="N14" s="22">
        <f t="shared" si="1"/>
        <v>75.882504892367905</v>
      </c>
      <c r="O14" s="59">
        <f t="shared" si="2"/>
        <v>1.0539236790606654</v>
      </c>
    </row>
    <row r="15" spans="2:16" ht="16" x14ac:dyDescent="0.2">
      <c r="B15" s="49">
        <v>5</v>
      </c>
      <c r="C15" s="75">
        <v>1</v>
      </c>
      <c r="D15" s="75">
        <v>2</v>
      </c>
      <c r="E15" s="75">
        <v>0</v>
      </c>
      <c r="F15" s="72"/>
      <c r="G15" s="76">
        <v>0</v>
      </c>
      <c r="H15" s="77">
        <v>1</v>
      </c>
      <c r="I15" s="75">
        <v>1</v>
      </c>
      <c r="J15" s="75">
        <v>0</v>
      </c>
      <c r="K15" s="72"/>
      <c r="L15" s="76">
        <v>0</v>
      </c>
      <c r="M15" s="58">
        <f t="shared" si="0"/>
        <v>60</v>
      </c>
      <c r="N15" s="22">
        <f t="shared" si="1"/>
        <v>63.235420743639921</v>
      </c>
      <c r="O15" s="59">
        <f t="shared" si="2"/>
        <v>1.0539236790606654</v>
      </c>
    </row>
    <row r="16" spans="2:16" ht="16" x14ac:dyDescent="0.2">
      <c r="B16" s="47">
        <v>4</v>
      </c>
      <c r="C16" s="78">
        <v>1</v>
      </c>
      <c r="D16" s="78">
        <v>1</v>
      </c>
      <c r="E16" s="78">
        <v>0</v>
      </c>
      <c r="F16" s="73"/>
      <c r="G16" s="79">
        <v>0</v>
      </c>
      <c r="H16" s="80">
        <v>1</v>
      </c>
      <c r="I16" s="78">
        <v>1</v>
      </c>
      <c r="J16" s="78">
        <v>0</v>
      </c>
      <c r="K16" s="73"/>
      <c r="L16" s="79">
        <v>0</v>
      </c>
      <c r="M16" s="58">
        <f t="shared" si="0"/>
        <v>48</v>
      </c>
      <c r="N16" s="22">
        <f t="shared" si="1"/>
        <v>50.588336594911937</v>
      </c>
      <c r="O16" s="59">
        <f t="shared" si="2"/>
        <v>1.0539236790606654</v>
      </c>
    </row>
    <row r="17" spans="1:15" ht="16" x14ac:dyDescent="0.2">
      <c r="B17" s="49">
        <v>3</v>
      </c>
      <c r="C17" s="75">
        <v>1</v>
      </c>
      <c r="D17" s="75">
        <v>1</v>
      </c>
      <c r="E17" s="75">
        <v>0</v>
      </c>
      <c r="F17" s="72"/>
      <c r="G17" s="76">
        <v>0</v>
      </c>
      <c r="H17" s="77">
        <v>1</v>
      </c>
      <c r="I17" s="75">
        <v>1</v>
      </c>
      <c r="J17" s="75">
        <v>0</v>
      </c>
      <c r="K17" s="72"/>
      <c r="L17" s="76">
        <v>0</v>
      </c>
      <c r="M17" s="58">
        <f t="shared" si="0"/>
        <v>48</v>
      </c>
      <c r="N17" s="22">
        <f t="shared" si="1"/>
        <v>37.941252446183952</v>
      </c>
      <c r="O17" s="59">
        <f t="shared" si="2"/>
        <v>0.79044275929549901</v>
      </c>
    </row>
    <row r="18" spans="1:15" ht="16" x14ac:dyDescent="0.2">
      <c r="B18" s="47">
        <v>2</v>
      </c>
      <c r="C18" s="78">
        <v>1</v>
      </c>
      <c r="D18" s="78">
        <v>1</v>
      </c>
      <c r="E18" s="78">
        <v>0</v>
      </c>
      <c r="F18" s="73"/>
      <c r="G18" s="79">
        <v>0</v>
      </c>
      <c r="H18" s="80">
        <v>1</v>
      </c>
      <c r="I18" s="78">
        <v>1</v>
      </c>
      <c r="J18" s="78">
        <v>0</v>
      </c>
      <c r="K18" s="73"/>
      <c r="L18" s="79">
        <v>0</v>
      </c>
      <c r="M18" s="58">
        <f t="shared" si="0"/>
        <v>48</v>
      </c>
      <c r="N18" s="22">
        <f t="shared" si="1"/>
        <v>25.294168297455968</v>
      </c>
      <c r="O18" s="59">
        <f t="shared" si="2"/>
        <v>0.52696183953033271</v>
      </c>
    </row>
    <row r="19" spans="1:15" ht="17" thickBot="1" x14ac:dyDescent="0.25">
      <c r="B19" s="50">
        <v>1</v>
      </c>
      <c r="C19" s="81">
        <v>1</v>
      </c>
      <c r="D19" s="81">
        <v>1</v>
      </c>
      <c r="E19" s="81">
        <v>0</v>
      </c>
      <c r="F19" s="74"/>
      <c r="G19" s="82">
        <v>0</v>
      </c>
      <c r="H19" s="83">
        <v>1</v>
      </c>
      <c r="I19" s="81">
        <v>1</v>
      </c>
      <c r="J19" s="81">
        <v>0</v>
      </c>
      <c r="K19" s="74"/>
      <c r="L19" s="82">
        <v>0</v>
      </c>
      <c r="M19" s="60">
        <f t="shared" si="0"/>
        <v>48</v>
      </c>
      <c r="N19" s="61">
        <f t="shared" si="1"/>
        <v>12.647084148727984</v>
      </c>
      <c r="O19" s="62">
        <f t="shared" si="2"/>
        <v>0.26348091976516635</v>
      </c>
    </row>
    <row r="20" spans="1:15" ht="16" thickBot="1" x14ac:dyDescent="0.25"/>
    <row r="21" spans="1:15" ht="32" x14ac:dyDescent="0.2">
      <c r="B21" s="11"/>
      <c r="C21" s="12"/>
      <c r="D21" s="13" t="s">
        <v>17</v>
      </c>
      <c r="E21" s="14" t="s">
        <v>18</v>
      </c>
      <c r="F21" s="65"/>
    </row>
    <row r="22" spans="1:15" x14ac:dyDescent="0.2">
      <c r="B22" s="96" t="s">
        <v>19</v>
      </c>
      <c r="C22" s="97"/>
      <c r="D22" s="16"/>
      <c r="E22" s="17">
        <f>(D22*2080)/($O$1*365)</f>
        <v>0</v>
      </c>
      <c r="F22" s="16"/>
    </row>
    <row r="23" spans="1:15" x14ac:dyDescent="0.2">
      <c r="B23" s="96" t="s">
        <v>20</v>
      </c>
      <c r="C23" s="97"/>
      <c r="D23" s="18">
        <v>1</v>
      </c>
      <c r="E23" s="17">
        <f t="shared" ref="E23:E25" si="3">(D23*2080)/($O$1*365)</f>
        <v>0.56986301369863013</v>
      </c>
      <c r="F23" s="16"/>
    </row>
    <row r="24" spans="1:15" x14ac:dyDescent="0.2">
      <c r="B24" s="96" t="s">
        <v>21</v>
      </c>
      <c r="C24" s="97"/>
      <c r="D24" s="16">
        <f>(321/14*26)/2080</f>
        <v>0.28660714285714284</v>
      </c>
      <c r="E24" s="17">
        <f t="shared" si="3"/>
        <v>0.16332681017612524</v>
      </c>
      <c r="F24" s="16"/>
    </row>
    <row r="25" spans="1:15" x14ac:dyDescent="0.2">
      <c r="B25" s="96" t="s">
        <v>22</v>
      </c>
      <c r="C25" s="97"/>
      <c r="D25" s="16">
        <f>(1218/14*26)/2080</f>
        <v>1.0874999999999999</v>
      </c>
      <c r="E25" s="17">
        <f t="shared" si="3"/>
        <v>0.61972602739726024</v>
      </c>
      <c r="F25" s="16"/>
    </row>
    <row r="26" spans="1:15" x14ac:dyDescent="0.2">
      <c r="B26" s="15"/>
      <c r="E26" s="19"/>
    </row>
    <row r="27" spans="1:15" ht="16" thickBot="1" x14ac:dyDescent="0.25">
      <c r="B27" s="98" t="s">
        <v>23</v>
      </c>
      <c r="C27" s="99"/>
      <c r="D27" s="20">
        <f>SUM(D22:D25)</f>
        <v>2.3741071428571425</v>
      </c>
      <c r="E27" s="21">
        <f>SUM(E22:E25)</f>
        <v>1.3529158512720156</v>
      </c>
      <c r="F27" s="16"/>
    </row>
    <row r="32" spans="1:15" x14ac:dyDescent="0.2">
      <c r="A32" s="5"/>
      <c r="B32" s="5"/>
      <c r="M32"/>
      <c r="N32"/>
      <c r="O32"/>
    </row>
    <row r="33" spans="1:15" x14ac:dyDescent="0.2">
      <c r="A33" s="5"/>
      <c r="B33" s="5"/>
      <c r="M33"/>
      <c r="N33"/>
      <c r="O33"/>
    </row>
  </sheetData>
  <mergeCells count="10">
    <mergeCell ref="H3:L3"/>
    <mergeCell ref="C4:G4"/>
    <mergeCell ref="H4:L4"/>
    <mergeCell ref="B22:C22"/>
    <mergeCell ref="B23:C23"/>
    <mergeCell ref="B24:C24"/>
    <mergeCell ref="B25:C25"/>
    <mergeCell ref="B27:C27"/>
    <mergeCell ref="B3:B4"/>
    <mergeCell ref="C3:G3"/>
  </mergeCells>
  <conditionalFormatting sqref="O6:O19">
    <cfRule type="cellIs" dxfId="23" priority="1" operator="lessThan">
      <formula>0.9999999</formula>
    </cfRule>
    <cfRule type="cellIs" dxfId="22" priority="2" operator="greaterThan">
      <formula>0.9999999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53C5-33E1-48B6-B8A3-28A21ABD7A22}">
  <sheetPr>
    <tabColor theme="1" tint="0.499984740745262"/>
  </sheetPr>
  <dimension ref="A1:P36"/>
  <sheetViews>
    <sheetView workbookViewId="0">
      <selection activeCell="K30" sqref="K30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31</v>
      </c>
      <c r="E1" s="7" t="s">
        <v>2</v>
      </c>
      <c r="F1" s="7"/>
      <c r="G1" s="68">
        <v>10.31</v>
      </c>
      <c r="I1" s="7" t="s">
        <v>3</v>
      </c>
      <c r="L1" s="67">
        <f>G1-E30</f>
        <v>9.6765090430458738</v>
      </c>
      <c r="M1" s="10"/>
      <c r="N1" s="63" t="s">
        <v>4</v>
      </c>
      <c r="O1" s="69">
        <f>281/14</f>
        <v>20.071428571428573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9">
        <v>17</v>
      </c>
      <c r="C6" s="75">
        <v>1</v>
      </c>
      <c r="D6" s="76">
        <v>3</v>
      </c>
      <c r="E6" s="76">
        <v>2</v>
      </c>
      <c r="F6" s="72"/>
      <c r="G6" s="76">
        <v>1</v>
      </c>
      <c r="H6" s="77">
        <v>1</v>
      </c>
      <c r="I6" s="76">
        <v>3</v>
      </c>
      <c r="J6" s="76">
        <v>2</v>
      </c>
      <c r="K6" s="72"/>
      <c r="L6" s="76">
        <v>0</v>
      </c>
      <c r="M6" s="58">
        <f t="shared" ref="M6:M22" si="0">(SUM(C6:L6)*12)</f>
        <v>156</v>
      </c>
      <c r="N6" s="22">
        <f t="shared" ref="N6:N22" si="1">B6*$L$1</f>
        <v>164.50065373177986</v>
      </c>
      <c r="O6" s="59">
        <f t="shared" ref="O6:O22" si="2">N6/M6</f>
        <v>1.0544913700755119</v>
      </c>
    </row>
    <row r="7" spans="2:16" ht="16" x14ac:dyDescent="0.2">
      <c r="B7" s="47">
        <v>16</v>
      </c>
      <c r="C7" s="78">
        <v>1</v>
      </c>
      <c r="D7" s="79">
        <v>3</v>
      </c>
      <c r="E7" s="79">
        <v>2</v>
      </c>
      <c r="F7" s="73"/>
      <c r="G7" s="79">
        <v>1</v>
      </c>
      <c r="H7" s="80">
        <v>1</v>
      </c>
      <c r="I7" s="79">
        <v>3</v>
      </c>
      <c r="J7" s="79">
        <v>2</v>
      </c>
      <c r="K7" s="73"/>
      <c r="L7" s="79">
        <v>0</v>
      </c>
      <c r="M7" s="58">
        <f t="shared" si="0"/>
        <v>156</v>
      </c>
      <c r="N7" s="22">
        <f t="shared" si="1"/>
        <v>154.82414468873398</v>
      </c>
      <c r="O7" s="59">
        <f t="shared" si="2"/>
        <v>0.99246246595342291</v>
      </c>
    </row>
    <row r="8" spans="2:16" ht="16" x14ac:dyDescent="0.2">
      <c r="B8" s="49">
        <v>15</v>
      </c>
      <c r="C8" s="75">
        <v>1</v>
      </c>
      <c r="D8" s="76">
        <v>3</v>
      </c>
      <c r="E8" s="76">
        <v>2</v>
      </c>
      <c r="F8" s="72"/>
      <c r="G8" s="76">
        <v>1</v>
      </c>
      <c r="H8" s="77">
        <v>1</v>
      </c>
      <c r="I8" s="76">
        <v>3</v>
      </c>
      <c r="J8" s="76">
        <v>2</v>
      </c>
      <c r="K8" s="72"/>
      <c r="L8" s="76">
        <v>0</v>
      </c>
      <c r="M8" s="58">
        <f t="shared" si="0"/>
        <v>156</v>
      </c>
      <c r="N8" s="22">
        <f t="shared" si="1"/>
        <v>145.1476356456881</v>
      </c>
      <c r="O8" s="59">
        <f t="shared" si="2"/>
        <v>0.93043356183133397</v>
      </c>
    </row>
    <row r="9" spans="2:16" ht="16" x14ac:dyDescent="0.2">
      <c r="B9" s="47">
        <v>14</v>
      </c>
      <c r="C9" s="78">
        <v>1</v>
      </c>
      <c r="D9" s="79">
        <v>3</v>
      </c>
      <c r="E9" s="79">
        <v>2</v>
      </c>
      <c r="F9" s="73"/>
      <c r="G9" s="79">
        <v>1</v>
      </c>
      <c r="H9" s="80">
        <v>1</v>
      </c>
      <c r="I9" s="79">
        <v>3</v>
      </c>
      <c r="J9" s="79">
        <v>2</v>
      </c>
      <c r="K9" s="73"/>
      <c r="L9" s="79">
        <v>0</v>
      </c>
      <c r="M9" s="58">
        <f t="shared" si="0"/>
        <v>156</v>
      </c>
      <c r="N9" s="22">
        <f t="shared" si="1"/>
        <v>135.47112660264224</v>
      </c>
      <c r="O9" s="59">
        <f t="shared" si="2"/>
        <v>0.86840465770924513</v>
      </c>
    </row>
    <row r="10" spans="2:16" ht="16" x14ac:dyDescent="0.2">
      <c r="B10" s="49">
        <v>13</v>
      </c>
      <c r="C10" s="75">
        <v>1</v>
      </c>
      <c r="D10" s="76">
        <v>3</v>
      </c>
      <c r="E10" s="76">
        <v>2</v>
      </c>
      <c r="F10" s="72"/>
      <c r="G10" s="76">
        <v>0</v>
      </c>
      <c r="H10" s="77">
        <v>1</v>
      </c>
      <c r="I10" s="76">
        <v>3</v>
      </c>
      <c r="J10" s="76">
        <v>2</v>
      </c>
      <c r="K10" s="72"/>
      <c r="L10" s="76">
        <v>0</v>
      </c>
      <c r="M10" s="58">
        <f t="shared" si="0"/>
        <v>144</v>
      </c>
      <c r="N10" s="22">
        <f t="shared" si="1"/>
        <v>125.79461755959636</v>
      </c>
      <c r="O10" s="59">
        <f t="shared" si="2"/>
        <v>0.87357373305275254</v>
      </c>
    </row>
    <row r="11" spans="2:16" ht="16" x14ac:dyDescent="0.2">
      <c r="B11" s="47">
        <v>12</v>
      </c>
      <c r="C11" s="78">
        <v>1</v>
      </c>
      <c r="D11" s="79">
        <v>2</v>
      </c>
      <c r="E11" s="79">
        <v>2</v>
      </c>
      <c r="F11" s="73"/>
      <c r="G11" s="79">
        <v>0</v>
      </c>
      <c r="H11" s="80">
        <v>1</v>
      </c>
      <c r="I11" s="79">
        <v>2</v>
      </c>
      <c r="J11" s="79">
        <v>2</v>
      </c>
      <c r="K11" s="73"/>
      <c r="L11" s="79">
        <v>0</v>
      </c>
      <c r="M11" s="58">
        <f t="shared" si="0"/>
        <v>120</v>
      </c>
      <c r="N11" s="22">
        <f t="shared" si="1"/>
        <v>116.11810851655048</v>
      </c>
      <c r="O11" s="59">
        <f t="shared" si="2"/>
        <v>0.96765090430458733</v>
      </c>
    </row>
    <row r="12" spans="2:16" ht="16" x14ac:dyDescent="0.2">
      <c r="B12" s="49">
        <v>11</v>
      </c>
      <c r="C12" s="75">
        <v>1</v>
      </c>
      <c r="D12" s="76">
        <v>2</v>
      </c>
      <c r="E12" s="76">
        <v>0</v>
      </c>
      <c r="F12" s="72"/>
      <c r="G12" s="76">
        <v>0</v>
      </c>
      <c r="H12" s="77">
        <v>1</v>
      </c>
      <c r="I12" s="76">
        <v>2</v>
      </c>
      <c r="J12" s="76">
        <v>0</v>
      </c>
      <c r="K12" s="72"/>
      <c r="L12" s="76">
        <v>0</v>
      </c>
      <c r="M12" s="58">
        <f t="shared" si="0"/>
        <v>72</v>
      </c>
      <c r="N12" s="22">
        <f t="shared" si="1"/>
        <v>106.44159947350461</v>
      </c>
      <c r="O12" s="59">
        <f t="shared" si="2"/>
        <v>1.4783555482431197</v>
      </c>
    </row>
    <row r="13" spans="2:16" ht="16" x14ac:dyDescent="0.2">
      <c r="B13" s="47">
        <v>10</v>
      </c>
      <c r="C13" s="78">
        <v>1</v>
      </c>
      <c r="D13" s="79">
        <v>2</v>
      </c>
      <c r="E13" s="79">
        <v>0</v>
      </c>
      <c r="F13" s="73"/>
      <c r="G13" s="79">
        <v>0</v>
      </c>
      <c r="H13" s="80">
        <v>1</v>
      </c>
      <c r="I13" s="79">
        <v>2</v>
      </c>
      <c r="J13" s="79">
        <v>0</v>
      </c>
      <c r="K13" s="73"/>
      <c r="L13" s="79">
        <v>0</v>
      </c>
      <c r="M13" s="58">
        <f t="shared" si="0"/>
        <v>72</v>
      </c>
      <c r="N13" s="22">
        <f t="shared" si="1"/>
        <v>96.765090430458741</v>
      </c>
      <c r="O13" s="59">
        <f t="shared" si="2"/>
        <v>1.3439595893119269</v>
      </c>
    </row>
    <row r="14" spans="2:16" ht="16" x14ac:dyDescent="0.2">
      <c r="B14" s="49">
        <v>9</v>
      </c>
      <c r="C14" s="75">
        <v>1</v>
      </c>
      <c r="D14" s="76">
        <v>2</v>
      </c>
      <c r="E14" s="76">
        <v>0</v>
      </c>
      <c r="F14" s="72"/>
      <c r="G14" s="76">
        <v>0</v>
      </c>
      <c r="H14" s="77">
        <v>1</v>
      </c>
      <c r="I14" s="76">
        <v>2</v>
      </c>
      <c r="J14" s="76">
        <v>0</v>
      </c>
      <c r="K14" s="72"/>
      <c r="L14" s="76">
        <v>0</v>
      </c>
      <c r="M14" s="58">
        <f t="shared" si="0"/>
        <v>72</v>
      </c>
      <c r="N14" s="22">
        <f t="shared" si="1"/>
        <v>87.088581387412859</v>
      </c>
      <c r="O14" s="59">
        <f t="shared" si="2"/>
        <v>1.2095636303807342</v>
      </c>
    </row>
    <row r="15" spans="2:16" ht="16" x14ac:dyDescent="0.2">
      <c r="B15" s="47">
        <v>8</v>
      </c>
      <c r="C15" s="78">
        <v>1</v>
      </c>
      <c r="D15" s="79">
        <v>2</v>
      </c>
      <c r="E15" s="79">
        <v>0</v>
      </c>
      <c r="F15" s="73"/>
      <c r="G15" s="79">
        <v>0</v>
      </c>
      <c r="H15" s="80">
        <v>1</v>
      </c>
      <c r="I15" s="79">
        <v>2</v>
      </c>
      <c r="J15" s="79">
        <v>0</v>
      </c>
      <c r="K15" s="73"/>
      <c r="L15" s="79">
        <v>0</v>
      </c>
      <c r="M15" s="58">
        <f t="shared" si="0"/>
        <v>72</v>
      </c>
      <c r="N15" s="22">
        <f t="shared" si="1"/>
        <v>77.41207234436699</v>
      </c>
      <c r="O15" s="59">
        <f t="shared" si="2"/>
        <v>1.0751676714495415</v>
      </c>
    </row>
    <row r="16" spans="2:16" ht="16" x14ac:dyDescent="0.2">
      <c r="B16" s="49">
        <v>7</v>
      </c>
      <c r="C16" s="75">
        <v>1</v>
      </c>
      <c r="D16" s="76">
        <v>2</v>
      </c>
      <c r="E16" s="76">
        <v>0</v>
      </c>
      <c r="F16" s="72"/>
      <c r="G16" s="76">
        <v>0</v>
      </c>
      <c r="H16" s="77">
        <v>1</v>
      </c>
      <c r="I16" s="76">
        <v>2</v>
      </c>
      <c r="J16" s="76">
        <v>0</v>
      </c>
      <c r="K16" s="72"/>
      <c r="L16" s="76">
        <v>0</v>
      </c>
      <c r="M16" s="58">
        <f t="shared" si="0"/>
        <v>72</v>
      </c>
      <c r="N16" s="22">
        <f t="shared" si="1"/>
        <v>67.735563301321122</v>
      </c>
      <c r="O16" s="59">
        <f t="shared" si="2"/>
        <v>0.9407717125183489</v>
      </c>
    </row>
    <row r="17" spans="2:15" ht="16" x14ac:dyDescent="0.2">
      <c r="B17" s="47">
        <v>6</v>
      </c>
      <c r="C17" s="78">
        <v>1</v>
      </c>
      <c r="D17" s="79">
        <v>1</v>
      </c>
      <c r="E17" s="79">
        <v>0</v>
      </c>
      <c r="F17" s="73"/>
      <c r="G17" s="79">
        <v>0</v>
      </c>
      <c r="H17" s="80">
        <v>1</v>
      </c>
      <c r="I17" s="79">
        <v>1</v>
      </c>
      <c r="J17" s="79">
        <v>0</v>
      </c>
      <c r="K17" s="73"/>
      <c r="L17" s="79">
        <v>0</v>
      </c>
      <c r="M17" s="58">
        <f t="shared" si="0"/>
        <v>48</v>
      </c>
      <c r="N17" s="22">
        <f t="shared" si="1"/>
        <v>58.059054258275239</v>
      </c>
      <c r="O17" s="59">
        <f t="shared" si="2"/>
        <v>1.2095636303807342</v>
      </c>
    </row>
    <row r="18" spans="2:15" ht="16" x14ac:dyDescent="0.2">
      <c r="B18" s="49">
        <v>5</v>
      </c>
      <c r="C18" s="75">
        <v>1</v>
      </c>
      <c r="D18" s="76">
        <v>1</v>
      </c>
      <c r="E18" s="76">
        <v>0</v>
      </c>
      <c r="F18" s="72"/>
      <c r="G18" s="76">
        <v>0</v>
      </c>
      <c r="H18" s="77">
        <v>1</v>
      </c>
      <c r="I18" s="76">
        <v>1</v>
      </c>
      <c r="J18" s="76">
        <v>0</v>
      </c>
      <c r="K18" s="72"/>
      <c r="L18" s="76">
        <v>0</v>
      </c>
      <c r="M18" s="58">
        <f t="shared" si="0"/>
        <v>48</v>
      </c>
      <c r="N18" s="22">
        <f t="shared" si="1"/>
        <v>48.382545215229371</v>
      </c>
      <c r="O18" s="59">
        <f t="shared" si="2"/>
        <v>1.0079696919839451</v>
      </c>
    </row>
    <row r="19" spans="2:15" ht="16" x14ac:dyDescent="0.2">
      <c r="B19" s="47">
        <v>4</v>
      </c>
      <c r="C19" s="78">
        <v>1</v>
      </c>
      <c r="D19" s="79">
        <v>1</v>
      </c>
      <c r="E19" s="79">
        <v>0</v>
      </c>
      <c r="F19" s="73"/>
      <c r="G19" s="79">
        <v>0</v>
      </c>
      <c r="H19" s="80">
        <v>1</v>
      </c>
      <c r="I19" s="79">
        <v>1</v>
      </c>
      <c r="J19" s="79">
        <v>0</v>
      </c>
      <c r="K19" s="73"/>
      <c r="L19" s="79">
        <v>0</v>
      </c>
      <c r="M19" s="58">
        <f t="shared" si="0"/>
        <v>48</v>
      </c>
      <c r="N19" s="22">
        <f t="shared" si="1"/>
        <v>38.706036172183495</v>
      </c>
      <c r="O19" s="59">
        <f t="shared" si="2"/>
        <v>0.80637575358715619</v>
      </c>
    </row>
    <row r="20" spans="2:15" ht="16" x14ac:dyDescent="0.2">
      <c r="B20" s="49">
        <v>3</v>
      </c>
      <c r="C20" s="75">
        <v>1</v>
      </c>
      <c r="D20" s="76">
        <v>1</v>
      </c>
      <c r="E20" s="76">
        <v>0</v>
      </c>
      <c r="F20" s="72"/>
      <c r="G20" s="76">
        <v>0</v>
      </c>
      <c r="H20" s="77">
        <v>1</v>
      </c>
      <c r="I20" s="76">
        <v>1</v>
      </c>
      <c r="J20" s="76">
        <v>0</v>
      </c>
      <c r="K20" s="72"/>
      <c r="L20" s="76">
        <v>0</v>
      </c>
      <c r="M20" s="58">
        <f t="shared" si="0"/>
        <v>48</v>
      </c>
      <c r="N20" s="22">
        <f t="shared" si="1"/>
        <v>29.02952712913762</v>
      </c>
      <c r="O20" s="59">
        <f t="shared" si="2"/>
        <v>0.60478181519036711</v>
      </c>
    </row>
    <row r="21" spans="2:15" ht="16" x14ac:dyDescent="0.2">
      <c r="B21" s="47">
        <v>2</v>
      </c>
      <c r="C21" s="78">
        <v>1</v>
      </c>
      <c r="D21" s="79">
        <v>1</v>
      </c>
      <c r="E21" s="79">
        <v>0</v>
      </c>
      <c r="F21" s="73"/>
      <c r="G21" s="79">
        <v>0</v>
      </c>
      <c r="H21" s="80">
        <v>1</v>
      </c>
      <c r="I21" s="79">
        <v>1</v>
      </c>
      <c r="J21" s="79">
        <v>0</v>
      </c>
      <c r="K21" s="73"/>
      <c r="L21" s="79">
        <v>0</v>
      </c>
      <c r="M21" s="58">
        <f t="shared" si="0"/>
        <v>48</v>
      </c>
      <c r="N21" s="22">
        <f t="shared" si="1"/>
        <v>19.353018086091748</v>
      </c>
      <c r="O21" s="59">
        <f t="shared" si="2"/>
        <v>0.40318787679357809</v>
      </c>
    </row>
    <row r="22" spans="2:15" ht="17" thickBot="1" x14ac:dyDescent="0.25">
      <c r="B22" s="50">
        <v>1</v>
      </c>
      <c r="C22" s="81">
        <v>1</v>
      </c>
      <c r="D22" s="82">
        <v>1</v>
      </c>
      <c r="E22" s="82">
        <v>0</v>
      </c>
      <c r="F22" s="74"/>
      <c r="G22" s="82">
        <v>0</v>
      </c>
      <c r="H22" s="83">
        <v>1</v>
      </c>
      <c r="I22" s="82">
        <v>1</v>
      </c>
      <c r="J22" s="82">
        <v>0</v>
      </c>
      <c r="K22" s="74"/>
      <c r="L22" s="82">
        <v>0</v>
      </c>
      <c r="M22" s="60">
        <f t="shared" si="0"/>
        <v>48</v>
      </c>
      <c r="N22" s="61">
        <f t="shared" si="1"/>
        <v>9.6765090430458738</v>
      </c>
      <c r="O22" s="62">
        <f t="shared" si="2"/>
        <v>0.20159393839678905</v>
      </c>
    </row>
    <row r="23" spans="2:15" ht="16" thickBot="1" x14ac:dyDescent="0.25"/>
    <row r="24" spans="2:15" ht="32" x14ac:dyDescent="0.2">
      <c r="B24" s="11"/>
      <c r="C24" s="12"/>
      <c r="D24" s="13" t="s">
        <v>17</v>
      </c>
      <c r="E24" s="14" t="s">
        <v>18</v>
      </c>
      <c r="F24" s="65"/>
    </row>
    <row r="25" spans="2:15" x14ac:dyDescent="0.2">
      <c r="B25" s="96" t="s">
        <v>19</v>
      </c>
      <c r="C25" s="97"/>
      <c r="D25" s="16"/>
      <c r="E25" s="17">
        <f>(D25*2080)/($O$1*365)</f>
        <v>0</v>
      </c>
      <c r="F25" s="16"/>
    </row>
    <row r="26" spans="2:15" x14ac:dyDescent="0.2">
      <c r="B26" s="96" t="s">
        <v>20</v>
      </c>
      <c r="C26" s="97"/>
      <c r="D26" s="18">
        <v>1</v>
      </c>
      <c r="E26" s="17">
        <f t="shared" ref="E26:E28" si="3">(D26*2080)/($O$1*365)</f>
        <v>0.2839175157217374</v>
      </c>
      <c r="F26" s="16"/>
    </row>
    <row r="27" spans="2:15" x14ac:dyDescent="0.2">
      <c r="B27" s="96" t="s">
        <v>21</v>
      </c>
      <c r="C27" s="97"/>
      <c r="D27" s="16">
        <f>(147/14*26)/2080</f>
        <v>0.13125000000000001</v>
      </c>
      <c r="E27" s="17">
        <f t="shared" si="3"/>
        <v>3.7264173938478036E-2</v>
      </c>
      <c r="F27" s="16"/>
    </row>
    <row r="28" spans="2:15" x14ac:dyDescent="0.2">
      <c r="B28" s="96" t="s">
        <v>22</v>
      </c>
      <c r="C28" s="97"/>
      <c r="D28" s="16">
        <f>(1232/14*26)/2080</f>
        <v>1.1000000000000001</v>
      </c>
      <c r="E28" s="17">
        <f t="shared" si="3"/>
        <v>0.31230926729391112</v>
      </c>
      <c r="F28" s="16"/>
    </row>
    <row r="29" spans="2:15" x14ac:dyDescent="0.2">
      <c r="B29" s="15"/>
      <c r="E29" s="19"/>
    </row>
    <row r="30" spans="2:15" ht="16" thickBot="1" x14ac:dyDescent="0.25">
      <c r="B30" s="98" t="s">
        <v>23</v>
      </c>
      <c r="C30" s="99"/>
      <c r="D30" s="20">
        <f>SUM(D25:D28)</f>
        <v>2.2312500000000002</v>
      </c>
      <c r="E30" s="21">
        <f>SUM(E25:E28)</f>
        <v>0.63349095695412649</v>
      </c>
      <c r="F30" s="16"/>
    </row>
    <row r="35" spans="1:15" x14ac:dyDescent="0.2">
      <c r="A35" s="5"/>
      <c r="B35" s="5"/>
      <c r="M35"/>
      <c r="N35"/>
      <c r="O35"/>
    </row>
    <row r="36" spans="1:15" x14ac:dyDescent="0.2">
      <c r="A36" s="5"/>
      <c r="B36" s="5"/>
      <c r="M36"/>
      <c r="N36"/>
      <c r="O36"/>
    </row>
  </sheetData>
  <mergeCells count="10">
    <mergeCell ref="H3:L3"/>
    <mergeCell ref="C4:G4"/>
    <mergeCell ref="H4:L4"/>
    <mergeCell ref="B25:C25"/>
    <mergeCell ref="B26:C26"/>
    <mergeCell ref="B27:C27"/>
    <mergeCell ref="B28:C28"/>
    <mergeCell ref="B30:C30"/>
    <mergeCell ref="B3:B4"/>
    <mergeCell ref="C3:G3"/>
  </mergeCells>
  <conditionalFormatting sqref="O6:O22">
    <cfRule type="cellIs" dxfId="21" priority="1" operator="lessThan">
      <formula>0.9999999</formula>
    </cfRule>
    <cfRule type="cellIs" dxfId="20" priority="2" operator="greaterThan">
      <formula>0.9999999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F373-0D2B-4A1A-8C2D-5D8C8DCA0231}">
  <dimension ref="A1:P39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32</v>
      </c>
      <c r="E1" s="7" t="s">
        <v>2</v>
      </c>
      <c r="F1" s="7"/>
      <c r="G1" s="68">
        <v>10.53</v>
      </c>
      <c r="I1" s="7" t="s">
        <v>3</v>
      </c>
      <c r="L1" s="67">
        <f>G1-E33</f>
        <v>9.6110685981210295</v>
      </c>
      <c r="M1" s="10"/>
      <c r="N1" s="63" t="s">
        <v>4</v>
      </c>
      <c r="O1" s="69">
        <f>261/14</f>
        <v>18.642857142857142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20</v>
      </c>
      <c r="C6" s="78">
        <v>1</v>
      </c>
      <c r="D6" s="78">
        <v>4</v>
      </c>
      <c r="E6" s="78">
        <v>2</v>
      </c>
      <c r="F6" s="73"/>
      <c r="G6" s="79">
        <v>1</v>
      </c>
      <c r="H6" s="80">
        <v>1</v>
      </c>
      <c r="I6" s="78">
        <v>4</v>
      </c>
      <c r="J6" s="78">
        <v>2</v>
      </c>
      <c r="K6" s="73"/>
      <c r="L6" s="79">
        <v>1</v>
      </c>
      <c r="M6" s="58">
        <f t="shared" ref="M6:M25" si="0">(SUM(C6:L6)*12)</f>
        <v>192</v>
      </c>
      <c r="N6" s="22">
        <f t="shared" ref="N6:N25" si="1">B6*$L$1</f>
        <v>192.22137196242059</v>
      </c>
      <c r="O6" s="59">
        <f t="shared" ref="O6:O25" si="2">N6/M6</f>
        <v>1.0011529789709406</v>
      </c>
    </row>
    <row r="7" spans="2:16" ht="16" x14ac:dyDescent="0.2">
      <c r="B7" s="49">
        <v>19</v>
      </c>
      <c r="C7" s="75">
        <v>1</v>
      </c>
      <c r="D7" s="75">
        <v>4</v>
      </c>
      <c r="E7" s="75">
        <v>2</v>
      </c>
      <c r="F7" s="72">
        <v>2</v>
      </c>
      <c r="G7" s="76">
        <v>1</v>
      </c>
      <c r="H7" s="77">
        <v>1</v>
      </c>
      <c r="I7" s="75">
        <v>4</v>
      </c>
      <c r="J7" s="75">
        <v>2</v>
      </c>
      <c r="K7" s="72"/>
      <c r="L7" s="76">
        <v>0</v>
      </c>
      <c r="M7" s="58">
        <f t="shared" si="0"/>
        <v>204</v>
      </c>
      <c r="N7" s="22">
        <f t="shared" si="1"/>
        <v>182.61030336429957</v>
      </c>
      <c r="O7" s="59">
        <f t="shared" si="2"/>
        <v>0.89514854590342929</v>
      </c>
    </row>
    <row r="8" spans="2:16" ht="16" x14ac:dyDescent="0.2">
      <c r="B8" s="47">
        <v>18</v>
      </c>
      <c r="C8" s="78">
        <v>1</v>
      </c>
      <c r="D8" s="78">
        <v>3</v>
      </c>
      <c r="E8" s="78">
        <v>2</v>
      </c>
      <c r="F8" s="73"/>
      <c r="G8" s="79">
        <v>1</v>
      </c>
      <c r="H8" s="80">
        <v>1</v>
      </c>
      <c r="I8" s="78">
        <v>3</v>
      </c>
      <c r="J8" s="78">
        <v>2</v>
      </c>
      <c r="K8" s="73"/>
      <c r="L8" s="79">
        <v>0</v>
      </c>
      <c r="M8" s="58">
        <f t="shared" si="0"/>
        <v>156</v>
      </c>
      <c r="N8" s="22">
        <f t="shared" si="1"/>
        <v>172.99923476617852</v>
      </c>
      <c r="O8" s="59">
        <f t="shared" si="2"/>
        <v>1.1089694536293495</v>
      </c>
    </row>
    <row r="9" spans="2:16" ht="16" x14ac:dyDescent="0.2">
      <c r="B9" s="49">
        <v>17</v>
      </c>
      <c r="C9" s="75">
        <v>1</v>
      </c>
      <c r="D9" s="75">
        <v>3</v>
      </c>
      <c r="E9" s="75">
        <v>2</v>
      </c>
      <c r="F9" s="72"/>
      <c r="G9" s="76">
        <v>1</v>
      </c>
      <c r="H9" s="77">
        <v>1</v>
      </c>
      <c r="I9" s="75">
        <v>3</v>
      </c>
      <c r="J9" s="75">
        <v>2</v>
      </c>
      <c r="K9" s="72"/>
      <c r="L9" s="76">
        <v>0</v>
      </c>
      <c r="M9" s="58">
        <f t="shared" si="0"/>
        <v>156</v>
      </c>
      <c r="N9" s="22">
        <f t="shared" si="1"/>
        <v>163.3881661680575</v>
      </c>
      <c r="O9" s="59">
        <f t="shared" si="2"/>
        <v>1.0473600395388301</v>
      </c>
    </row>
    <row r="10" spans="2:16" ht="16" x14ac:dyDescent="0.2">
      <c r="B10" s="47">
        <v>16</v>
      </c>
      <c r="C10" s="78">
        <v>1</v>
      </c>
      <c r="D10" s="78">
        <v>3</v>
      </c>
      <c r="E10" s="78">
        <v>2</v>
      </c>
      <c r="F10" s="73"/>
      <c r="G10" s="79">
        <v>1</v>
      </c>
      <c r="H10" s="80">
        <v>1</v>
      </c>
      <c r="I10" s="78">
        <v>3</v>
      </c>
      <c r="J10" s="78">
        <v>2</v>
      </c>
      <c r="K10" s="73"/>
      <c r="L10" s="79">
        <v>0</v>
      </c>
      <c r="M10" s="58">
        <f t="shared" si="0"/>
        <v>156</v>
      </c>
      <c r="N10" s="22">
        <f t="shared" si="1"/>
        <v>153.77709756993647</v>
      </c>
      <c r="O10" s="59">
        <f t="shared" si="2"/>
        <v>0.98575062544831071</v>
      </c>
    </row>
    <row r="11" spans="2:16" ht="16" x14ac:dyDescent="0.2">
      <c r="B11" s="49">
        <v>15</v>
      </c>
      <c r="C11" s="75">
        <v>1</v>
      </c>
      <c r="D11" s="75">
        <v>3</v>
      </c>
      <c r="E11" s="75">
        <v>2</v>
      </c>
      <c r="F11" s="72"/>
      <c r="G11" s="76">
        <v>1</v>
      </c>
      <c r="H11" s="77">
        <v>1</v>
      </c>
      <c r="I11" s="75">
        <v>3</v>
      </c>
      <c r="J11" s="75">
        <v>2</v>
      </c>
      <c r="K11" s="72"/>
      <c r="L11" s="76">
        <v>0</v>
      </c>
      <c r="M11" s="58">
        <f t="shared" si="0"/>
        <v>156</v>
      </c>
      <c r="N11" s="22">
        <f t="shared" si="1"/>
        <v>144.16602897181545</v>
      </c>
      <c r="O11" s="59">
        <f t="shared" si="2"/>
        <v>0.92414121135779137</v>
      </c>
    </row>
    <row r="12" spans="2:16" ht="16" x14ac:dyDescent="0.2">
      <c r="B12" s="47">
        <v>14</v>
      </c>
      <c r="C12" s="78">
        <v>1</v>
      </c>
      <c r="D12" s="78">
        <v>3</v>
      </c>
      <c r="E12" s="78">
        <v>1</v>
      </c>
      <c r="F12" s="73"/>
      <c r="G12" s="79">
        <v>1</v>
      </c>
      <c r="H12" s="80">
        <v>1</v>
      </c>
      <c r="I12" s="78">
        <v>3</v>
      </c>
      <c r="J12" s="78">
        <v>2</v>
      </c>
      <c r="K12" s="73"/>
      <c r="L12" s="79">
        <v>0</v>
      </c>
      <c r="M12" s="58">
        <f t="shared" si="0"/>
        <v>144</v>
      </c>
      <c r="N12" s="22">
        <f t="shared" si="1"/>
        <v>134.55496037369443</v>
      </c>
      <c r="O12" s="59">
        <f t="shared" si="2"/>
        <v>0.93440944703954465</v>
      </c>
    </row>
    <row r="13" spans="2:16" ht="16" x14ac:dyDescent="0.2">
      <c r="B13" s="49">
        <v>13</v>
      </c>
      <c r="C13" s="75">
        <v>1</v>
      </c>
      <c r="D13" s="75">
        <v>3</v>
      </c>
      <c r="E13" s="75">
        <v>1</v>
      </c>
      <c r="F13" s="72"/>
      <c r="G13" s="76">
        <v>0</v>
      </c>
      <c r="H13" s="77">
        <v>1</v>
      </c>
      <c r="I13" s="75">
        <v>3</v>
      </c>
      <c r="J13" s="75">
        <v>2</v>
      </c>
      <c r="K13" s="72"/>
      <c r="L13" s="76">
        <v>0</v>
      </c>
      <c r="M13" s="58">
        <f t="shared" si="0"/>
        <v>132</v>
      </c>
      <c r="N13" s="22">
        <f t="shared" si="1"/>
        <v>124.94389177557338</v>
      </c>
      <c r="O13" s="59">
        <f t="shared" si="2"/>
        <v>0.94654463466343464</v>
      </c>
    </row>
    <row r="14" spans="2:16" ht="16" x14ac:dyDescent="0.2">
      <c r="B14" s="47">
        <v>12</v>
      </c>
      <c r="C14" s="78">
        <v>1</v>
      </c>
      <c r="D14" s="78">
        <v>2</v>
      </c>
      <c r="E14" s="78">
        <v>2</v>
      </c>
      <c r="F14" s="73"/>
      <c r="G14" s="79">
        <v>0</v>
      </c>
      <c r="H14" s="80">
        <v>1</v>
      </c>
      <c r="I14" s="78">
        <v>2</v>
      </c>
      <c r="J14" s="78">
        <v>1</v>
      </c>
      <c r="K14" s="73"/>
      <c r="L14" s="79">
        <v>0</v>
      </c>
      <c r="M14" s="58">
        <f t="shared" si="0"/>
        <v>108</v>
      </c>
      <c r="N14" s="22">
        <f t="shared" si="1"/>
        <v>115.33282317745235</v>
      </c>
      <c r="O14" s="59">
        <f t="shared" si="2"/>
        <v>1.0678965109023366</v>
      </c>
    </row>
    <row r="15" spans="2:16" ht="16" x14ac:dyDescent="0.2">
      <c r="B15" s="49">
        <v>11</v>
      </c>
      <c r="C15" s="75">
        <v>1</v>
      </c>
      <c r="D15" s="75">
        <v>2</v>
      </c>
      <c r="E15" s="75">
        <v>0</v>
      </c>
      <c r="F15" s="72"/>
      <c r="G15" s="76">
        <v>0</v>
      </c>
      <c r="H15" s="77">
        <v>1</v>
      </c>
      <c r="I15" s="75">
        <v>2</v>
      </c>
      <c r="J15" s="75">
        <v>0</v>
      </c>
      <c r="K15" s="72"/>
      <c r="L15" s="76">
        <v>0</v>
      </c>
      <c r="M15" s="58">
        <f t="shared" si="0"/>
        <v>72</v>
      </c>
      <c r="N15" s="22">
        <f t="shared" si="1"/>
        <v>105.72175457933133</v>
      </c>
      <c r="O15" s="59">
        <f t="shared" si="2"/>
        <v>1.4683577024907128</v>
      </c>
    </row>
    <row r="16" spans="2:16" ht="16" x14ac:dyDescent="0.2">
      <c r="B16" s="47">
        <v>10</v>
      </c>
      <c r="C16" s="78">
        <v>1</v>
      </c>
      <c r="D16" s="78">
        <v>2</v>
      </c>
      <c r="E16" s="78">
        <v>0</v>
      </c>
      <c r="F16" s="73"/>
      <c r="G16" s="79">
        <v>0</v>
      </c>
      <c r="H16" s="80">
        <v>1</v>
      </c>
      <c r="I16" s="78">
        <v>2</v>
      </c>
      <c r="J16" s="78">
        <v>0</v>
      </c>
      <c r="K16" s="73"/>
      <c r="L16" s="79">
        <v>0</v>
      </c>
      <c r="M16" s="58">
        <f t="shared" si="0"/>
        <v>72</v>
      </c>
      <c r="N16" s="22">
        <f t="shared" si="1"/>
        <v>96.110685981210295</v>
      </c>
      <c r="O16" s="59">
        <f t="shared" si="2"/>
        <v>1.3348706386279208</v>
      </c>
    </row>
    <row r="17" spans="2:15" ht="16" x14ac:dyDescent="0.2">
      <c r="B17" s="49">
        <v>9</v>
      </c>
      <c r="C17" s="75">
        <v>1</v>
      </c>
      <c r="D17" s="75">
        <v>2</v>
      </c>
      <c r="E17" s="75">
        <v>0</v>
      </c>
      <c r="F17" s="72"/>
      <c r="G17" s="76">
        <v>0</v>
      </c>
      <c r="H17" s="77">
        <v>1</v>
      </c>
      <c r="I17" s="75">
        <v>2</v>
      </c>
      <c r="J17" s="75">
        <v>0</v>
      </c>
      <c r="K17" s="72"/>
      <c r="L17" s="76">
        <v>0</v>
      </c>
      <c r="M17" s="58">
        <f t="shared" si="0"/>
        <v>72</v>
      </c>
      <c r="N17" s="22">
        <f t="shared" si="1"/>
        <v>86.499617383089259</v>
      </c>
      <c r="O17" s="59">
        <f t="shared" si="2"/>
        <v>1.2013835747651287</v>
      </c>
    </row>
    <row r="18" spans="2:15" ht="16" x14ac:dyDescent="0.2">
      <c r="B18" s="47">
        <v>8</v>
      </c>
      <c r="C18" s="78">
        <v>1</v>
      </c>
      <c r="D18" s="78">
        <v>2</v>
      </c>
      <c r="E18" s="78">
        <v>0</v>
      </c>
      <c r="F18" s="73"/>
      <c r="G18" s="79">
        <v>0</v>
      </c>
      <c r="H18" s="80">
        <v>1</v>
      </c>
      <c r="I18" s="78">
        <v>2</v>
      </c>
      <c r="J18" s="78">
        <v>0</v>
      </c>
      <c r="K18" s="73"/>
      <c r="L18" s="79">
        <v>0</v>
      </c>
      <c r="M18" s="58">
        <f t="shared" si="0"/>
        <v>72</v>
      </c>
      <c r="N18" s="22">
        <f t="shared" si="1"/>
        <v>76.888548784968236</v>
      </c>
      <c r="O18" s="59">
        <f t="shared" si="2"/>
        <v>1.0678965109023366</v>
      </c>
    </row>
    <row r="19" spans="2:15" ht="16" x14ac:dyDescent="0.2">
      <c r="B19" s="49">
        <v>7</v>
      </c>
      <c r="C19" s="75">
        <v>1</v>
      </c>
      <c r="D19" s="75">
        <v>2</v>
      </c>
      <c r="E19" s="75">
        <v>0</v>
      </c>
      <c r="F19" s="72"/>
      <c r="G19" s="76">
        <v>0</v>
      </c>
      <c r="H19" s="77">
        <v>1</v>
      </c>
      <c r="I19" s="75">
        <v>2</v>
      </c>
      <c r="J19" s="75">
        <v>0</v>
      </c>
      <c r="K19" s="72"/>
      <c r="L19" s="76">
        <v>0</v>
      </c>
      <c r="M19" s="58">
        <f t="shared" si="0"/>
        <v>72</v>
      </c>
      <c r="N19" s="22">
        <f t="shared" si="1"/>
        <v>67.277480186847214</v>
      </c>
      <c r="O19" s="59">
        <f t="shared" si="2"/>
        <v>0.93440944703954465</v>
      </c>
    </row>
    <row r="20" spans="2:15" ht="16" x14ac:dyDescent="0.2">
      <c r="B20" s="47">
        <v>6</v>
      </c>
      <c r="C20" s="78">
        <v>1</v>
      </c>
      <c r="D20" s="78">
        <v>2</v>
      </c>
      <c r="E20" s="78">
        <v>0</v>
      </c>
      <c r="F20" s="73"/>
      <c r="G20" s="79">
        <v>0</v>
      </c>
      <c r="H20" s="80">
        <v>1</v>
      </c>
      <c r="I20" s="78">
        <v>2</v>
      </c>
      <c r="J20" s="78">
        <v>0</v>
      </c>
      <c r="K20" s="73"/>
      <c r="L20" s="79">
        <v>0</v>
      </c>
      <c r="M20" s="58">
        <f t="shared" si="0"/>
        <v>72</v>
      </c>
      <c r="N20" s="22">
        <f t="shared" si="1"/>
        <v>57.666411588726177</v>
      </c>
      <c r="O20" s="59">
        <f t="shared" si="2"/>
        <v>0.80092238317675246</v>
      </c>
    </row>
    <row r="21" spans="2:15" ht="16" x14ac:dyDescent="0.2">
      <c r="B21" s="49">
        <v>5</v>
      </c>
      <c r="C21" s="75">
        <v>1</v>
      </c>
      <c r="D21" s="75">
        <v>1</v>
      </c>
      <c r="E21" s="75">
        <v>0</v>
      </c>
      <c r="F21" s="72"/>
      <c r="G21" s="76">
        <v>0</v>
      </c>
      <c r="H21" s="77">
        <v>1</v>
      </c>
      <c r="I21" s="75">
        <v>1</v>
      </c>
      <c r="J21" s="75">
        <v>0</v>
      </c>
      <c r="K21" s="72"/>
      <c r="L21" s="76">
        <v>0</v>
      </c>
      <c r="M21" s="58">
        <f t="shared" si="0"/>
        <v>48</v>
      </c>
      <c r="N21" s="22">
        <f t="shared" si="1"/>
        <v>48.055342990605148</v>
      </c>
      <c r="O21" s="59">
        <f t="shared" si="2"/>
        <v>1.0011529789709406</v>
      </c>
    </row>
    <row r="22" spans="2:15" ht="16" x14ac:dyDescent="0.2">
      <c r="B22" s="47">
        <v>4</v>
      </c>
      <c r="C22" s="78">
        <v>1</v>
      </c>
      <c r="D22" s="78">
        <v>1</v>
      </c>
      <c r="E22" s="78">
        <v>0</v>
      </c>
      <c r="F22" s="73"/>
      <c r="G22" s="79">
        <v>0</v>
      </c>
      <c r="H22" s="80">
        <v>1</v>
      </c>
      <c r="I22" s="78">
        <v>1</v>
      </c>
      <c r="J22" s="78">
        <v>0</v>
      </c>
      <c r="K22" s="73"/>
      <c r="L22" s="79">
        <v>0</v>
      </c>
      <c r="M22" s="58">
        <f t="shared" si="0"/>
        <v>48</v>
      </c>
      <c r="N22" s="22">
        <f t="shared" si="1"/>
        <v>38.444274392484118</v>
      </c>
      <c r="O22" s="59">
        <f t="shared" si="2"/>
        <v>0.80092238317675246</v>
      </c>
    </row>
    <row r="23" spans="2:15" ht="16" x14ac:dyDescent="0.2">
      <c r="B23" s="49">
        <v>3</v>
      </c>
      <c r="C23" s="75">
        <v>1</v>
      </c>
      <c r="D23" s="75">
        <v>1</v>
      </c>
      <c r="E23" s="75">
        <v>0</v>
      </c>
      <c r="F23" s="72"/>
      <c r="G23" s="76">
        <v>0</v>
      </c>
      <c r="H23" s="77">
        <v>1</v>
      </c>
      <c r="I23" s="75">
        <v>1</v>
      </c>
      <c r="J23" s="75">
        <v>0</v>
      </c>
      <c r="K23" s="72"/>
      <c r="L23" s="76">
        <v>0</v>
      </c>
      <c r="M23" s="58">
        <f t="shared" si="0"/>
        <v>48</v>
      </c>
      <c r="N23" s="22">
        <f t="shared" si="1"/>
        <v>28.833205794363089</v>
      </c>
      <c r="O23" s="59">
        <f t="shared" si="2"/>
        <v>0.60069178738256435</v>
      </c>
    </row>
    <row r="24" spans="2:15" ht="16" x14ac:dyDescent="0.2">
      <c r="B24" s="47">
        <v>2</v>
      </c>
      <c r="C24" s="78">
        <v>1</v>
      </c>
      <c r="D24" s="78">
        <v>1</v>
      </c>
      <c r="E24" s="78">
        <v>0</v>
      </c>
      <c r="F24" s="73"/>
      <c r="G24" s="79">
        <v>0</v>
      </c>
      <c r="H24" s="80">
        <v>1</v>
      </c>
      <c r="I24" s="78">
        <v>1</v>
      </c>
      <c r="J24" s="78">
        <v>0</v>
      </c>
      <c r="K24" s="73"/>
      <c r="L24" s="79">
        <v>0</v>
      </c>
      <c r="M24" s="58">
        <f t="shared" si="0"/>
        <v>48</v>
      </c>
      <c r="N24" s="22">
        <f t="shared" si="1"/>
        <v>19.222137196242059</v>
      </c>
      <c r="O24" s="59">
        <f t="shared" si="2"/>
        <v>0.40046119158837623</v>
      </c>
    </row>
    <row r="25" spans="2:15" ht="17" thickBot="1" x14ac:dyDescent="0.25">
      <c r="B25" s="50">
        <v>1</v>
      </c>
      <c r="C25" s="81">
        <v>1</v>
      </c>
      <c r="D25" s="81">
        <v>1</v>
      </c>
      <c r="E25" s="81">
        <v>0</v>
      </c>
      <c r="F25" s="74"/>
      <c r="G25" s="82">
        <v>0</v>
      </c>
      <c r="H25" s="83">
        <v>1</v>
      </c>
      <c r="I25" s="81">
        <v>1</v>
      </c>
      <c r="J25" s="81">
        <v>0</v>
      </c>
      <c r="K25" s="74"/>
      <c r="L25" s="82">
        <v>0</v>
      </c>
      <c r="M25" s="60">
        <f t="shared" si="0"/>
        <v>48</v>
      </c>
      <c r="N25" s="61">
        <f t="shared" si="1"/>
        <v>9.6110685981210295</v>
      </c>
      <c r="O25" s="62">
        <f t="shared" si="2"/>
        <v>0.20023059579418812</v>
      </c>
    </row>
    <row r="26" spans="2:15" ht="16" thickBot="1" x14ac:dyDescent="0.25"/>
    <row r="27" spans="2:15" ht="32" x14ac:dyDescent="0.2">
      <c r="B27" s="11"/>
      <c r="C27" s="12"/>
      <c r="D27" s="13" t="s">
        <v>17</v>
      </c>
      <c r="E27" s="14" t="s">
        <v>18</v>
      </c>
      <c r="F27" s="65"/>
    </row>
    <row r="28" spans="2:15" x14ac:dyDescent="0.2">
      <c r="B28" s="96" t="s">
        <v>19</v>
      </c>
      <c r="C28" s="97"/>
      <c r="D28" s="16"/>
      <c r="E28" s="17">
        <f>(D28*2080)/($O$1*365)</f>
        <v>0</v>
      </c>
      <c r="F28" s="16"/>
    </row>
    <row r="29" spans="2:15" x14ac:dyDescent="0.2">
      <c r="B29" s="96" t="s">
        <v>20</v>
      </c>
      <c r="C29" s="97"/>
      <c r="D29" s="18">
        <v>1</v>
      </c>
      <c r="E29" s="17">
        <f t="shared" ref="E29:E31" si="3">(D29*2080)/($O$1*365)</f>
        <v>0.3056736471946675</v>
      </c>
      <c r="F29" s="16"/>
    </row>
    <row r="30" spans="2:15" x14ac:dyDescent="0.2">
      <c r="B30" s="96" t="s">
        <v>21</v>
      </c>
      <c r="C30" s="97"/>
      <c r="D30" s="16">
        <f>(117/14*26)/2080</f>
        <v>0.10446428571428572</v>
      </c>
      <c r="E30" s="17">
        <f t="shared" si="3"/>
        <v>3.1931979215871521E-2</v>
      </c>
      <c r="F30" s="16"/>
    </row>
    <row r="31" spans="2:15" x14ac:dyDescent="0.2">
      <c r="B31" s="96" t="s">
        <v>22</v>
      </c>
      <c r="C31" s="97"/>
      <c r="D31" s="16">
        <f>(2130/14*26)/2080</f>
        <v>1.9017857142857144</v>
      </c>
      <c r="E31" s="17">
        <f t="shared" si="3"/>
        <v>0.58132577546843023</v>
      </c>
      <c r="F31" s="16"/>
    </row>
    <row r="32" spans="2:15" x14ac:dyDescent="0.2">
      <c r="B32" s="15"/>
      <c r="E32" s="19"/>
    </row>
    <row r="33" spans="1:15" ht="16" thickBot="1" x14ac:dyDescent="0.25">
      <c r="B33" s="98" t="s">
        <v>23</v>
      </c>
      <c r="C33" s="99"/>
      <c r="D33" s="20">
        <f>SUM(D28:D31)</f>
        <v>3.0062500000000001</v>
      </c>
      <c r="E33" s="21">
        <f>SUM(E28:E31)</f>
        <v>0.91893140187896927</v>
      </c>
      <c r="F33" s="16"/>
    </row>
    <row r="38" spans="1:15" x14ac:dyDescent="0.2">
      <c r="A38" s="5"/>
      <c r="B38" s="5"/>
      <c r="M38"/>
      <c r="N38"/>
      <c r="O38"/>
    </row>
    <row r="39" spans="1:15" x14ac:dyDescent="0.2">
      <c r="A39" s="5"/>
      <c r="B39" s="5"/>
      <c r="M39"/>
      <c r="N39"/>
      <c r="O39"/>
    </row>
  </sheetData>
  <mergeCells count="10">
    <mergeCell ref="H3:L3"/>
    <mergeCell ref="C4:G4"/>
    <mergeCell ref="H4:L4"/>
    <mergeCell ref="B28:C28"/>
    <mergeCell ref="B29:C29"/>
    <mergeCell ref="B30:C30"/>
    <mergeCell ref="B31:C31"/>
    <mergeCell ref="B33:C33"/>
    <mergeCell ref="B3:B4"/>
    <mergeCell ref="C3:G3"/>
  </mergeCells>
  <conditionalFormatting sqref="O6:O25">
    <cfRule type="cellIs" dxfId="19" priority="1" operator="lessThan">
      <formula>0.9999999</formula>
    </cfRule>
    <cfRule type="cellIs" dxfId="18" priority="2" operator="greaterThan">
      <formula>0.9999999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4902-40A5-423E-98C9-5E4E578D8B09}">
  <dimension ref="A1:P41"/>
  <sheetViews>
    <sheetView topLeftCell="A2" workbookViewId="0">
      <selection activeCell="J32" sqref="J32"/>
    </sheetView>
  </sheetViews>
  <sheetFormatPr baseColWidth="10" defaultColWidth="8.83203125" defaultRowHeight="15" x14ac:dyDescent="0.2"/>
  <cols>
    <col min="1" max="1" width="2.5" customWidth="1"/>
    <col min="13" max="14" width="8" style="5" customWidth="1"/>
    <col min="15" max="15" width="12.5" style="5" customWidth="1"/>
  </cols>
  <sheetData>
    <row r="1" spans="2:16" s="8" customFormat="1" ht="28" x14ac:dyDescent="0.2">
      <c r="B1" s="7" t="s">
        <v>0</v>
      </c>
      <c r="C1" s="7" t="s">
        <v>33</v>
      </c>
      <c r="E1" s="7" t="s">
        <v>2</v>
      </c>
      <c r="F1" s="7"/>
      <c r="G1" s="68">
        <v>12.41</v>
      </c>
      <c r="I1" s="7" t="s">
        <v>3</v>
      </c>
      <c r="L1" s="67">
        <f>G1-E35</f>
        <v>11.614156825696741</v>
      </c>
      <c r="M1" s="10"/>
      <c r="N1" s="63" t="s">
        <v>4</v>
      </c>
      <c r="O1" s="69">
        <f>290/14</f>
        <v>20.714285714285715</v>
      </c>
      <c r="P1" s="9"/>
    </row>
    <row r="2" spans="2:16" ht="16" thickBot="1" x14ac:dyDescent="0.25"/>
    <row r="3" spans="2:16" ht="28" x14ac:dyDescent="0.2">
      <c r="B3" s="85"/>
      <c r="C3" s="87" t="s">
        <v>5</v>
      </c>
      <c r="D3" s="88"/>
      <c r="E3" s="88"/>
      <c r="F3" s="100"/>
      <c r="G3" s="89"/>
      <c r="H3" s="87" t="s">
        <v>6</v>
      </c>
      <c r="I3" s="88"/>
      <c r="J3" s="88"/>
      <c r="K3" s="100"/>
      <c r="L3" s="89"/>
      <c r="M3" s="51" t="s">
        <v>7</v>
      </c>
      <c r="N3" s="52" t="s">
        <v>8</v>
      </c>
      <c r="O3" s="53" t="s">
        <v>9</v>
      </c>
    </row>
    <row r="4" spans="2:16" ht="16" x14ac:dyDescent="0.2">
      <c r="B4" s="86"/>
      <c r="C4" s="90" t="s">
        <v>10</v>
      </c>
      <c r="D4" s="91"/>
      <c r="E4" s="91"/>
      <c r="F4" s="101"/>
      <c r="G4" s="92"/>
      <c r="H4" s="93" t="s">
        <v>11</v>
      </c>
      <c r="I4" s="94"/>
      <c r="J4" s="94"/>
      <c r="K4" s="102"/>
      <c r="L4" s="95"/>
      <c r="M4" s="54"/>
      <c r="N4" s="23"/>
      <c r="O4" s="55"/>
    </row>
    <row r="5" spans="2:16" ht="17" x14ac:dyDescent="0.2">
      <c r="B5" s="48" t="s">
        <v>12</v>
      </c>
      <c r="C5" s="39" t="s">
        <v>13</v>
      </c>
      <c r="D5" s="3" t="s">
        <v>14</v>
      </c>
      <c r="E5" s="1" t="s">
        <v>15</v>
      </c>
      <c r="F5" s="27" t="s">
        <v>24</v>
      </c>
      <c r="G5" s="40" t="s">
        <v>16</v>
      </c>
      <c r="H5" s="30" t="s">
        <v>13</v>
      </c>
      <c r="I5" s="4" t="s">
        <v>14</v>
      </c>
      <c r="J5" s="2" t="s">
        <v>15</v>
      </c>
      <c r="K5" s="66" t="s">
        <v>24</v>
      </c>
      <c r="L5" s="31" t="s">
        <v>16</v>
      </c>
      <c r="M5" s="56"/>
      <c r="N5" s="24"/>
      <c r="O5" s="57"/>
    </row>
    <row r="6" spans="2:16" ht="16" x14ac:dyDescent="0.2">
      <c r="B6" s="47">
        <v>22</v>
      </c>
      <c r="C6" s="73">
        <v>1</v>
      </c>
      <c r="D6" s="73">
        <v>5</v>
      </c>
      <c r="E6" s="73">
        <v>3</v>
      </c>
      <c r="F6" s="73"/>
      <c r="G6" s="73">
        <v>1</v>
      </c>
      <c r="H6" s="73">
        <v>1</v>
      </c>
      <c r="I6" s="73">
        <v>5</v>
      </c>
      <c r="J6" s="73">
        <v>3</v>
      </c>
      <c r="K6" s="73"/>
      <c r="L6" s="73">
        <v>1</v>
      </c>
      <c r="M6" s="58">
        <f t="shared" ref="M6:M27" si="0">(SUM(C6:L6)*12)</f>
        <v>240</v>
      </c>
      <c r="N6" s="22">
        <f t="shared" ref="N6:N27" si="1">B6*$L$1</f>
        <v>255.51145016532828</v>
      </c>
      <c r="O6" s="59">
        <f t="shared" ref="O6:O27" si="2">N6/M6</f>
        <v>1.0646310423555345</v>
      </c>
    </row>
    <row r="7" spans="2:16" ht="16" x14ac:dyDescent="0.2">
      <c r="B7" s="49">
        <v>21</v>
      </c>
      <c r="C7" s="72">
        <v>1</v>
      </c>
      <c r="D7" s="72">
        <v>5</v>
      </c>
      <c r="E7" s="72">
        <v>2</v>
      </c>
      <c r="F7" s="72"/>
      <c r="G7" s="72">
        <v>1</v>
      </c>
      <c r="H7" s="72">
        <v>1</v>
      </c>
      <c r="I7" s="72">
        <v>5</v>
      </c>
      <c r="J7" s="72">
        <v>2</v>
      </c>
      <c r="K7" s="72"/>
      <c r="L7" s="72">
        <v>1</v>
      </c>
      <c r="M7" s="58">
        <f t="shared" si="0"/>
        <v>216</v>
      </c>
      <c r="N7" s="22">
        <f t="shared" si="1"/>
        <v>243.89729333963155</v>
      </c>
      <c r="O7" s="59">
        <f t="shared" si="2"/>
        <v>1.1291541358316275</v>
      </c>
    </row>
    <row r="8" spans="2:16" ht="16" x14ac:dyDescent="0.2">
      <c r="B8" s="47">
        <v>20</v>
      </c>
      <c r="C8" s="73">
        <v>1</v>
      </c>
      <c r="D8" s="73">
        <v>4</v>
      </c>
      <c r="E8" s="73">
        <v>2</v>
      </c>
      <c r="F8" s="73"/>
      <c r="G8" s="73">
        <v>1</v>
      </c>
      <c r="H8" s="73">
        <v>1</v>
      </c>
      <c r="I8" s="73">
        <v>4</v>
      </c>
      <c r="J8" s="73">
        <v>2</v>
      </c>
      <c r="K8" s="73"/>
      <c r="L8" s="73">
        <v>1</v>
      </c>
      <c r="M8" s="58">
        <f t="shared" si="0"/>
        <v>192</v>
      </c>
      <c r="N8" s="22">
        <f t="shared" si="1"/>
        <v>232.28313651393481</v>
      </c>
      <c r="O8" s="59">
        <f t="shared" si="2"/>
        <v>1.2098080026767437</v>
      </c>
    </row>
    <row r="9" spans="2:16" ht="16" x14ac:dyDescent="0.2">
      <c r="B9" s="49">
        <v>19</v>
      </c>
      <c r="C9" s="72">
        <v>1</v>
      </c>
      <c r="D9" s="72">
        <v>4</v>
      </c>
      <c r="E9" s="72">
        <v>2</v>
      </c>
      <c r="F9" s="72"/>
      <c r="G9" s="72">
        <v>1</v>
      </c>
      <c r="H9" s="72">
        <v>1</v>
      </c>
      <c r="I9" s="72">
        <v>4</v>
      </c>
      <c r="J9" s="72">
        <v>2</v>
      </c>
      <c r="K9" s="72"/>
      <c r="L9" s="72">
        <v>1</v>
      </c>
      <c r="M9" s="58">
        <f t="shared" si="0"/>
        <v>192</v>
      </c>
      <c r="N9" s="22">
        <f t="shared" si="1"/>
        <v>220.66897968823807</v>
      </c>
      <c r="O9" s="59">
        <f t="shared" si="2"/>
        <v>1.1493176025429066</v>
      </c>
    </row>
    <row r="10" spans="2:16" ht="16" x14ac:dyDescent="0.2">
      <c r="B10" s="47">
        <v>18</v>
      </c>
      <c r="C10" s="73">
        <v>1</v>
      </c>
      <c r="D10" s="73">
        <v>4</v>
      </c>
      <c r="E10" s="73">
        <v>2</v>
      </c>
      <c r="F10" s="73"/>
      <c r="G10" s="73">
        <v>1</v>
      </c>
      <c r="H10" s="73">
        <v>1</v>
      </c>
      <c r="I10" s="73">
        <v>4</v>
      </c>
      <c r="J10" s="73">
        <v>2</v>
      </c>
      <c r="K10" s="73"/>
      <c r="L10" s="73">
        <v>1</v>
      </c>
      <c r="M10" s="58">
        <f t="shared" si="0"/>
        <v>192</v>
      </c>
      <c r="N10" s="22">
        <f t="shared" si="1"/>
        <v>209.05482286254133</v>
      </c>
      <c r="O10" s="59">
        <f t="shared" si="2"/>
        <v>1.0888272024090695</v>
      </c>
    </row>
    <row r="11" spans="2:16" ht="16" x14ac:dyDescent="0.2">
      <c r="B11" s="49">
        <v>17</v>
      </c>
      <c r="C11" s="72">
        <v>1</v>
      </c>
      <c r="D11" s="72">
        <v>4</v>
      </c>
      <c r="E11" s="72">
        <v>2</v>
      </c>
      <c r="F11" s="72"/>
      <c r="G11" s="72">
        <v>1</v>
      </c>
      <c r="H11" s="72">
        <v>1</v>
      </c>
      <c r="I11" s="72">
        <v>4</v>
      </c>
      <c r="J11" s="72">
        <v>2</v>
      </c>
      <c r="K11" s="72"/>
      <c r="L11" s="72">
        <v>1</v>
      </c>
      <c r="M11" s="58">
        <f t="shared" si="0"/>
        <v>192</v>
      </c>
      <c r="N11" s="22">
        <f t="shared" si="1"/>
        <v>197.44066603684459</v>
      </c>
      <c r="O11" s="59">
        <f t="shared" si="2"/>
        <v>1.0283368022752322</v>
      </c>
    </row>
    <row r="12" spans="2:16" ht="16" x14ac:dyDescent="0.2">
      <c r="B12" s="47">
        <v>16</v>
      </c>
      <c r="C12" s="73">
        <v>1</v>
      </c>
      <c r="D12" s="73">
        <v>3</v>
      </c>
      <c r="E12" s="73">
        <v>2</v>
      </c>
      <c r="F12" s="73"/>
      <c r="G12" s="73">
        <v>1</v>
      </c>
      <c r="H12" s="73">
        <v>1</v>
      </c>
      <c r="I12" s="73">
        <v>3</v>
      </c>
      <c r="J12" s="73">
        <v>2</v>
      </c>
      <c r="K12" s="73"/>
      <c r="L12" s="73">
        <v>1</v>
      </c>
      <c r="M12" s="58">
        <f t="shared" si="0"/>
        <v>168</v>
      </c>
      <c r="N12" s="22">
        <f t="shared" si="1"/>
        <v>185.82650921114785</v>
      </c>
      <c r="O12" s="59">
        <f t="shared" si="2"/>
        <v>1.1061101738758801</v>
      </c>
    </row>
    <row r="13" spans="2:16" ht="16" x14ac:dyDescent="0.2">
      <c r="B13" s="49">
        <v>15</v>
      </c>
      <c r="C13" s="72">
        <v>1</v>
      </c>
      <c r="D13" s="72">
        <v>3</v>
      </c>
      <c r="E13" s="72">
        <v>2</v>
      </c>
      <c r="F13" s="72"/>
      <c r="G13" s="72">
        <v>1</v>
      </c>
      <c r="H13" s="72">
        <v>1</v>
      </c>
      <c r="I13" s="72">
        <v>3</v>
      </c>
      <c r="J13" s="72">
        <v>2</v>
      </c>
      <c r="K13" s="72"/>
      <c r="L13" s="29">
        <v>1</v>
      </c>
      <c r="M13" s="58">
        <f t="shared" si="0"/>
        <v>168</v>
      </c>
      <c r="N13" s="22">
        <f t="shared" si="1"/>
        <v>174.21235238545111</v>
      </c>
      <c r="O13" s="59">
        <f t="shared" si="2"/>
        <v>1.0369782880086376</v>
      </c>
    </row>
    <row r="14" spans="2:16" ht="16" x14ac:dyDescent="0.2">
      <c r="B14" s="47">
        <v>14</v>
      </c>
      <c r="C14" s="73">
        <v>1</v>
      </c>
      <c r="D14" s="73">
        <v>3</v>
      </c>
      <c r="E14" s="73">
        <v>2</v>
      </c>
      <c r="F14" s="73"/>
      <c r="G14" s="73">
        <v>1</v>
      </c>
      <c r="H14" s="73">
        <v>1</v>
      </c>
      <c r="I14" s="73">
        <v>3</v>
      </c>
      <c r="J14" s="73">
        <v>2</v>
      </c>
      <c r="K14" s="73"/>
      <c r="L14" s="28">
        <v>1</v>
      </c>
      <c r="M14" s="58">
        <f t="shared" si="0"/>
        <v>168</v>
      </c>
      <c r="N14" s="22">
        <f t="shared" si="1"/>
        <v>162.59819555975437</v>
      </c>
      <c r="O14" s="59">
        <f t="shared" si="2"/>
        <v>0.96784640214139506</v>
      </c>
    </row>
    <row r="15" spans="2:16" ht="16" x14ac:dyDescent="0.2">
      <c r="B15" s="49">
        <v>13</v>
      </c>
      <c r="C15" s="72">
        <v>1</v>
      </c>
      <c r="D15" s="72">
        <v>3</v>
      </c>
      <c r="E15" s="72">
        <v>1</v>
      </c>
      <c r="F15" s="72"/>
      <c r="G15" s="72">
        <v>0</v>
      </c>
      <c r="H15" s="72">
        <v>1</v>
      </c>
      <c r="I15" s="72">
        <v>3</v>
      </c>
      <c r="J15" s="72">
        <v>1</v>
      </c>
      <c r="K15" s="72"/>
      <c r="L15" s="72">
        <v>0</v>
      </c>
      <c r="M15" s="58">
        <f t="shared" si="0"/>
        <v>120</v>
      </c>
      <c r="N15" s="22">
        <f t="shared" si="1"/>
        <v>150.98403873405763</v>
      </c>
      <c r="O15" s="59">
        <f t="shared" si="2"/>
        <v>1.2582003227838137</v>
      </c>
    </row>
    <row r="16" spans="2:16" ht="16" x14ac:dyDescent="0.2">
      <c r="B16" s="47">
        <v>12</v>
      </c>
      <c r="C16" s="73">
        <v>1</v>
      </c>
      <c r="D16" s="73">
        <v>3</v>
      </c>
      <c r="E16" s="73">
        <v>1</v>
      </c>
      <c r="F16" s="73"/>
      <c r="G16" s="73">
        <v>0</v>
      </c>
      <c r="H16" s="73">
        <v>1</v>
      </c>
      <c r="I16" s="73">
        <v>3</v>
      </c>
      <c r="J16" s="73">
        <v>1</v>
      </c>
      <c r="K16" s="73"/>
      <c r="L16" s="73">
        <v>0</v>
      </c>
      <c r="M16" s="58">
        <f t="shared" si="0"/>
        <v>120</v>
      </c>
      <c r="N16" s="22">
        <f t="shared" si="1"/>
        <v>139.3698819083609</v>
      </c>
      <c r="O16" s="59">
        <f t="shared" si="2"/>
        <v>1.1614156825696742</v>
      </c>
    </row>
    <row r="17" spans="2:15" ht="16" x14ac:dyDescent="0.2">
      <c r="B17" s="49">
        <v>11</v>
      </c>
      <c r="C17" s="72">
        <v>1</v>
      </c>
      <c r="D17" s="72">
        <v>2</v>
      </c>
      <c r="E17" s="72">
        <v>0</v>
      </c>
      <c r="F17" s="72"/>
      <c r="G17" s="72">
        <v>0</v>
      </c>
      <c r="H17" s="72">
        <v>1</v>
      </c>
      <c r="I17" s="72">
        <v>2</v>
      </c>
      <c r="J17" s="72">
        <v>0</v>
      </c>
      <c r="K17" s="72"/>
      <c r="L17" s="72">
        <v>0</v>
      </c>
      <c r="M17" s="58">
        <f t="shared" si="0"/>
        <v>72</v>
      </c>
      <c r="N17" s="22">
        <f t="shared" si="1"/>
        <v>127.75572508266414</v>
      </c>
      <c r="O17" s="59">
        <f t="shared" si="2"/>
        <v>1.7743850705925575</v>
      </c>
    </row>
    <row r="18" spans="2:15" ht="16" x14ac:dyDescent="0.2">
      <c r="B18" s="47">
        <v>10</v>
      </c>
      <c r="C18" s="73">
        <v>1</v>
      </c>
      <c r="D18" s="73">
        <v>2</v>
      </c>
      <c r="E18" s="73">
        <v>0</v>
      </c>
      <c r="F18" s="73"/>
      <c r="G18" s="73">
        <v>0</v>
      </c>
      <c r="H18" s="73">
        <v>1</v>
      </c>
      <c r="I18" s="73">
        <v>2</v>
      </c>
      <c r="J18" s="73">
        <v>0</v>
      </c>
      <c r="K18" s="73"/>
      <c r="L18" s="73">
        <v>0</v>
      </c>
      <c r="M18" s="58">
        <f t="shared" si="0"/>
        <v>72</v>
      </c>
      <c r="N18" s="22">
        <f t="shared" si="1"/>
        <v>116.1415682569674</v>
      </c>
      <c r="O18" s="59">
        <f t="shared" si="2"/>
        <v>1.613077336902325</v>
      </c>
    </row>
    <row r="19" spans="2:15" ht="16" x14ac:dyDescent="0.2">
      <c r="B19" s="49">
        <v>9</v>
      </c>
      <c r="C19" s="72">
        <v>1</v>
      </c>
      <c r="D19" s="72">
        <v>2</v>
      </c>
      <c r="E19" s="72">
        <v>0</v>
      </c>
      <c r="F19" s="72"/>
      <c r="G19" s="72">
        <v>0</v>
      </c>
      <c r="H19" s="72">
        <v>1</v>
      </c>
      <c r="I19" s="72">
        <v>2</v>
      </c>
      <c r="J19" s="72">
        <v>0</v>
      </c>
      <c r="K19" s="72"/>
      <c r="L19" s="72">
        <v>0</v>
      </c>
      <c r="M19" s="58">
        <f t="shared" si="0"/>
        <v>72</v>
      </c>
      <c r="N19" s="22">
        <f t="shared" si="1"/>
        <v>104.52741143127066</v>
      </c>
      <c r="O19" s="59">
        <f t="shared" si="2"/>
        <v>1.4517696032120926</v>
      </c>
    </row>
    <row r="20" spans="2:15" ht="16" x14ac:dyDescent="0.2">
      <c r="B20" s="47">
        <v>8</v>
      </c>
      <c r="C20" s="73">
        <v>1</v>
      </c>
      <c r="D20" s="73">
        <v>2</v>
      </c>
      <c r="E20" s="73">
        <v>0</v>
      </c>
      <c r="F20" s="73"/>
      <c r="G20" s="73">
        <v>0</v>
      </c>
      <c r="H20" s="73">
        <v>1</v>
      </c>
      <c r="I20" s="73">
        <v>2</v>
      </c>
      <c r="J20" s="73">
        <v>0</v>
      </c>
      <c r="K20" s="73"/>
      <c r="L20" s="73">
        <v>0</v>
      </c>
      <c r="M20" s="58">
        <f t="shared" si="0"/>
        <v>72</v>
      </c>
      <c r="N20" s="22">
        <f t="shared" si="1"/>
        <v>92.913254605573925</v>
      </c>
      <c r="O20" s="59">
        <f t="shared" si="2"/>
        <v>1.2904618695218601</v>
      </c>
    </row>
    <row r="21" spans="2:15" ht="16" x14ac:dyDescent="0.2">
      <c r="B21" s="49">
        <v>7</v>
      </c>
      <c r="C21" s="72">
        <v>1</v>
      </c>
      <c r="D21" s="72">
        <v>2</v>
      </c>
      <c r="E21" s="72">
        <v>0</v>
      </c>
      <c r="F21" s="72"/>
      <c r="G21" s="72">
        <v>0</v>
      </c>
      <c r="H21" s="72">
        <v>1</v>
      </c>
      <c r="I21" s="72">
        <v>2</v>
      </c>
      <c r="J21" s="72">
        <v>0</v>
      </c>
      <c r="K21" s="72"/>
      <c r="L21" s="72">
        <v>0</v>
      </c>
      <c r="M21" s="58">
        <f t="shared" si="0"/>
        <v>72</v>
      </c>
      <c r="N21" s="22">
        <f t="shared" si="1"/>
        <v>81.299097779877187</v>
      </c>
      <c r="O21" s="59">
        <f t="shared" si="2"/>
        <v>1.1291541358316275</v>
      </c>
    </row>
    <row r="22" spans="2:15" ht="16" x14ac:dyDescent="0.2">
      <c r="B22" s="47">
        <v>6</v>
      </c>
      <c r="C22" s="73">
        <v>1</v>
      </c>
      <c r="D22" s="73">
        <v>2</v>
      </c>
      <c r="E22" s="73">
        <v>0</v>
      </c>
      <c r="F22" s="73"/>
      <c r="G22" s="73">
        <v>0</v>
      </c>
      <c r="H22" s="73">
        <v>1</v>
      </c>
      <c r="I22" s="73">
        <v>2</v>
      </c>
      <c r="J22" s="73">
        <v>0</v>
      </c>
      <c r="K22" s="73"/>
      <c r="L22" s="73">
        <v>0</v>
      </c>
      <c r="M22" s="58">
        <f t="shared" si="0"/>
        <v>72</v>
      </c>
      <c r="N22" s="22">
        <f t="shared" si="1"/>
        <v>69.684940954180448</v>
      </c>
      <c r="O22" s="59">
        <f t="shared" si="2"/>
        <v>0.96784640214139506</v>
      </c>
    </row>
    <row r="23" spans="2:15" ht="16" x14ac:dyDescent="0.2">
      <c r="B23" s="49">
        <v>5</v>
      </c>
      <c r="C23" s="72">
        <v>1</v>
      </c>
      <c r="D23" s="72">
        <v>1</v>
      </c>
      <c r="E23" s="72">
        <v>0</v>
      </c>
      <c r="F23" s="72"/>
      <c r="G23" s="72">
        <v>0</v>
      </c>
      <c r="H23" s="72">
        <v>1</v>
      </c>
      <c r="I23" s="72">
        <v>1</v>
      </c>
      <c r="J23" s="72">
        <v>0</v>
      </c>
      <c r="K23" s="72"/>
      <c r="L23" s="72">
        <v>0</v>
      </c>
      <c r="M23" s="58">
        <f t="shared" si="0"/>
        <v>48</v>
      </c>
      <c r="N23" s="22">
        <f t="shared" si="1"/>
        <v>58.070784128483702</v>
      </c>
      <c r="O23" s="59">
        <f t="shared" si="2"/>
        <v>1.2098080026767437</v>
      </c>
    </row>
    <row r="24" spans="2:15" ht="16" x14ac:dyDescent="0.2">
      <c r="B24" s="47">
        <v>4</v>
      </c>
      <c r="C24" s="73">
        <v>1</v>
      </c>
      <c r="D24" s="73">
        <v>1</v>
      </c>
      <c r="E24" s="73">
        <v>0</v>
      </c>
      <c r="F24" s="73"/>
      <c r="G24" s="73">
        <v>0</v>
      </c>
      <c r="H24" s="73">
        <v>1</v>
      </c>
      <c r="I24" s="73">
        <v>1</v>
      </c>
      <c r="J24" s="73">
        <v>0</v>
      </c>
      <c r="K24" s="73"/>
      <c r="L24" s="73">
        <v>0</v>
      </c>
      <c r="M24" s="58">
        <f t="shared" si="0"/>
        <v>48</v>
      </c>
      <c r="N24" s="22">
        <f t="shared" si="1"/>
        <v>46.456627302786963</v>
      </c>
      <c r="O24" s="59">
        <f t="shared" si="2"/>
        <v>0.96784640214139506</v>
      </c>
    </row>
    <row r="25" spans="2:15" ht="16" x14ac:dyDescent="0.2">
      <c r="B25" s="49">
        <v>3</v>
      </c>
      <c r="C25" s="72">
        <v>1</v>
      </c>
      <c r="D25" s="72">
        <v>1</v>
      </c>
      <c r="E25" s="72">
        <v>0</v>
      </c>
      <c r="F25" s="72"/>
      <c r="G25" s="72">
        <v>0</v>
      </c>
      <c r="H25" s="72">
        <v>1</v>
      </c>
      <c r="I25" s="72">
        <v>1</v>
      </c>
      <c r="J25" s="72">
        <v>0</v>
      </c>
      <c r="K25" s="72"/>
      <c r="L25" s="72">
        <v>0</v>
      </c>
      <c r="M25" s="58">
        <f t="shared" si="0"/>
        <v>48</v>
      </c>
      <c r="N25" s="22">
        <f t="shared" si="1"/>
        <v>34.842470477090224</v>
      </c>
      <c r="O25" s="59">
        <f t="shared" si="2"/>
        <v>0.72588480160604629</v>
      </c>
    </row>
    <row r="26" spans="2:15" ht="16" x14ac:dyDescent="0.2">
      <c r="B26" s="47">
        <v>2</v>
      </c>
      <c r="C26" s="73">
        <v>1</v>
      </c>
      <c r="D26" s="73">
        <v>1</v>
      </c>
      <c r="E26" s="73">
        <v>0</v>
      </c>
      <c r="F26" s="73"/>
      <c r="G26" s="73">
        <v>0</v>
      </c>
      <c r="H26" s="73">
        <v>1</v>
      </c>
      <c r="I26" s="73">
        <v>1</v>
      </c>
      <c r="J26" s="73">
        <v>0</v>
      </c>
      <c r="K26" s="73"/>
      <c r="L26" s="73">
        <v>0</v>
      </c>
      <c r="M26" s="58">
        <f t="shared" si="0"/>
        <v>48</v>
      </c>
      <c r="N26" s="22">
        <f t="shared" si="1"/>
        <v>23.228313651393481</v>
      </c>
      <c r="O26" s="59">
        <f t="shared" si="2"/>
        <v>0.48392320107069753</v>
      </c>
    </row>
    <row r="27" spans="2:15" ht="17" thickBot="1" x14ac:dyDescent="0.25">
      <c r="B27" s="50">
        <v>1</v>
      </c>
      <c r="C27" s="74">
        <v>1</v>
      </c>
      <c r="D27" s="74">
        <v>1</v>
      </c>
      <c r="E27" s="74">
        <v>0</v>
      </c>
      <c r="F27" s="74"/>
      <c r="G27" s="74">
        <v>0</v>
      </c>
      <c r="H27" s="74">
        <v>1</v>
      </c>
      <c r="I27" s="74">
        <v>1</v>
      </c>
      <c r="J27" s="74">
        <v>0</v>
      </c>
      <c r="K27" s="74"/>
      <c r="L27" s="74">
        <v>0</v>
      </c>
      <c r="M27" s="60">
        <f t="shared" si="0"/>
        <v>48</v>
      </c>
      <c r="N27" s="61">
        <f t="shared" si="1"/>
        <v>11.614156825696741</v>
      </c>
      <c r="O27" s="62">
        <f t="shared" si="2"/>
        <v>0.24196160053534876</v>
      </c>
    </row>
    <row r="28" spans="2:15" ht="16" thickBot="1" x14ac:dyDescent="0.25"/>
    <row r="29" spans="2:15" ht="32" x14ac:dyDescent="0.2">
      <c r="B29" s="11"/>
      <c r="C29" s="12"/>
      <c r="D29" s="13" t="s">
        <v>17</v>
      </c>
      <c r="E29" s="14" t="s">
        <v>18</v>
      </c>
      <c r="F29" s="65"/>
    </row>
    <row r="30" spans="2:15" x14ac:dyDescent="0.2">
      <c r="B30" s="96" t="s">
        <v>19</v>
      </c>
      <c r="C30" s="97"/>
      <c r="D30" s="16"/>
      <c r="E30" s="17">
        <f>(D30*2080)/($O$1*365)</f>
        <v>0</v>
      </c>
      <c r="F30" s="16"/>
    </row>
    <row r="31" spans="2:15" x14ac:dyDescent="0.2">
      <c r="B31" s="96" t="s">
        <v>20</v>
      </c>
      <c r="C31" s="97"/>
      <c r="D31" s="18">
        <v>1</v>
      </c>
      <c r="E31" s="17">
        <f t="shared" ref="E31:E33" si="3">(D31*2080)/($O$1*365)</f>
        <v>0.27510628247520075</v>
      </c>
      <c r="F31" s="16"/>
    </row>
    <row r="32" spans="2:15" x14ac:dyDescent="0.2">
      <c r="B32" s="96" t="s">
        <v>21</v>
      </c>
      <c r="C32" s="97"/>
      <c r="D32" s="16">
        <f>(130/14*26)/2080</f>
        <v>0.11607142857142858</v>
      </c>
      <c r="E32" s="17">
        <f t="shared" si="3"/>
        <v>3.1931979215871514E-2</v>
      </c>
      <c r="F32" s="16"/>
    </row>
    <row r="33" spans="1:15" x14ac:dyDescent="0.2">
      <c r="B33" s="96" t="s">
        <v>22</v>
      </c>
      <c r="C33" s="97"/>
      <c r="D33" s="16">
        <f>(1990/14*26)/2080</f>
        <v>1.7767857142857144</v>
      </c>
      <c r="E33" s="17">
        <f t="shared" si="3"/>
        <v>0.48880491261218706</v>
      </c>
      <c r="F33" s="16"/>
    </row>
    <row r="34" spans="1:15" x14ac:dyDescent="0.2">
      <c r="B34" s="15"/>
      <c r="E34" s="19"/>
    </row>
    <row r="35" spans="1:15" ht="16" thickBot="1" x14ac:dyDescent="0.25">
      <c r="B35" s="98" t="s">
        <v>23</v>
      </c>
      <c r="C35" s="99"/>
      <c r="D35" s="20">
        <f>SUM(D30:D33)</f>
        <v>2.8928571428571432</v>
      </c>
      <c r="E35" s="21">
        <f>SUM(E30:E33)</f>
        <v>0.79584317430325935</v>
      </c>
      <c r="F35" s="16"/>
    </row>
    <row r="40" spans="1:15" x14ac:dyDescent="0.2">
      <c r="A40" s="5"/>
      <c r="B40" s="5"/>
      <c r="M40"/>
      <c r="N40"/>
      <c r="O40"/>
    </row>
    <row r="41" spans="1:15" x14ac:dyDescent="0.2">
      <c r="A41" s="5"/>
      <c r="B41" s="5"/>
      <c r="M41"/>
      <c r="N41"/>
      <c r="O41"/>
    </row>
  </sheetData>
  <mergeCells count="10">
    <mergeCell ref="B3:B4"/>
    <mergeCell ref="C3:G3"/>
    <mergeCell ref="H3:L3"/>
    <mergeCell ref="C4:G4"/>
    <mergeCell ref="H4:L4"/>
    <mergeCell ref="B33:C33"/>
    <mergeCell ref="B35:C35"/>
    <mergeCell ref="B31:C31"/>
    <mergeCell ref="B30:C30"/>
    <mergeCell ref="B32:C32"/>
  </mergeCells>
  <conditionalFormatting sqref="O6:O27">
    <cfRule type="cellIs" dxfId="17" priority="1" operator="lessThan">
      <formula>0.9999999</formula>
    </cfRule>
    <cfRule type="cellIs" dxfId="16" priority="2" operator="greaterThan">
      <formula>0.9999999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34CA5D8B9C0489F2E7483840327A2" ma:contentTypeVersion="4" ma:contentTypeDescription="Create a new document." ma:contentTypeScope="" ma:versionID="9955fe61d7c61f25ccd0f310265270d4">
  <xsd:schema xmlns:xsd="http://www.w3.org/2001/XMLSchema" xmlns:xs="http://www.w3.org/2001/XMLSchema" xmlns:p="http://schemas.microsoft.com/office/2006/metadata/properties" xmlns:ns2="17cedd80-704d-4a21-ae68-bda82381db83" targetNamespace="http://schemas.microsoft.com/office/2006/metadata/properties" ma:root="true" ma:fieldsID="0c7aebbf3d8d4f4f033410fa7622b4ab" ns2:_="">
    <xsd:import namespace="17cedd80-704d-4a21-ae68-bda82381d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edd80-704d-4a21-ae68-bda82381d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EF851-AE41-4B4C-AC48-E7DD967A53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D02CF-DC92-47E8-8B46-771A6F607F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5526E5-ECD6-4E71-9D03-50E201F2C3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edd80-704d-4a21-ae68-bda82381d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3East</vt:lpstr>
      <vt:lpstr>4West</vt:lpstr>
      <vt:lpstr>5East</vt:lpstr>
      <vt:lpstr>5West</vt:lpstr>
      <vt:lpstr>5Tower</vt:lpstr>
      <vt:lpstr>PTCA</vt:lpstr>
      <vt:lpstr>6East</vt:lpstr>
      <vt:lpstr>6West</vt:lpstr>
      <vt:lpstr>6Tower</vt:lpstr>
      <vt:lpstr>7Tower</vt:lpstr>
      <vt:lpstr>7Heart</vt:lpstr>
      <vt:lpstr>8Heart</vt:lpstr>
      <vt:lpstr>9Frazier</vt:lpstr>
      <vt:lpstr>ICUTower</vt:lpstr>
      <vt:lpstr>SICU</vt:lpstr>
      <vt:lpstr>NICU</vt:lpstr>
      <vt:lpstr>CVICU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 Kayl</dc:creator>
  <cp:keywords/>
  <dc:description/>
  <cp:lastModifiedBy>Devin.Bowen</cp:lastModifiedBy>
  <cp:revision/>
  <dcterms:created xsi:type="dcterms:W3CDTF">2025-02-10T16:00:57Z</dcterms:created>
  <dcterms:modified xsi:type="dcterms:W3CDTF">2025-04-27T18:09:09Z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0x0101002C234CA5D8B9C0489F2E7483840327A2</vt:lpwstr>
  </property>
</Properties>
</file>