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e72c3ce3cb957e/Área de Trabalho/"/>
    </mc:Choice>
  </mc:AlternateContent>
  <xr:revisionPtr revIDLastSave="18" documentId="13_ncr:1_{30DB24B8-8453-4A70-BD08-33A94BDD292C}" xr6:coauthVersionLast="47" xr6:coauthVersionMax="47" xr10:uidLastSave="{35FFCAE1-1D0F-4D72-A842-5B1D10D9C50C}"/>
  <bookViews>
    <workbookView xWindow="2196" yWindow="1608" windowWidth="17280" windowHeight="8880" firstSheet="1" activeTab="2" xr2:uid="{00000000-000D-0000-FFFF-FFFF00000000}"/>
  </bookViews>
  <sheets>
    <sheet name="Base de Vendas" sheetId="1" r:id="rId1"/>
    <sheet name="Metas Vendedores (Mensal)" sheetId="2" r:id="rId2"/>
    <sheet name="Resumo Mensal (MTD)" sheetId="3" r:id="rId3"/>
    <sheet name="Metas x Vendedor (Mensal)" sheetId="4" r:id="rId4"/>
    <sheet name="Por produto" sheetId="11" r:id="rId5"/>
    <sheet name="Painel Vendedor (Mensal)" sheetId="5" r:id="rId6"/>
    <sheet name="Análises (Tipo &amp; UF) - Mensal" sheetId="6" r:id="rId7"/>
    <sheet name="Rankings (Mensal)" sheetId="7" r:id="rId8"/>
    <sheet name="Gráficos (Mensal)" sheetId="8" r:id="rId9"/>
    <sheet name="Alertas (Mensal)" sheetId="9" r:id="rId10"/>
    <sheet name="Como Usar" sheetId="10" r:id="rId11"/>
  </sheets>
  <definedNames>
    <definedName name="_xlnm._FilterDatabase" localSheetId="0" hidden="1">'Base de Vendas'!$A$1:$L$631</definedName>
    <definedName name="_xlnm._FilterDatabase" localSheetId="1" hidden="1">'Metas Vendedores (Mensal)'!$A$1:$C$203</definedName>
    <definedName name="_xlnm._FilterDatabase" localSheetId="3" hidden="1">'Metas x Vendedor (Mensal)'!$A$3:$F$10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7" i="5" s="1"/>
  <c r="B3" i="8"/>
  <c r="I13" i="7"/>
  <c r="E12" i="7"/>
  <c r="I11" i="7"/>
  <c r="E10" i="7"/>
  <c r="I9" i="7"/>
  <c r="E8" i="7"/>
  <c r="I7" i="7"/>
  <c r="E6" i="7"/>
  <c r="I5" i="7"/>
  <c r="E4" i="7"/>
  <c r="F7" i="6"/>
  <c r="B4" i="6"/>
  <c r="J17" i="5"/>
  <c r="E17" i="5" s="1"/>
  <c r="J15" i="5"/>
  <c r="E15" i="5" s="1"/>
  <c r="I15" i="5"/>
  <c r="G15" i="5" s="1"/>
  <c r="J10" i="5"/>
  <c r="E10" i="5" s="1"/>
  <c r="J8" i="5"/>
  <c r="E8" i="5" s="1"/>
  <c r="B10" i="4"/>
  <c r="A10" i="4"/>
  <c r="B9" i="4"/>
  <c r="A9" i="4"/>
  <c r="B8" i="4"/>
  <c r="A8" i="4"/>
  <c r="B7" i="4"/>
  <c r="A7" i="4"/>
  <c r="B6" i="4"/>
  <c r="A6" i="4"/>
  <c r="B5" i="4"/>
  <c r="A5" i="4"/>
  <c r="C4" i="4"/>
  <c r="E4" i="4" s="1"/>
  <c r="B4" i="4"/>
  <c r="A4" i="4"/>
  <c r="B13" i="3"/>
  <c r="E6" i="3"/>
  <c r="B6" i="3"/>
  <c r="E5" i="3"/>
  <c r="B5" i="3"/>
  <c r="J13" i="7" s="1"/>
  <c r="E3" i="3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C10" i="4" s="1"/>
  <c r="E10" i="4" s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F4" i="6" s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A10" i="7" s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C6" i="4" l="1"/>
  <c r="E6" i="4" s="1"/>
  <c r="C8" i="4"/>
  <c r="E8" i="4" s="1"/>
  <c r="A12" i="7"/>
  <c r="B8" i="7"/>
  <c r="B4" i="7"/>
  <c r="I17" i="5"/>
  <c r="G17" i="5" s="1"/>
  <c r="B6" i="7"/>
  <c r="B8" i="9"/>
  <c r="A4" i="7"/>
  <c r="B10" i="7"/>
  <c r="D6" i="4"/>
  <c r="C11" i="9"/>
  <c r="I10" i="5"/>
  <c r="G10" i="5" s="1"/>
  <c r="A6" i="7"/>
  <c r="B12" i="7"/>
  <c r="D10" i="4"/>
  <c r="D8" i="4"/>
  <c r="D4" i="4"/>
  <c r="A8" i="7"/>
  <c r="K8" i="5"/>
  <c r="D8" i="5" s="1"/>
  <c r="C8" i="9"/>
  <c r="D8" i="9" s="1"/>
  <c r="B16" i="3"/>
  <c r="C5" i="5"/>
  <c r="I7" i="5"/>
  <c r="G7" i="5" s="1"/>
  <c r="K10" i="5"/>
  <c r="D10" i="5" s="1"/>
  <c r="K15" i="5"/>
  <c r="D15" i="5" s="1"/>
  <c r="K17" i="5"/>
  <c r="D17" i="5" s="1"/>
  <c r="B5" i="6"/>
  <c r="F4" i="7"/>
  <c r="F6" i="7"/>
  <c r="F8" i="7"/>
  <c r="F10" i="7"/>
  <c r="F12" i="7"/>
  <c r="C5" i="4"/>
  <c r="E5" i="4" s="1"/>
  <c r="C7" i="4"/>
  <c r="E7" i="4" s="1"/>
  <c r="C9" i="4"/>
  <c r="E9" i="4" s="1"/>
  <c r="B6" i="5"/>
  <c r="J7" i="5"/>
  <c r="I4" i="7"/>
  <c r="I6" i="7"/>
  <c r="I8" i="7"/>
  <c r="I10" i="7"/>
  <c r="I12" i="7"/>
  <c r="B9" i="9"/>
  <c r="C6" i="5"/>
  <c r="I11" i="5"/>
  <c r="G11" i="5" s="1"/>
  <c r="F5" i="6"/>
  <c r="J4" i="7"/>
  <c r="J6" i="7"/>
  <c r="J8" i="7"/>
  <c r="J10" i="7"/>
  <c r="J12" i="7"/>
  <c r="C9" i="9"/>
  <c r="B19" i="3"/>
  <c r="B9" i="8" s="1"/>
  <c r="B8" i="5"/>
  <c r="B9" i="5" s="1"/>
  <c r="B6" i="6"/>
  <c r="A5" i="7"/>
  <c r="A7" i="7"/>
  <c r="A9" i="7"/>
  <c r="A11" i="7"/>
  <c r="A13" i="7"/>
  <c r="B14" i="8"/>
  <c r="B8" i="3"/>
  <c r="B20" i="3"/>
  <c r="B10" i="8" s="1"/>
  <c r="C8" i="5"/>
  <c r="I9" i="5"/>
  <c r="G9" i="5" s="1"/>
  <c r="I16" i="5"/>
  <c r="G16" i="5" s="1"/>
  <c r="I18" i="5"/>
  <c r="G18" i="5" s="1"/>
  <c r="B5" i="7"/>
  <c r="B7" i="7"/>
  <c r="B9" i="7"/>
  <c r="B11" i="7"/>
  <c r="B13" i="7"/>
  <c r="B15" i="8"/>
  <c r="B10" i="9"/>
  <c r="J6" i="5"/>
  <c r="J9" i="5"/>
  <c r="J14" i="5"/>
  <c r="J16" i="5"/>
  <c r="J18" i="5"/>
  <c r="F6" i="6"/>
  <c r="E5" i="7"/>
  <c r="E7" i="7"/>
  <c r="E9" i="7"/>
  <c r="E11" i="7"/>
  <c r="E13" i="7"/>
  <c r="B16" i="8"/>
  <c r="C10" i="9"/>
  <c r="B10" i="3"/>
  <c r="F5" i="7"/>
  <c r="F7" i="7"/>
  <c r="F9" i="7"/>
  <c r="F11" i="7"/>
  <c r="F13" i="7"/>
  <c r="B17" i="8"/>
  <c r="B7" i="9"/>
  <c r="B11" i="9"/>
  <c r="B12" i="3"/>
  <c r="I8" i="5"/>
  <c r="G8" i="5" s="1"/>
  <c r="I19" i="5"/>
  <c r="G19" i="5" s="1"/>
  <c r="F8" i="6"/>
  <c r="J5" i="7"/>
  <c r="J7" i="7"/>
  <c r="J9" i="7"/>
  <c r="J11" i="7"/>
  <c r="C7" i="9"/>
  <c r="D11" i="9" l="1"/>
  <c r="B7" i="6"/>
  <c r="C4" i="6" s="1"/>
  <c r="B14" i="3"/>
  <c r="C9" i="5"/>
  <c r="C7" i="5"/>
  <c r="K16" i="5"/>
  <c r="D16" i="5" s="1"/>
  <c r="E16" i="5"/>
  <c r="D5" i="4"/>
  <c r="D9" i="4"/>
  <c r="K18" i="5"/>
  <c r="D18" i="5" s="1"/>
  <c r="E18" i="5"/>
  <c r="K14" i="5"/>
  <c r="D14" i="5" s="1"/>
  <c r="E14" i="5"/>
  <c r="B11" i="3"/>
  <c r="B4" i="8"/>
  <c r="K9" i="5"/>
  <c r="D9" i="5" s="1"/>
  <c r="E9" i="5"/>
  <c r="D9" i="9"/>
  <c r="D10" i="9"/>
  <c r="K6" i="5"/>
  <c r="D6" i="5" s="1"/>
  <c r="E6" i="5"/>
  <c r="B2" i="8"/>
  <c r="B18" i="3"/>
  <c r="B8" i="8" s="1"/>
  <c r="B17" i="3"/>
  <c r="E7" i="5"/>
  <c r="K7" i="5"/>
  <c r="D7" i="5" s="1"/>
  <c r="D7" i="4"/>
  <c r="B15" i="3"/>
  <c r="D7" i="9"/>
  <c r="B9" i="3"/>
  <c r="C5" i="6" l="1"/>
  <c r="C6" i="6"/>
  <c r="F9" i="4"/>
  <c r="F5" i="4"/>
  <c r="F6" i="4"/>
  <c r="F10" i="4"/>
  <c r="F8" i="4"/>
  <c r="F4" i="4"/>
  <c r="F7" i="4"/>
</calcChain>
</file>

<file path=xl/sharedStrings.xml><?xml version="1.0" encoding="utf-8"?>
<sst xmlns="http://schemas.openxmlformats.org/spreadsheetml/2006/main" count="2691" uniqueCount="363">
  <si>
    <t>Data</t>
  </si>
  <si>
    <t>Vendedor</t>
  </si>
  <si>
    <t>Cliente</t>
  </si>
  <si>
    <t>Tipo de Cliente</t>
  </si>
  <si>
    <t>UF</t>
  </si>
  <si>
    <t>Produto</t>
  </si>
  <si>
    <t>Quantidade</t>
  </si>
  <si>
    <t>Preço Unitário (R$)</t>
  </si>
  <si>
    <t>Custo Unitário (R$)</t>
  </si>
  <si>
    <t>Valor Total (R$)</t>
  </si>
  <si>
    <t>Margem Total (R$)</t>
  </si>
  <si>
    <t>Margem (%)</t>
  </si>
  <si>
    <t>Michele Rosete</t>
  </si>
  <si>
    <t>CONSORCIO INTERMUNICIPAL DE SAUDE DO VALE DO RIBEIRA E LITORAL SUL</t>
  </si>
  <si>
    <t>SP</t>
  </si>
  <si>
    <t>DCHBS-4726</t>
  </si>
  <si>
    <t>NT-3F90H-PTFE</t>
  </si>
  <si>
    <t>RHHDE-35150</t>
  </si>
  <si>
    <t>DCHBS-0626</t>
  </si>
  <si>
    <t>INSTITUTO DE RESPONSABILIDADE SOCIAL SíRIO LIBANêS</t>
  </si>
  <si>
    <t>DSB-0408</t>
  </si>
  <si>
    <t>INSTITUTO FERNANDO FILGUEIRAS - IFF</t>
  </si>
  <si>
    <t>BA</t>
  </si>
  <si>
    <t>DSB-0413</t>
  </si>
  <si>
    <t>Ricardo santos</t>
  </si>
  <si>
    <t>UNIVERSIDADE ESTADUAL DO RIO DE JANEIRO</t>
  </si>
  <si>
    <t>RJ</t>
  </si>
  <si>
    <t>GT*-1420</t>
  </si>
  <si>
    <t>Noemia Sattin</t>
  </si>
  <si>
    <t>MUNICIPIO DE ESTANCIA VELHA</t>
  </si>
  <si>
    <t>RS</t>
  </si>
  <si>
    <t>DSB-0720</t>
  </si>
  <si>
    <t>HOSPITAL 22 DE OUTUBRO SOCIEDADE LTDA</t>
  </si>
  <si>
    <t>CCIPU-0230</t>
  </si>
  <si>
    <t>FUNDACAO SERVICOS DE SAUDE DE NOVA ANDRADINA</t>
  </si>
  <si>
    <t>MS</t>
  </si>
  <si>
    <t>USB-0520*</t>
  </si>
  <si>
    <t>Felipe Curi</t>
  </si>
  <si>
    <t>Hospital Geral de Belem</t>
  </si>
  <si>
    <t>PA</t>
  </si>
  <si>
    <t>DSB-0520*</t>
  </si>
  <si>
    <t>FUNDO MUNICIPAL DE SAUDE - FMS</t>
  </si>
  <si>
    <t>SLING-IUF</t>
  </si>
  <si>
    <t>FUNDO MUNICIPAL DE SAUDE</t>
  </si>
  <si>
    <t>PR</t>
  </si>
  <si>
    <t>HOSPITAL OPHIR LOYOLA</t>
  </si>
  <si>
    <t>DAHBH-0626</t>
  </si>
  <si>
    <t>DCHBH-0628</t>
  </si>
  <si>
    <t>EMPRESA BRASILEIRA DE SERVICOS HOSPITALARES - EBSERH</t>
  </si>
  <si>
    <t>MG</t>
  </si>
  <si>
    <t>DSB-0513</t>
  </si>
  <si>
    <t>SECRETARIA DE ESTADO DE DEFESA CIVIL</t>
  </si>
  <si>
    <t>SCHMLS-062232</t>
  </si>
  <si>
    <t>SCHMLS-472232</t>
  </si>
  <si>
    <t>'537014</t>
  </si>
  <si>
    <t>DAHBS-4726</t>
  </si>
  <si>
    <t>SPDM - ASSOCIACAO PAULISTA PARA O DESENVOLVIMENTO DA MEDICINA</t>
  </si>
  <si>
    <t>INSTITUTO ACQUA - ACAO, CIDADANIA, QUALIDADE URBANA E AMBIEN</t>
  </si>
  <si>
    <t>DSB-0505*</t>
  </si>
  <si>
    <t>Juliana Kluge</t>
  </si>
  <si>
    <t>CLINIUNIVET HOSPITAL VETERINARIO LTDA</t>
  </si>
  <si>
    <t>SECRETARIA DA SAUDE</t>
  </si>
  <si>
    <t>TO</t>
  </si>
  <si>
    <t>SLVE</t>
  </si>
  <si>
    <t>SE</t>
  </si>
  <si>
    <t>GT*-1424</t>
  </si>
  <si>
    <t>GT*-1817</t>
  </si>
  <si>
    <t>GT*-2820</t>
  </si>
  <si>
    <t>COMANDO DA AERONAUTICA</t>
  </si>
  <si>
    <t>SLING-IUF*</t>
  </si>
  <si>
    <t>COMANDO DA 1 BRIGADA DE INFANTARIA DE SELVA</t>
  </si>
  <si>
    <t>RR</t>
  </si>
  <si>
    <t>Distribuidores</t>
  </si>
  <si>
    <t>UNIMED DE SAO CARLOS - COOPERATIVA DE TRABALHO MEDICO</t>
  </si>
  <si>
    <t>S1ADG24</t>
  </si>
  <si>
    <t>W-SP-24F</t>
  </si>
  <si>
    <t>MED-ONE PRODUTOS MéDICOS LTDA-EPP</t>
  </si>
  <si>
    <t>FL272R</t>
  </si>
  <si>
    <t>SECRETARIA DE ESTADO DA SAUDE - SES</t>
  </si>
  <si>
    <t>PB</t>
  </si>
  <si>
    <t>MT</t>
  </si>
  <si>
    <t>SDRAP</t>
  </si>
  <si>
    <t>PEG-20</t>
  </si>
  <si>
    <t>UNIVERSIDADE ESTADUAL DE PONTA GROSSA</t>
  </si>
  <si>
    <t>ACE DISTRIBUIDORA LTDA</t>
  </si>
  <si>
    <t>GO</t>
  </si>
  <si>
    <t>CMPPH-1230</t>
  </si>
  <si>
    <t>CMPPH-1430</t>
  </si>
  <si>
    <t>CMPPH-1030</t>
  </si>
  <si>
    <t>USB-6520</t>
  </si>
  <si>
    <t>CCIPD-0560</t>
  </si>
  <si>
    <t>CCIPD-0460</t>
  </si>
  <si>
    <t>SP-19F120R-PTFE</t>
  </si>
  <si>
    <t>SOCIEDADE BRASILEIRA CAMINHO DE DAMASCO</t>
  </si>
  <si>
    <t>BLDS-14524</t>
  </si>
  <si>
    <t>BLDS-14528</t>
  </si>
  <si>
    <t>BLDS-14532</t>
  </si>
  <si>
    <t>Paulo Chiarelli</t>
  </si>
  <si>
    <t>LA MEDIC RJ LTDA</t>
  </si>
  <si>
    <t>FUNDACAO PARAIBANA DE GESTAO EM SAUDE - PB SAUDE</t>
  </si>
  <si>
    <t>AHHDE-35150</t>
  </si>
  <si>
    <t>MEDIMAC COMéRCIO DE ARTIGOS MéDICOS LTDA-ME</t>
  </si>
  <si>
    <t>DCHBH-4726</t>
  </si>
  <si>
    <t>SPDM - ASSOCIAçãO PAULISTA P/ O DESENVOLVIMENTO DA MEDICINA</t>
  </si>
  <si>
    <t>DAHBS-0428</t>
  </si>
  <si>
    <t>BENEFICENCIA HOSPITALAR DE CESARIO LANGE</t>
  </si>
  <si>
    <t>CE</t>
  </si>
  <si>
    <t>ASSOCIACAO DE PROTECAO A MATERNIDADE E A INFANCIA DE RIO VER</t>
  </si>
  <si>
    <t>TECNOMEDICAL PRODUTOS MEDICOS LTDA</t>
  </si>
  <si>
    <t>RG01-B</t>
  </si>
  <si>
    <t>SCCH-0840</t>
  </si>
  <si>
    <t>VH102</t>
  </si>
  <si>
    <t>VH202</t>
  </si>
  <si>
    <t>IDORAMED IMPORTACAO, DISTRIBUICAO E COMERCIO DE MATERIAIS MEDICOS HOSPITALARES L</t>
  </si>
  <si>
    <t>INSTITUTO NACIONAL DE DESENVOLVIMENTO SOCIAL E HUMANO - INDSH</t>
  </si>
  <si>
    <t>SC</t>
  </si>
  <si>
    <t>FUNDACAO MANOEL DA SILVA ALMEIDA</t>
  </si>
  <si>
    <t>PE</t>
  </si>
  <si>
    <t>INSTITUTO ACQUA - ACAO, CIDADANIA, QUALIDADE URBANA E AMBIENTAL</t>
  </si>
  <si>
    <t>CONSORCIO INTERMUNICIPAL DE SAUDE DO VALE DO IVAI E REGIAO</t>
  </si>
  <si>
    <t>PEREIRA E PEREIRA PRESTACAO DE SERVICOS MEDICOS LTDA</t>
  </si>
  <si>
    <t>UF-11/13-45</t>
  </si>
  <si>
    <t>FUNDACAO ESTATAL DE ATENCAO EM SAUDE DO ESTADO DO PARANA</t>
  </si>
  <si>
    <t>DCHBS-0312</t>
  </si>
  <si>
    <t>DCHBS-0314</t>
  </si>
  <si>
    <t>DCHBS-0414</t>
  </si>
  <si>
    <t>DCHBS-0416</t>
  </si>
  <si>
    <t>IRMN-4606</t>
  </si>
  <si>
    <t>UF-10/12-35</t>
  </si>
  <si>
    <t>UF-11/13-35</t>
  </si>
  <si>
    <t>MELINA BASSO</t>
  </si>
  <si>
    <t>NEO MEDICAL COMERCIAL HOSPITALAR LTDA</t>
  </si>
  <si>
    <t>DCHBH-0626</t>
  </si>
  <si>
    <t>FAMESP FUNDAçãO PARA O DESENVOLVIMENTO MéDICO HOSPITALAR</t>
  </si>
  <si>
    <t>ACH-1820</t>
  </si>
  <si>
    <t>HOSPITAL MUNICIPAL SAO JOSE</t>
  </si>
  <si>
    <t>CIRURGICA TRES MARIAS LTDA.</t>
  </si>
  <si>
    <t>TSB-0720</t>
  </si>
  <si>
    <t>INSTITUTO DE PREVIDENCIA DOS SERVIDORES DO ESTADO MG</t>
  </si>
  <si>
    <t>SLVE-DB</t>
  </si>
  <si>
    <t>REDE MUNICIPAL DR. MARIO GATTI DE URG. E EMERG. HOSPITALAR</t>
  </si>
  <si>
    <t>BR TOTAL HEALTH COMERCIO, SERVICOS E IMPORTACAO LTDA</t>
  </si>
  <si>
    <t>PEG-24</t>
  </si>
  <si>
    <t>FUNDO ESTADUAL DE SAUDE DO ESTADO DA BAHIA</t>
  </si>
  <si>
    <t>ANGULAR PRODUTOS PARA SAúDE LTDA-ME</t>
  </si>
  <si>
    <t>GT*-1428</t>
  </si>
  <si>
    <t>GT*-1828</t>
  </si>
  <si>
    <t>DAHBS-0416</t>
  </si>
  <si>
    <t>ASSOCIACAO PIAUIENSE DE COMBATE AO CANCER ALCENOR ALMEIDA</t>
  </si>
  <si>
    <t>PI</t>
  </si>
  <si>
    <t>SOCIEDADE BENEFICENTE SAO CAMILO</t>
  </si>
  <si>
    <t>DAHBT-0628</t>
  </si>
  <si>
    <t>COMERCIAL PABLOS LTDA.</t>
  </si>
  <si>
    <t>EMPRESA BRASILEIRA DE SERVICOS HOSPITALARES-EBSERH</t>
  </si>
  <si>
    <t>AP</t>
  </si>
  <si>
    <t>HOSPITAL MILITAR DE AREA DE RECIFE</t>
  </si>
  <si>
    <t>LACMED PRODUTOS MEDICO-HOSPITALARES LTDA</t>
  </si>
  <si>
    <t>SECRETARIA DE ESTADO DA SEGURANCA PUBLICA</t>
  </si>
  <si>
    <t>FUNDO MUNICIPAL DE SAUDE DE MINEIROS</t>
  </si>
  <si>
    <t>HOSPITAL BENEFICIENTE SãO LUCAS DE SãO PEDRO</t>
  </si>
  <si>
    <t>MUNICIPIO DE SANTA GERTRUDES</t>
  </si>
  <si>
    <t>HOSPITAL UNIVERISTáRIO DA UFMA - EBSERH</t>
  </si>
  <si>
    <t>MA</t>
  </si>
  <si>
    <t>MEDPOA COMERCIO DE MATERIAL HOSPITALAR LTDA</t>
  </si>
  <si>
    <t>INSTITUTO DE SAUDE E GESTAO HOSPITALAR</t>
  </si>
  <si>
    <t>SECRETARIA MUNICIPAL DA SAUDE</t>
  </si>
  <si>
    <t>SCHMLH-472232</t>
  </si>
  <si>
    <t>HOSPITAL SAO LUIZ GONZAGA</t>
  </si>
  <si>
    <t>ASSOCIACAO HOSPITALAR LENOIR VARGAS FERREIRA</t>
  </si>
  <si>
    <t>FUNDACAO DA AREA DA SAUDE DE CAMPINAS - FASCAMP</t>
  </si>
  <si>
    <t>UNIVERSIDADE ESTADUAL DE LONDRINA</t>
  </si>
  <si>
    <t>INSTITUTO DE ASSISTENCIA MEDICA AO SERVIDOR PUBLICO ESTADUAL</t>
  </si>
  <si>
    <t>DAHBT-0626</t>
  </si>
  <si>
    <t>FUNDO MUNICIPAL DE SAUDE DE CHAPADAO DO SUL-MS</t>
  </si>
  <si>
    <t>MUNICIPIO DE VARGEM GRANDE DO SUL</t>
  </si>
  <si>
    <t>GT*-1424.</t>
  </si>
  <si>
    <t>FUNDO ESTADUAL DE SAUDE</t>
  </si>
  <si>
    <t>SECRETARIA DE ESTADO DE SAúDE</t>
  </si>
  <si>
    <t>SINERGIA MEDICA COMERCIO DE ARTIGOS MEDICOS E ORTOPEDICOS LTDA</t>
  </si>
  <si>
    <t>FUNDACAO UNIVERSIDADE FEDERAL DE CIENCIAS DA SAUDE DE PORTO ALEGRE</t>
  </si>
  <si>
    <t>HOSPITAL DO SERVIDOR PúBLICO MUNICIPAL</t>
  </si>
  <si>
    <t>HOSPITAL DAS CLINICAS DA FACULDADE DE MEDICINA DE MARILIA</t>
  </si>
  <si>
    <t>SURGIMED COM ATAC DE PROD CIRUR E HOSP DO NORDESTE EIRELI</t>
  </si>
  <si>
    <t>SCNH-1430</t>
  </si>
  <si>
    <t>MUNICIPIO DE MATUPA</t>
  </si>
  <si>
    <t>LWM MATERIAIS MEDICOS E CIRURGICOS LTDA</t>
  </si>
  <si>
    <t>CCIPU-0360</t>
  </si>
  <si>
    <t>CCIPU-0460</t>
  </si>
  <si>
    <t>EBDU-AR-5-4-70-5</t>
  </si>
  <si>
    <t>CCH-1040</t>
  </si>
  <si>
    <t>HUGO FERNANDO VALEGUSZKI LENZI</t>
  </si>
  <si>
    <t>NEWCARE COMERCIO E SERVIÇOS LTDA</t>
  </si>
  <si>
    <t>QB COMERCIO LTDA</t>
  </si>
  <si>
    <t>FUNDACAO DE DESENVOLVIMENTO DA UNICAMP FUNCAMP</t>
  </si>
  <si>
    <t>RIO GRANDE DO NORTE SECRETARIA DA SAUDE PUBLICA</t>
  </si>
  <si>
    <t>RN</t>
  </si>
  <si>
    <t>DAHBS-0328</t>
  </si>
  <si>
    <t>FUNDACAO UNIVERSITARIA EVANGELICA</t>
  </si>
  <si>
    <t>CENTRO OESTE COMÉRCIO E SERVIÇOS EIRELI</t>
  </si>
  <si>
    <t>HOSPITAL UNIVERSITARIO GAFFREE E GUINLE - HUGG</t>
  </si>
  <si>
    <t>INSTITUTO DE SAUDE - ORGANIZACAO SOCIAL FACERES</t>
  </si>
  <si>
    <t>GMEDICA - GESTAO MEDICA COMERCIO E REPRESENTACOES LIMITADA</t>
  </si>
  <si>
    <t>FUND SOCIAL RURAL DE COLATINA</t>
  </si>
  <si>
    <t>ES</t>
  </si>
  <si>
    <t>HOSPMED SERVIçOS MéDICOS EIRELI</t>
  </si>
  <si>
    <t>MUNICIPIO DE ILHABELA</t>
  </si>
  <si>
    <t>GT*-1820</t>
  </si>
  <si>
    <t>F. DUTRA DA SILVA SOLUCOES DE NEGOCIOS LTDA</t>
  </si>
  <si>
    <t>CMPPH-8530</t>
  </si>
  <si>
    <t>GT*-2428.</t>
  </si>
  <si>
    <t>FORMA MEDICAL COMERCIO DE PRODUTOS HOSPITALARES LTDA</t>
  </si>
  <si>
    <t>SECRETARIA DE ESTADO DA SAUDE</t>
  </si>
  <si>
    <t>FUNDO MUNICIPAL DE SAUDE DE RIO QUENTE</t>
  </si>
  <si>
    <t>TREMED MATERIAIS E EQUIPAMENTOS HOSPITALARES LTDA</t>
  </si>
  <si>
    <t>GT*-1814</t>
  </si>
  <si>
    <t>PLANTAO COMERCIO E REPR. EIRELI</t>
  </si>
  <si>
    <t>DF</t>
  </si>
  <si>
    <t>MUNICIPIO DE PORTO ALEGRE</t>
  </si>
  <si>
    <t>DAHBT-4726</t>
  </si>
  <si>
    <t>SMPPH-1030</t>
  </si>
  <si>
    <t>UF-10/12-45</t>
  </si>
  <si>
    <t>EMPRESA PUBLICA DE SAUDE DO RIO DE JANEIRO S/A - RIOSAUDE</t>
  </si>
  <si>
    <t>MQP-3030</t>
  </si>
  <si>
    <t>MQP-1515</t>
  </si>
  <si>
    <t>MUNICIPIO DE PAULINIA</t>
  </si>
  <si>
    <t>GT*-2424</t>
  </si>
  <si>
    <t>MAGNUS MED COMERCIO DE PRODUTOS HOSPITALARES E MEDICAMENTOS LTDA</t>
  </si>
  <si>
    <t>GT*-1417</t>
  </si>
  <si>
    <t>GT*-2017</t>
  </si>
  <si>
    <t>GT*-2020</t>
  </si>
  <si>
    <t>GT*-2434</t>
  </si>
  <si>
    <t>DISTRITO FEDERAL SECRETARIA DE SAUDE</t>
  </si>
  <si>
    <t>SECRETARIA DA SAUDE DO ESTADO DO CEARA</t>
  </si>
  <si>
    <t>VH302</t>
  </si>
  <si>
    <t>FUNDACAO HOSPITALAR DE JANAUBA</t>
  </si>
  <si>
    <t>HOSPITAL REGIONAL DO AGRESTE DR. WALDEMIRO FERREIRA</t>
  </si>
  <si>
    <t>GT*-1414.</t>
  </si>
  <si>
    <t>VITAL CIRURGICA - COMERCIO DE ARTIGOS MEDICOS E ORTOPEDICOS</t>
  </si>
  <si>
    <t>UROGASTRO - MEDICINA ESPECIALIZADA</t>
  </si>
  <si>
    <t>RO</t>
  </si>
  <si>
    <t>RHHDE-32150</t>
  </si>
  <si>
    <t>HOSPITAL NOSSA SENHORA DAS GRACAS</t>
  </si>
  <si>
    <t>FUNDAÇÃO DE SAUDE SAPUCAIA DO SUL</t>
  </si>
  <si>
    <t>MUNICIPIO DE QUELUZ</t>
  </si>
  <si>
    <t>AM</t>
  </si>
  <si>
    <t>BLDS-14536</t>
  </si>
  <si>
    <t>INSTITUTO NACIONAL DE DESENVOLVIMENTO SOCIAL E HUMANO - INDS</t>
  </si>
  <si>
    <t>GT*-1814.</t>
  </si>
  <si>
    <t>HOSPITAL GERAL DE FORTALEZA</t>
  </si>
  <si>
    <t>INSTITUTO SOCIAL MAIS SAUDE</t>
  </si>
  <si>
    <t>HOSPITAL FEDERAL DA LAGOA</t>
  </si>
  <si>
    <t>'94943</t>
  </si>
  <si>
    <t>'94945</t>
  </si>
  <si>
    <t>INSTITUTO DE DESENVOLVIMENTO, ENSINO E ASSISTENCIA A SAUDE -</t>
  </si>
  <si>
    <t>SAFE MEDICAL-PRODUTOS HOSPITALARES LTDA</t>
  </si>
  <si>
    <t>UNIVERSIDADE DE SAO PAULO</t>
  </si>
  <si>
    <t>INSTITUTO NACIONAL DE PESQUISA E GESTAO EM SAUDE - INSAUDE</t>
  </si>
  <si>
    <t>MUNICIPIO DE PARACATU</t>
  </si>
  <si>
    <t>USB-0515*</t>
  </si>
  <si>
    <t>ESDA-AR-6/30-20</t>
  </si>
  <si>
    <t>HOSPITAL DAS CLINICAS DA FACULDADE DE MEDICINA DA U S P</t>
  </si>
  <si>
    <t>K2013154</t>
  </si>
  <si>
    <t>FUNDO ESTADUAL DE SAúDE</t>
  </si>
  <si>
    <t>MEDCOM MEDICAMENTOS E MATERIAIS HOSPITALARES LTDA</t>
  </si>
  <si>
    <t>CIRúRGICA RIBEIRãO PRETO LTDA ME</t>
  </si>
  <si>
    <t>DSB-0720*</t>
  </si>
  <si>
    <t>IRMANDADE DA SANTA CASA DE MISERICORDIA DE SAO BERNARDO DO CAMPO</t>
  </si>
  <si>
    <t>FUNDO MUNICIPAL DE SAUDE DE BETIM</t>
  </si>
  <si>
    <t>UNIDADE DE TERAPIA RENAL DE PATO BRANCO LTDA</t>
  </si>
  <si>
    <t>HOSPITAL CENTRAL DO EXERCITO</t>
  </si>
  <si>
    <t>GT*-1812</t>
  </si>
  <si>
    <t>GT*-2017.</t>
  </si>
  <si>
    <t>FUNDO ESTADUAL DE SAUDE DO PARANA - FUNSAUDE</t>
  </si>
  <si>
    <t>HOSPITAL CEPOG LTDA</t>
  </si>
  <si>
    <t>MUNICIPIO DE CASTRO</t>
  </si>
  <si>
    <t>SERVICO AUTONOMO HOSPITALAR</t>
  </si>
  <si>
    <t>INSTITUTO SOCRATES GUANAES - ISG</t>
  </si>
  <si>
    <t>CATER-470</t>
  </si>
  <si>
    <t>HOSPITAL SAO JOSE LTDA</t>
  </si>
  <si>
    <t>ASSOCIACAO FILANTROPICA NOVA ESPERANCA</t>
  </si>
  <si>
    <t>MUNICIPIO DE PIRANGI</t>
  </si>
  <si>
    <t>MUNICIPIO DO RIO DE JANEIRO</t>
  </si>
  <si>
    <t>SECRETARIA DO ESTADO DA SAUDE</t>
  </si>
  <si>
    <t>ICB-0710</t>
  </si>
  <si>
    <t>FUNDACAO DE ASSISTENCIA ESTUDO E PESQUISA DE UBERLANDIA</t>
  </si>
  <si>
    <t>Mês (fim)</t>
  </si>
  <si>
    <t>Meta Mensal (R$)</t>
  </si>
  <si>
    <t>Total mensal</t>
  </si>
  <si>
    <t>RELATÓRIO MENSAL - DIRETORIA (ULTRA v2)</t>
  </si>
  <si>
    <t>Mês de Referência (informe qualquer data do mês):</t>
  </si>
  <si>
    <t>Meta Geral do MÊS (R$):</t>
  </si>
  <si>
    <t>Início do Mês:</t>
  </si>
  <si>
    <t>Início Mês Anterior:</t>
  </si>
  <si>
    <t>Fim do Mês:</t>
  </si>
  <si>
    <t>Fim Mês Anterior:</t>
  </si>
  <si>
    <t>Faturamento MTD (R$)</t>
  </si>
  <si>
    <t>% Atingimento da Meta Mensal</t>
  </si>
  <si>
    <t>Faturamento Mês Anterior (R$)</t>
  </si>
  <si>
    <t>% Crescimento vs Mês Anterior</t>
  </si>
  <si>
    <t>Nº de Vendas (linhas) - MTD</t>
  </si>
  <si>
    <t>Qtd Total Vendida (unid) - MTD</t>
  </si>
  <si>
    <t>Ticket Médio (R$) - MTD</t>
  </si>
  <si>
    <t>Preço Médio (R$) - MTD</t>
  </si>
  <si>
    <t>Margem Total (R$) - MTD</t>
  </si>
  <si>
    <t>Margem (%) - MTD</t>
  </si>
  <si>
    <t>Faturamento - Cliente Final (R$)</t>
  </si>
  <si>
    <t>Faturamento - Distribuidores (R$)</t>
  </si>
  <si>
    <t>Faturamento - Público (R$)</t>
  </si>
  <si>
    <t>Acompanhamento de Metas por Vendedor - Mensal (MTD)</t>
  </si>
  <si>
    <t>Realizado MTD (R$)</t>
  </si>
  <si>
    <t>% Atingimento</t>
  </si>
  <si>
    <t>Diferença (R$)</t>
  </si>
  <si>
    <t>Ranking</t>
  </si>
  <si>
    <t>Painel Individual do Vendedor - Mensal</t>
  </si>
  <si>
    <t>Selecione o Vendedor:</t>
  </si>
  <si>
    <t>Top 5 Clientes (MTD)</t>
  </si>
  <si>
    <t>Qtd Vendas (linhas)</t>
  </si>
  <si>
    <t>Ticket Médio (R$)</t>
  </si>
  <si>
    <t>Top 5 Produtos (MTD)</t>
  </si>
  <si>
    <t>Análise Mensal por Tipo de Cliente (MTD)</t>
  </si>
  <si>
    <t>Ranking por UF (MTD)</t>
  </si>
  <si>
    <t>Faturamento (R$)</t>
  </si>
  <si>
    <t>Participação (%)</t>
  </si>
  <si>
    <t>Final</t>
  </si>
  <si>
    <t>Distribuidor</t>
  </si>
  <si>
    <t>Público</t>
  </si>
  <si>
    <t>TOTAL</t>
  </si>
  <si>
    <t>Rankings Mensais (MTD)</t>
  </si>
  <si>
    <t>Top Produtos</t>
  </si>
  <si>
    <t>Top Clientes Finais</t>
  </si>
  <si>
    <t>Top Distribuidores</t>
  </si>
  <si>
    <t>Indicador</t>
  </si>
  <si>
    <t>Valor</t>
  </si>
  <si>
    <t>Faturamento MTD</t>
  </si>
  <si>
    <t>Meta Mensal</t>
  </si>
  <si>
    <t>Mês Anterior</t>
  </si>
  <si>
    <t>Tipo</t>
  </si>
  <si>
    <t>Valor (R$)</t>
  </si>
  <si>
    <t>Semana (fim)</t>
  </si>
  <si>
    <t>Alertas Mensais</t>
  </si>
  <si>
    <t>Tipo de Alerta</t>
  </si>
  <si>
    <t>Entidade</t>
  </si>
  <si>
    <t>Detalhe</t>
  </si>
  <si>
    <t>Queda por UF (&gt;=40% vs mês anterior)</t>
  </si>
  <si>
    <t>MTD (R$)</t>
  </si>
  <si>
    <t>Mês Anterior (R$)</t>
  </si>
  <si>
    <t>Variação (%)</t>
  </si>
  <si>
    <t>Como usar este modelo (ULTRA v2 – Mensal):</t>
  </si>
  <si>
    <t>1) Preencha APENAS a aba 'Base de Vendas'. As demais abas se atualizam automaticamente.</t>
  </si>
  <si>
    <t>2) Em 'Resumo Mensal (MTD)', informe em B3 uma data QUALQUER do mês que deseja analisar.</t>
  </si>
  <si>
    <t>3) Lançe as suas METAS MENSAIS por vendedor em 'Metas Vendedores (Mensal)' (use o FIM DO MÊS na coluna 'Mês (fim)').</t>
  </si>
  <si>
    <t>4) Use 'Metas x Vendedor (Mensal)' e 'Painel Vendedor (Mensal)' para acompanhar atingimento e ranking.</t>
  </si>
  <si>
    <t>5) Os gráficos em 'Gráficos (Mensal)' mostram MTD vs meta, distribuição por tipo e evolução semanal do mês.</t>
  </si>
  <si>
    <t>6) Em 'Análises (Tipo &amp; UF) - Mensal' você vê participação por tipo e ranking por estado.</t>
  </si>
  <si>
    <t>7) Em 'Alertas (Mensal)' aparecem quedas relevantes por UF (critério ajustável).</t>
  </si>
  <si>
    <t>Rótulos de Linha</t>
  </si>
  <si>
    <t>Total Geral</t>
  </si>
  <si>
    <t>ago</t>
  </si>
  <si>
    <t>(Tudo)</t>
  </si>
  <si>
    <t>Meses (Data)</t>
  </si>
  <si>
    <t>Soma de Valor Total (R$)</t>
  </si>
  <si>
    <t>Soma de Quantidade</t>
  </si>
  <si>
    <t>dias úteis x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</si>
</sst>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\R\$\ #,##0.00"/>
    <numFmt numFmtId="165" formatCode="dd/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5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/>
  </cellStyleXfs>
  <cellXfs count="21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14" fontId="0" fillId="3" borderId="0" xfId="0" applyNumberFormat="1" applyFill="1"/>
    <xf numFmtId="14" fontId="1" fillId="2" borderId="1" xfId="0" applyNumberFormat="1" applyFont="1" applyFill="1" applyBorder="1"/>
    <xf numFmtId="2" fontId="1" fillId="2" borderId="1" xfId="0" applyNumberFormat="1" applyFont="1" applyFill="1" applyBorder="1"/>
    <xf numFmtId="2" fontId="0" fillId="0" borderId="0" xfId="0" applyNumberFormat="1"/>
    <xf numFmtId="2" fontId="1" fillId="2" borderId="1" xfId="1" applyNumberFormat="1" applyFont="1" applyFill="1" applyBorder="1"/>
    <xf numFmtId="2" fontId="0" fillId="0" borderId="0" xfId="1" applyNumberFormat="1" applyFont="1"/>
    <xf numFmtId="1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</cellXfs>
  <cellStyles count="2">
    <cellStyle name="Moeda" xfId="1" builtinId="4"/>
    <cellStyle name="Normal" xfId="0" builtinId="0"/>
  </cellStyles>
  <dxfs count="4">
    <dxf>
      <font>
        <b/>
        <color rgb="FF9C0006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Faturamento: MTD x Meta Mensal x Mês Anterior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Gráficos (Mensal)!B2:B2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2-4196-8348-5BEF294AF80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Gráficos (Mensal)!B3:B3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2-4196-8348-5BEF294AF80C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Gráficos (Mensal)!B4:B4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2-4196-8348-5BEF294A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None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Distribuição por Tipo de Cliente – MTD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Distribuição por Tipo de Cliente (MTD)</c:v>
          </c:tx>
          <c:spPr>
            <a:ln>
              <a:prstDash val="solid"/>
            </a:ln>
          </c:spPr>
          <c:val>
            <c:numRef>
              <c:f>Gráficos (Mensal)!$B$8:$B$10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9-4AF2-8E54-14481269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Evolução no Mês (Acumulado por Semana)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Evolução Semanal (Acumulado Mês)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Gráficos (Mensal)!$B$14:$B$17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7-4992-99E9-B35CE213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 do Mês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12</xdr:col>
      <xdr:colOff>0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na Basso" refreshedDate="45880.852172685183" createdVersion="8" refreshedVersion="8" minRefreshableVersion="3" recordCount="631" xr:uid="{DEE253D0-83A7-44BF-912B-1263795AB03F}">
  <cacheSource type="worksheet">
    <worksheetSource ref="A1:L1048576" sheet="Base de Vendas"/>
  </cacheSource>
  <cacheFields count="14">
    <cacheField name="Data" numFmtId="14">
      <sharedItems containsNonDate="0" containsDate="1" containsString="0" containsBlank="1" minDate="2025-07-01T00:00:00" maxDate="2025-08-12T00:00:00" count="30">
        <d v="2025-07-01T00:00:00"/>
        <d v="2025-07-02T00:00:00"/>
        <d v="2025-07-03T00:00:00"/>
        <d v="2025-07-04T00:00:00"/>
        <d v="2025-07-07T00:00:00"/>
        <d v="2025-07-08T00:00:00"/>
        <d v="2025-07-10T00:00:00"/>
        <d v="2025-07-11T00:00:00"/>
        <d v="2025-07-14T00:00:00"/>
        <d v="2025-07-15T00:00:00"/>
        <d v="2025-07-16T00:00:00"/>
        <d v="2025-07-17T00:00:00"/>
        <d v="2025-07-18T00:00:00"/>
        <d v="2025-07-21T00:00:00"/>
        <d v="2025-07-22T00:00:00"/>
        <d v="2025-07-23T00:00:00"/>
        <d v="2025-07-24T00:00:00"/>
        <d v="2025-07-25T00:00:00"/>
        <d v="2025-07-28T00:00:00"/>
        <d v="2025-07-29T00:00:00"/>
        <d v="2025-07-30T00:00:00"/>
        <d v="2025-07-31T00:00:00"/>
        <d v="2025-08-01T00:00:00"/>
        <d v="2025-08-04T00:00:00"/>
        <d v="2025-08-05T00:00:00"/>
        <d v="2025-08-06T00:00:00"/>
        <d v="2025-08-07T00:00:00"/>
        <d v="2025-08-08T00:00:00"/>
        <d v="2025-08-11T00:00:00"/>
        <m/>
      </sharedItems>
      <fieldGroup par="13"/>
    </cacheField>
    <cacheField name="Vendedor" numFmtId="0">
      <sharedItems containsBlank="1"/>
    </cacheField>
    <cacheField name="Cliente" numFmtId="0">
      <sharedItems containsBlank="1"/>
    </cacheField>
    <cacheField name="Tipo de Cliente" numFmtId="0">
      <sharedItems containsNonDate="0" containsString="0" containsBlank="1"/>
    </cacheField>
    <cacheField name="UF" numFmtId="0">
      <sharedItems containsBlank="1"/>
    </cacheField>
    <cacheField name="Produto" numFmtId="0">
      <sharedItems containsBlank="1" count="103">
        <s v="DCHBS-4726"/>
        <s v="NT-3F90H-PTFE"/>
        <s v="RHHDE-35150"/>
        <s v="DCHBS-0626"/>
        <s v="DSB-0408"/>
        <s v="DSB-0413"/>
        <s v="GT*-1420"/>
        <s v="DSB-0720"/>
        <s v="CCIPU-0230"/>
        <s v="USB-0520*"/>
        <s v="DSB-0520*"/>
        <s v="SLING-IUF"/>
        <s v="DAHBH-0626"/>
        <s v="DCHBH-0628"/>
        <s v="DSB-0513"/>
        <s v="SCHMLS-062232"/>
        <s v="SCHMLS-472232"/>
        <s v="'537014"/>
        <s v="DAHBS-4726"/>
        <s v="DSB-0505*"/>
        <s v="SLVE"/>
        <s v="GT*-1424"/>
        <s v="GT*-1817"/>
        <s v="GT*-2820"/>
        <s v="SLING-IUF*"/>
        <s v="S1ADG24"/>
        <s v="W-SP-24F"/>
        <s v="FL272R"/>
        <s v="SDRAP"/>
        <s v="PEG-20"/>
        <s v="CMPPH-1230"/>
        <s v="CMPPH-1430"/>
        <s v="CMPPH-1030"/>
        <s v="USB-6520"/>
        <s v="CCIPD-0560"/>
        <s v="CCIPD-0460"/>
        <s v="SP-19F120R-PTFE"/>
        <s v="BLDS-14524"/>
        <s v="BLDS-14528"/>
        <s v="BLDS-14532"/>
        <s v="AHHDE-35150"/>
        <s v="DCHBH-4726"/>
        <s v="DAHBS-0428"/>
        <s v="RG01-B"/>
        <s v="SCCH-0840"/>
        <s v="VH102"/>
        <s v="VH202"/>
        <s v="UF-11/13-45"/>
        <s v="DCHBS-0312"/>
        <s v="DCHBS-0314"/>
        <s v="DCHBS-0414"/>
        <s v="DCHBS-0416"/>
        <s v="IRMN-4606"/>
        <s v="UF-10/12-35"/>
        <s v="UF-11/13-35"/>
        <s v="DCHBH-0626"/>
        <s v="ACH-1820"/>
        <s v="TSB-0720"/>
        <s v="SLVE-DB"/>
        <s v="PEG-24"/>
        <s v="GT*-1428"/>
        <s v="GT*-1828"/>
        <s v="DAHBS-0416"/>
        <s v="DAHBT-0628"/>
        <s v="SCHMLH-472232"/>
        <s v="DAHBT-0626"/>
        <s v="GT*-1424."/>
        <s v="SCNH-1430"/>
        <s v="CCIPU-0360"/>
        <s v="CCIPU-0460"/>
        <s v="EBDU-AR-5-4-70-5"/>
        <s v="CCH-1040"/>
        <s v="DAHBS-0328"/>
        <s v="GT*-1820"/>
        <s v="CMPPH-8530"/>
        <s v="GT*-2428."/>
        <s v="GT*-1814"/>
        <s v="DAHBT-4726"/>
        <s v="SMPPH-1030"/>
        <s v="UF-10/12-45"/>
        <s v="MQP-3030"/>
        <s v="MQP-1515"/>
        <s v="GT*-2424"/>
        <s v="GT*-1417"/>
        <s v="GT*-2017"/>
        <s v="GT*-2020"/>
        <s v="GT*-2434"/>
        <s v="VH302"/>
        <s v="GT*-1414."/>
        <s v="RHHDE-32150"/>
        <s v="BLDS-14536"/>
        <s v="GT*-1814."/>
        <s v="'94943"/>
        <s v="'94945"/>
        <s v="USB-0515*"/>
        <s v="ESDA-AR-6/30-20"/>
        <s v="K2013154"/>
        <s v="DSB-0720*"/>
        <s v="GT*-1812"/>
        <s v="GT*-2017."/>
        <s v="CATER-470"/>
        <s v="ICB-0710"/>
        <m/>
      </sharedItems>
    </cacheField>
    <cacheField name="Quantidade" numFmtId="0">
      <sharedItems containsString="0" containsBlank="1" containsNumber="1" containsInteger="1" minValue="-37" maxValue="566"/>
    </cacheField>
    <cacheField name="Preço Unitário (R$)" numFmtId="0">
      <sharedItems containsString="0" containsBlank="1" containsNumber="1" minValue="29" maxValue="1923.33"/>
    </cacheField>
    <cacheField name="Custo Unitário (R$)" numFmtId="0">
      <sharedItems containsNonDate="0" containsString="0" containsBlank="1"/>
    </cacheField>
    <cacheField name="Valor Total (R$)" numFmtId="0">
      <sharedItems containsString="0" containsBlank="1" containsNumber="1" minValue="-2806" maxValue="43875" count="287">
        <n v="120"/>
        <n v="350"/>
        <n v="110"/>
        <n v="240"/>
        <n v="325"/>
        <n v="650"/>
        <n v="1599"/>
        <n v="5000"/>
        <n v="620"/>
        <n v="1035"/>
        <n v="800"/>
        <n v="675"/>
        <n v="23250"/>
        <n v="8745"/>
        <n v="5145"/>
        <n v="387.45"/>
        <n v="4434"/>
        <n v="8760"/>
        <n v="150"/>
        <n v="900"/>
        <n v="375"/>
        <n v="356"/>
        <n v="445"/>
        <n v="10140"/>
        <n v="830"/>
        <n v="1660"/>
        <n v="3400"/>
        <n v="1350"/>
        <n v="3950"/>
        <n v="590"/>
        <n v="13000"/>
        <n v="8150"/>
        <n v="3000"/>
        <n v="3980"/>
        <n v="715"/>
        <n v="8500"/>
        <n v="200"/>
        <n v="4500"/>
        <n v="365"/>
        <n v="825"/>
        <n v="1260"/>
        <n v="1280"/>
        <n v="1375"/>
        <n v="1800"/>
        <n v="1890"/>
        <n v="2430"/>
        <n v="3480"/>
        <n v="4300"/>
        <n v="3250"/>
        <n v="5250"/>
        <n v="-2150"/>
        <n v="180"/>
        <n v="360"/>
        <n v="3840"/>
        <n v="1920"/>
        <n v="26250"/>
        <n v="300"/>
        <n v="1170"/>
        <n v="1498"/>
        <n v="2650"/>
        <n v="4240"/>
        <n v="5425"/>
        <n v="4750"/>
        <n v="3900"/>
        <n v="1300"/>
        <n v="1725"/>
        <n v="3150"/>
        <n v="2820"/>
        <n v="1450"/>
        <n v="1675"/>
        <n v="13599.84"/>
        <n v="198"/>
        <n v="9600"/>
        <n v="850"/>
        <n v="13750"/>
        <n v="18750"/>
        <n v="15000"/>
        <n v="16750"/>
        <n v="10050"/>
        <n v="195"/>
        <n v="8100"/>
        <n v="2700"/>
        <n v="13500"/>
        <n v="520"/>
        <n v="320"/>
        <n v="260"/>
        <n v="640"/>
        <n v="1290"/>
        <n v="72"/>
        <n v="3695.0000000000005"/>
        <n v="750"/>
        <n v="2850"/>
        <n v="2170.5"/>
        <n v="4900"/>
        <n v="5115"/>
        <n v="5700"/>
        <n v="7620"/>
        <n v="3810"/>
        <n v="535"/>
        <n v="6800"/>
        <n v="10800"/>
        <n v="12000"/>
        <n v="1485"/>
        <n v="2500"/>
        <n v="1900"/>
        <n v="950"/>
        <n v="-2590"/>
        <n v="2590"/>
        <n v="12650"/>
        <n v="-2806"/>
        <n v="5500"/>
        <n v="400"/>
        <n v="19695"/>
        <n v="30773.279999999999"/>
        <n v="10600"/>
        <n v="2806"/>
        <n v="4650"/>
        <n v="1400"/>
        <n v="1040"/>
        <n v="1680"/>
        <n v="2150"/>
        <n v="4080"/>
        <n v="2520"/>
        <n v="550"/>
        <n v="5300"/>
        <n v="450"/>
        <n v="8160"/>
        <n v="160"/>
        <n v="11760"/>
        <n v="43875"/>
        <n v="170"/>
        <n v="340"/>
        <n v="705"/>
        <n v="390"/>
        <n v="455"/>
        <n v="1470"/>
        <n v="3500"/>
        <n v="6960"/>
        <n v="2880"/>
        <n v="12400"/>
        <n v="26820"/>
        <n v="480"/>
        <n v="3618"/>
        <n v="10200"/>
        <n v="28000"/>
        <n v="8850"/>
        <n v="3750"/>
        <n v="1560"/>
        <n v="1070"/>
        <n v="8375"/>
        <n v="9000"/>
        <n v="225"/>
        <n v="1125"/>
        <n v="1995"/>
        <n v="2950"/>
        <n v="3350"/>
        <n v="3990"/>
        <n v="4200"/>
        <n v="2450"/>
        <n v="37375"/>
        <n v="756"/>
        <n v="5800"/>
        <n v="580"/>
        <n v="10530"/>
        <n v="9125"/>
        <n v="315"/>
        <n v="540"/>
        <n v="1050"/>
        <n v="1080"/>
        <n v="1786"/>
        <n v="3360"/>
        <n v="10950"/>
        <n v="-1599"/>
        <n v="1408"/>
        <n v="2750"/>
        <n v="10880"/>
        <n v="22400"/>
        <n v="8125"/>
        <n v="2550"/>
        <n v="5640"/>
        <n v="55"/>
        <n v="210"/>
        <n v="2340"/>
        <n v="680"/>
        <n v="3650"/>
        <n v="770"/>
        <n v="15125"/>
        <n v="5025"/>
        <n v="2400"/>
        <n v="600"/>
        <n v="1500"/>
        <n v="1140"/>
        <n v="11200"/>
        <n v="2675"/>
        <n v="798"/>
        <n v="36224"/>
        <n v="2523.1799999999998"/>
        <n v="578"/>
        <n v="1160"/>
        <n v="1200"/>
        <n v="3180"/>
        <n v="4800"/>
        <n v="20900"/>
        <n v="29800"/>
        <n v="4130"/>
        <n v="1150"/>
        <n v="250"/>
        <n v="5249.6"/>
        <n v="460"/>
        <n v="975"/>
        <n v="182"/>
        <n v="275"/>
        <n v="3540"/>
        <n v="4250"/>
        <n v="24000"/>
        <n v="1950"/>
        <n v="2600"/>
        <n v="16000"/>
        <n v="220"/>
        <n v="7500"/>
        <n v="5280"/>
        <n v="3120"/>
        <n v="1360"/>
        <n v="2040"/>
        <n v="6700"/>
        <n v="510"/>
        <n v="5220"/>
        <n v="9200"/>
        <n v="13800"/>
        <n v="3430"/>
        <n v="13200"/>
        <n v="686"/>
        <n v="1235"/>
        <n v="1365"/>
        <n v="780"/>
        <n v="875"/>
        <n v="2000"/>
        <n v="7950"/>
        <n v="2100"/>
        <n v="4700"/>
        <n v="2250"/>
        <n v="415"/>
        <n v="5850"/>
        <n v="9872"/>
        <n v="21210"/>
        <n v="16328"/>
        <n v="9952"/>
        <n v="15300"/>
        <n v="12340"/>
        <n v="11880"/>
        <n v="648"/>
        <n v="960"/>
        <n v="3600"/>
        <n v="9940"/>
        <n v="2380"/>
        <n v="2140"/>
        <n v="5120"/>
        <n v="5390"/>
        <n v="1358"/>
        <n v="3584"/>
        <n v="4799"/>
        <n v="1298.75"/>
        <n v="1650"/>
        <n v="2975"/>
        <n v="10350"/>
        <n v="4140"/>
        <n v="1625"/>
        <n v="840"/>
        <n v="625"/>
        <n v="13650"/>
        <n v="24250"/>
        <n v="3680"/>
        <n v="1248"/>
        <n v="186"/>
        <n v="312"/>
        <n v="7280"/>
        <n v="2240"/>
        <n v="5600"/>
        <n v="26147.599999999999"/>
        <n v="6450"/>
        <n v="147"/>
        <n v="768"/>
        <n v="940"/>
        <n v="1005"/>
        <n v="33500"/>
        <n v="37500"/>
        <m/>
      </sharedItems>
    </cacheField>
    <cacheField name="Margem Total (R$)" numFmtId="0">
      <sharedItems containsString="0" containsBlank="1" containsNumber="1" minValue="-2806" maxValue="43875"/>
    </cacheField>
    <cacheField name="Margem (%)" numFmtId="0">
      <sharedItems containsString="0" containsBlank="1" containsNumber="1" containsInteger="1" minValue="1" maxValue="1"/>
    </cacheField>
    <cacheField name="Dias (Data)" numFmtId="0" databaseField="0">
      <fieldGroup base="0">
        <rangePr groupBy="days" startDate="2025-07-01T00:00:00" endDate="2025-08-12T00:00:00"/>
        <groupItems count="368">
          <s v="&lt;01/07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2/08/2025"/>
        </groupItems>
      </fieldGroup>
    </cacheField>
    <cacheField name="Meses (Data)" numFmtId="0" databaseField="0">
      <fieldGroup base="0">
        <rangePr groupBy="months" startDate="2025-07-01T00:00:00" endDate="2025-08-12T00:00:00"/>
        <groupItems count="14">
          <s v="&lt;01/07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2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x v="0"/>
    <s v="Michele Rosete"/>
    <s v="CONSORCIO INTERMUNICIPAL DE SAUDE DO VALE DO RIBEIRA E LITORAL SUL"/>
    <m/>
    <s v="SP"/>
    <x v="0"/>
    <n v="1"/>
    <n v="120"/>
    <m/>
    <x v="0"/>
    <n v="120"/>
    <n v="1"/>
  </r>
  <r>
    <x v="0"/>
    <s v="Michele Rosete"/>
    <s v="CONSORCIO INTERMUNICIPAL DE SAUDE DO VALE DO RIBEIRA E LITORAL SUL"/>
    <m/>
    <s v="SP"/>
    <x v="1"/>
    <n v="1"/>
    <n v="350"/>
    <m/>
    <x v="1"/>
    <n v="350"/>
    <n v="1"/>
  </r>
  <r>
    <x v="0"/>
    <s v="Michele Rosete"/>
    <s v="CONSORCIO INTERMUNICIPAL DE SAUDE DO VALE DO RIBEIRA E LITORAL SUL"/>
    <m/>
    <s v="SP"/>
    <x v="2"/>
    <n v="1"/>
    <n v="110"/>
    <m/>
    <x v="2"/>
    <n v="110"/>
    <n v="1"/>
  </r>
  <r>
    <x v="0"/>
    <s v="Michele Rosete"/>
    <s v="CONSORCIO INTERMUNICIPAL DE SAUDE DO VALE DO RIBEIRA E LITORAL SUL"/>
    <m/>
    <s v="SP"/>
    <x v="3"/>
    <n v="1"/>
    <n v="120"/>
    <m/>
    <x v="0"/>
    <n v="120"/>
    <n v="1"/>
  </r>
  <r>
    <x v="0"/>
    <s v="Michele Rosete"/>
    <s v="CONSORCIO INTERMUNICIPAL DE SAUDE DO VALE DO RIBEIRA E LITORAL SUL"/>
    <m/>
    <s v="SP"/>
    <x v="1"/>
    <n v="1"/>
    <n v="350"/>
    <m/>
    <x v="1"/>
    <n v="350"/>
    <n v="1"/>
  </r>
  <r>
    <x v="0"/>
    <s v="Michele Rosete"/>
    <s v="CONSORCIO INTERMUNICIPAL DE SAUDE DO VALE DO RIBEIRA E LITORAL SUL"/>
    <m/>
    <s v="SP"/>
    <x v="2"/>
    <n v="1"/>
    <n v="110"/>
    <m/>
    <x v="2"/>
    <n v="110"/>
    <n v="1"/>
  </r>
  <r>
    <x v="0"/>
    <s v="Michele Rosete"/>
    <s v="CONSORCIO INTERMUNICIPAL DE SAUDE DO VALE DO RIBEIRA E LITORAL SUL"/>
    <m/>
    <s v="SP"/>
    <x v="0"/>
    <n v="1"/>
    <n v="120"/>
    <m/>
    <x v="0"/>
    <n v="120"/>
    <n v="1"/>
  </r>
  <r>
    <x v="0"/>
    <s v="Michele Rosete"/>
    <s v="CONSORCIO INTERMUNICIPAL DE SAUDE DO VALE DO RIBEIRA E LITORAL SUL"/>
    <m/>
    <s v="SP"/>
    <x v="2"/>
    <n v="1"/>
    <n v="110"/>
    <m/>
    <x v="2"/>
    <n v="110"/>
    <n v="1"/>
  </r>
  <r>
    <x v="0"/>
    <s v="Michele Rosete"/>
    <s v="CONSORCIO INTERMUNICIPAL DE SAUDE DO VALE DO RIBEIRA E LITORAL SUL"/>
    <m/>
    <s v="SP"/>
    <x v="1"/>
    <n v="1"/>
    <n v="350"/>
    <m/>
    <x v="1"/>
    <n v="350"/>
    <n v="1"/>
  </r>
  <r>
    <x v="0"/>
    <s v="Michele Rosete"/>
    <s v="CONSORCIO INTERMUNICIPAL DE SAUDE DO VALE DO RIBEIRA E LITORAL SUL"/>
    <m/>
    <s v="SP"/>
    <x v="2"/>
    <n v="1"/>
    <n v="110"/>
    <m/>
    <x v="2"/>
    <n v="110"/>
    <n v="1"/>
  </r>
  <r>
    <x v="0"/>
    <s v="Michele Rosete"/>
    <s v="CONSORCIO INTERMUNICIPAL DE SAUDE DO VALE DO RIBEIRA E LITORAL SUL"/>
    <m/>
    <s v="SP"/>
    <x v="3"/>
    <n v="2"/>
    <n v="120"/>
    <m/>
    <x v="3"/>
    <n v="240"/>
    <n v="1"/>
  </r>
  <r>
    <x v="0"/>
    <s v="Michele Rosete"/>
    <s v="CONSORCIO INTERMUNICIPAL DE SAUDE DO VALE DO RIBEIRA E LITORAL SUL"/>
    <m/>
    <s v="SP"/>
    <x v="1"/>
    <n v="1"/>
    <n v="350"/>
    <m/>
    <x v="1"/>
    <n v="350"/>
    <n v="1"/>
  </r>
  <r>
    <x v="0"/>
    <s v="Michele Rosete"/>
    <s v="CONSORCIO INTERMUNICIPAL DE SAUDE DO VALE DO RIBEIRA E LITORAL SUL"/>
    <m/>
    <s v="SP"/>
    <x v="2"/>
    <n v="1"/>
    <n v="110"/>
    <m/>
    <x v="2"/>
    <n v="110"/>
    <n v="1"/>
  </r>
  <r>
    <x v="0"/>
    <s v="Michele Rosete"/>
    <s v="INSTITUTO DE RESPONSABILIDADE SOCIAL SíRIO LIBANêS"/>
    <m/>
    <s v="SP"/>
    <x v="4"/>
    <n v="5"/>
    <n v="65"/>
    <m/>
    <x v="4"/>
    <n v="325"/>
    <n v="1"/>
  </r>
  <r>
    <x v="0"/>
    <s v="Michele Rosete"/>
    <s v="INSTITUTO FERNANDO FILGUEIRAS - IFF"/>
    <m/>
    <s v="BA"/>
    <x v="5"/>
    <n v="10"/>
    <n v="65"/>
    <m/>
    <x v="5"/>
    <n v="650"/>
    <n v="1"/>
  </r>
  <r>
    <x v="0"/>
    <s v="Ricardo santos"/>
    <s v="UNIVERSIDADE ESTADUAL DO RIO DE JANEIRO"/>
    <m/>
    <s v="RJ"/>
    <x v="6"/>
    <n v="3"/>
    <n v="533"/>
    <m/>
    <x v="6"/>
    <n v="1599"/>
    <n v="1"/>
  </r>
  <r>
    <x v="0"/>
    <s v="Noemia Sattin"/>
    <s v="MUNICIPIO DE ESTANCIA VELHA"/>
    <m/>
    <s v="RS"/>
    <x v="7"/>
    <n v="100"/>
    <n v="50"/>
    <m/>
    <x v="7"/>
    <n v="5000"/>
    <n v="1"/>
  </r>
  <r>
    <x v="0"/>
    <s v="Michele Rosete"/>
    <s v="HOSPITAL 22 DE OUTUBRO SOCIEDADE LTDA"/>
    <m/>
    <s v="SP"/>
    <x v="8"/>
    <n v="2"/>
    <n v="310"/>
    <m/>
    <x v="8"/>
    <n v="620"/>
    <n v="1"/>
  </r>
  <r>
    <x v="0"/>
    <s v="Noemia Sattin"/>
    <s v="FUNDACAO SERVICOS DE SAUDE DE NOVA ANDRADINA"/>
    <m/>
    <s v="MS"/>
    <x v="9"/>
    <n v="15"/>
    <n v="69"/>
    <m/>
    <x v="9"/>
    <n v="1035"/>
    <n v="1"/>
  </r>
  <r>
    <x v="0"/>
    <s v="Felipe Curi"/>
    <s v="Hospital Geral de Belem"/>
    <m/>
    <s v="PA"/>
    <x v="10"/>
    <n v="10"/>
    <n v="80"/>
    <m/>
    <x v="10"/>
    <n v="800"/>
    <n v="1"/>
  </r>
  <r>
    <x v="0"/>
    <s v="Ricardo santos"/>
    <s v="FUNDO MUNICIPAL DE SAUDE - FMS"/>
    <m/>
    <s v="SP"/>
    <x v="11"/>
    <n v="1"/>
    <n v="675"/>
    <m/>
    <x v="11"/>
    <n v="675"/>
    <n v="1"/>
  </r>
  <r>
    <x v="0"/>
    <s v="Noemia Sattin"/>
    <s v="FUNDO MUNICIPAL DE SAUDE"/>
    <m/>
    <s v="PR"/>
    <x v="11"/>
    <n v="30"/>
    <n v="775"/>
    <m/>
    <x v="12"/>
    <n v="23250"/>
    <n v="1"/>
  </r>
  <r>
    <x v="0"/>
    <s v="Felipe Curi"/>
    <s v="HOSPITAL OPHIR LOYOLA"/>
    <m/>
    <s v="PA"/>
    <x v="12"/>
    <n v="50"/>
    <n v="174.9"/>
    <m/>
    <x v="13"/>
    <n v="8745"/>
    <n v="1"/>
  </r>
  <r>
    <x v="0"/>
    <s v="Felipe Curi"/>
    <s v="HOSPITAL OPHIR LOYOLA"/>
    <m/>
    <s v="PA"/>
    <x v="13"/>
    <n v="30"/>
    <n v="171.5"/>
    <m/>
    <x v="14"/>
    <n v="5145"/>
    <n v="1"/>
  </r>
  <r>
    <x v="0"/>
    <s v="Noemia Sattin"/>
    <s v="EMPRESA BRASILEIRA DE SERVICOS HOSPITALARES - EBSERH"/>
    <m/>
    <s v="MG"/>
    <x v="14"/>
    <n v="7"/>
    <n v="55.35"/>
    <m/>
    <x v="15"/>
    <n v="387.45"/>
    <n v="1"/>
  </r>
  <r>
    <x v="0"/>
    <s v="Ricardo santos"/>
    <s v="SECRETARIA DE ESTADO DE DEFESA CIVIL"/>
    <m/>
    <s v="RJ"/>
    <x v="15"/>
    <n v="60"/>
    <n v="73.900000000000006"/>
    <m/>
    <x v="16"/>
    <n v="4434"/>
    <n v="1"/>
  </r>
  <r>
    <x v="0"/>
    <s v="Ricardo santos"/>
    <s v="SECRETARIA DE ESTADO DE DEFESA CIVIL"/>
    <m/>
    <s v="RJ"/>
    <x v="16"/>
    <n v="120"/>
    <n v="73"/>
    <m/>
    <x v="17"/>
    <n v="8760"/>
    <n v="1"/>
  </r>
  <r>
    <x v="1"/>
    <s v="Michele Rosete"/>
    <s v="CONSORCIO INTERMUNICIPAL DE SAUDE DO VALE DO RIBEIRA E LITORAL SUL"/>
    <m/>
    <s v="SP"/>
    <x v="17"/>
    <n v="1"/>
    <n v="150"/>
    <m/>
    <x v="18"/>
    <n v="150"/>
    <n v="1"/>
  </r>
  <r>
    <x v="1"/>
    <s v="Michele Rosete"/>
    <s v="CONSORCIO INTERMUNICIPAL DE SAUDE DO VALE DO RIBEIRA E LITORAL SUL"/>
    <m/>
    <s v="SP"/>
    <x v="0"/>
    <n v="1"/>
    <n v="120"/>
    <m/>
    <x v="0"/>
    <n v="120"/>
    <n v="1"/>
  </r>
  <r>
    <x v="1"/>
    <s v="Michele Rosete"/>
    <s v="CONSORCIO INTERMUNICIPAL DE SAUDE DO VALE DO RIBEIRA E LITORAL SUL"/>
    <m/>
    <s v="SP"/>
    <x v="2"/>
    <n v="1"/>
    <n v="110"/>
    <m/>
    <x v="2"/>
    <n v="110"/>
    <n v="1"/>
  </r>
  <r>
    <x v="1"/>
    <s v="Michele Rosete"/>
    <s v="CONSORCIO INTERMUNICIPAL DE SAUDE DO VALE DO RIBEIRA E LITORAL SUL"/>
    <m/>
    <s v="SP"/>
    <x v="17"/>
    <n v="1"/>
    <n v="150"/>
    <m/>
    <x v="18"/>
    <n v="150"/>
    <n v="1"/>
  </r>
  <r>
    <x v="1"/>
    <s v="Michele Rosete"/>
    <s v="CONSORCIO INTERMUNICIPAL DE SAUDE DO VALE DO RIBEIRA E LITORAL SUL"/>
    <m/>
    <s v="SP"/>
    <x v="0"/>
    <n v="1"/>
    <n v="120"/>
    <m/>
    <x v="0"/>
    <n v="120"/>
    <n v="1"/>
  </r>
  <r>
    <x v="1"/>
    <s v="Michele Rosete"/>
    <s v="CONSORCIO INTERMUNICIPAL DE SAUDE DO VALE DO RIBEIRA E LITORAL SUL"/>
    <m/>
    <s v="SP"/>
    <x v="2"/>
    <n v="1"/>
    <n v="110"/>
    <m/>
    <x v="2"/>
    <n v="110"/>
    <n v="1"/>
  </r>
  <r>
    <x v="1"/>
    <s v="Michele Rosete"/>
    <s v="CONSORCIO INTERMUNICIPAL DE SAUDE DO VALE DO RIBEIRA E LITORAL SUL"/>
    <m/>
    <s v="SP"/>
    <x v="17"/>
    <n v="1"/>
    <n v="150"/>
    <m/>
    <x v="18"/>
    <n v="150"/>
    <n v="1"/>
  </r>
  <r>
    <x v="1"/>
    <s v="Michele Rosete"/>
    <s v="CONSORCIO INTERMUNICIPAL DE SAUDE DO VALE DO RIBEIRA E LITORAL SUL"/>
    <m/>
    <s v="SP"/>
    <x v="0"/>
    <n v="1"/>
    <n v="120"/>
    <m/>
    <x v="0"/>
    <n v="120"/>
    <n v="1"/>
  </r>
  <r>
    <x v="1"/>
    <s v="Michele Rosete"/>
    <s v="CONSORCIO INTERMUNICIPAL DE SAUDE DO VALE DO RIBEIRA E LITORAL SUL"/>
    <m/>
    <s v="SP"/>
    <x v="2"/>
    <n v="1"/>
    <n v="110"/>
    <m/>
    <x v="2"/>
    <n v="110"/>
    <n v="1"/>
  </r>
  <r>
    <x v="1"/>
    <s v="Michele Rosete"/>
    <s v="CONSORCIO INTERMUNICIPAL DE SAUDE DO VALE DO RIBEIRA E LITORAL SUL"/>
    <m/>
    <s v="SP"/>
    <x v="17"/>
    <n v="1"/>
    <n v="150"/>
    <m/>
    <x v="18"/>
    <n v="150"/>
    <n v="1"/>
  </r>
  <r>
    <x v="1"/>
    <s v="Michele Rosete"/>
    <s v="CONSORCIO INTERMUNICIPAL DE SAUDE DO VALE DO RIBEIRA E LITORAL SUL"/>
    <m/>
    <s v="SP"/>
    <x v="0"/>
    <n v="1"/>
    <n v="120"/>
    <m/>
    <x v="0"/>
    <n v="120"/>
    <n v="1"/>
  </r>
  <r>
    <x v="1"/>
    <s v="Michele Rosete"/>
    <s v="CONSORCIO INTERMUNICIPAL DE SAUDE DO VALE DO RIBEIRA E LITORAL SUL"/>
    <m/>
    <s v="SP"/>
    <x v="2"/>
    <n v="1"/>
    <n v="110"/>
    <m/>
    <x v="2"/>
    <n v="110"/>
    <n v="1"/>
  </r>
  <r>
    <x v="1"/>
    <s v="Michele Rosete"/>
    <s v="CONSORCIO INTERMUNICIPAL DE SAUDE DO VALE DO RIBEIRA E LITORAL SUL"/>
    <m/>
    <s v="SP"/>
    <x v="3"/>
    <n v="1"/>
    <n v="120"/>
    <m/>
    <x v="0"/>
    <n v="120"/>
    <n v="1"/>
  </r>
  <r>
    <x v="1"/>
    <s v="Michele Rosete"/>
    <s v="CONSORCIO INTERMUNICIPAL DE SAUDE DO VALE DO RIBEIRA E LITORAL SUL"/>
    <m/>
    <s v="SP"/>
    <x v="1"/>
    <n v="1"/>
    <n v="350"/>
    <m/>
    <x v="1"/>
    <n v="350"/>
    <n v="1"/>
  </r>
  <r>
    <x v="1"/>
    <s v="Michele Rosete"/>
    <s v="CONSORCIO INTERMUNICIPAL DE SAUDE DO VALE DO RIBEIRA E LITORAL SUL"/>
    <m/>
    <s v="SP"/>
    <x v="2"/>
    <n v="1"/>
    <n v="110"/>
    <m/>
    <x v="2"/>
    <n v="110"/>
    <n v="1"/>
  </r>
  <r>
    <x v="1"/>
    <s v="Michele Rosete"/>
    <s v="CONSORCIO INTERMUNICIPAL DE SAUDE DO VALE DO RIBEIRA E LITORAL SUL"/>
    <m/>
    <s v="SP"/>
    <x v="18"/>
    <n v="1"/>
    <n v="120"/>
    <m/>
    <x v="0"/>
    <n v="120"/>
    <n v="1"/>
  </r>
  <r>
    <x v="1"/>
    <s v="Michele Rosete"/>
    <s v="CONSORCIO INTERMUNICIPAL DE SAUDE DO VALE DO RIBEIRA E LITORAL SUL"/>
    <m/>
    <s v="SP"/>
    <x v="2"/>
    <n v="1"/>
    <n v="110"/>
    <m/>
    <x v="2"/>
    <n v="110"/>
    <n v="1"/>
  </r>
  <r>
    <x v="1"/>
    <s v="Michele Rosete"/>
    <s v="CONSORCIO INTERMUNICIPAL DE SAUDE DO VALE DO RIBEIRA E LITORAL SUL"/>
    <m/>
    <s v="SP"/>
    <x v="1"/>
    <n v="1"/>
    <n v="350"/>
    <m/>
    <x v="1"/>
    <n v="350"/>
    <n v="1"/>
  </r>
  <r>
    <x v="1"/>
    <s v="Michele Rosete"/>
    <s v="SPDM - ASSOCIACAO PAULISTA PARA O DESENVOLVIMENTO DA MEDICINA"/>
    <m/>
    <s v="SP"/>
    <x v="11"/>
    <n v="1"/>
    <n v="900"/>
    <m/>
    <x v="19"/>
    <n v="900"/>
    <n v="1"/>
  </r>
  <r>
    <x v="1"/>
    <s v="Michele Rosete"/>
    <s v="INSTITUTO ACQUA - ACAO, CIDADANIA, QUALIDADE URBANA E AMBIEN"/>
    <m/>
    <s v="PA"/>
    <x v="19"/>
    <n v="5"/>
    <n v="75"/>
    <m/>
    <x v="20"/>
    <n v="375"/>
    <n v="1"/>
  </r>
  <r>
    <x v="1"/>
    <s v="Juliana Kluge"/>
    <s v="CLINIUNIVET HOSPITAL VETERINARIO LTDA"/>
    <m/>
    <s v="PR"/>
    <x v="5"/>
    <n v="4"/>
    <n v="89"/>
    <m/>
    <x v="21"/>
    <n v="356"/>
    <n v="1"/>
  </r>
  <r>
    <x v="1"/>
    <s v="Juliana Kluge"/>
    <s v="CLINIUNIVET HOSPITAL VETERINARIO LTDA"/>
    <m/>
    <s v="PR"/>
    <x v="14"/>
    <n v="4"/>
    <n v="89"/>
    <m/>
    <x v="21"/>
    <n v="356"/>
    <n v="1"/>
  </r>
  <r>
    <x v="1"/>
    <s v="Juliana Kluge"/>
    <s v="CLINIUNIVET HOSPITAL VETERINARIO LTDA"/>
    <m/>
    <s v="PR"/>
    <x v="7"/>
    <n v="5"/>
    <n v="89"/>
    <m/>
    <x v="22"/>
    <n v="445"/>
    <n v="1"/>
  </r>
  <r>
    <x v="1"/>
    <s v="Felipe Curi"/>
    <s v="SECRETARIA DA SAUDE"/>
    <m/>
    <s v="TO"/>
    <x v="20"/>
    <n v="26"/>
    <n v="390"/>
    <m/>
    <x v="23"/>
    <n v="10140"/>
    <n v="1"/>
  </r>
  <r>
    <x v="1"/>
    <s v="Felipe Curi"/>
    <s v="EMPRESA BRASILEIRA DE SERVICOS HOSPITALARES - EBSERH"/>
    <m/>
    <s v="SE"/>
    <x v="21"/>
    <n v="1"/>
    <n v="830"/>
    <m/>
    <x v="24"/>
    <n v="830"/>
    <n v="1"/>
  </r>
  <r>
    <x v="1"/>
    <s v="Felipe Curi"/>
    <s v="EMPRESA BRASILEIRA DE SERVICOS HOSPITALARES - EBSERH"/>
    <m/>
    <s v="SE"/>
    <x v="22"/>
    <n v="2"/>
    <n v="830"/>
    <m/>
    <x v="25"/>
    <n v="1660"/>
    <n v="1"/>
  </r>
  <r>
    <x v="1"/>
    <s v="Felipe Curi"/>
    <s v="EMPRESA BRASILEIRA DE SERVICOS HOSPITALARES - EBSERH"/>
    <m/>
    <s v="SE"/>
    <x v="23"/>
    <n v="2"/>
    <n v="830"/>
    <m/>
    <x v="25"/>
    <n v="1660"/>
    <n v="1"/>
  </r>
  <r>
    <x v="1"/>
    <s v="Ricardo santos"/>
    <s v="COMANDO DA AERONAUTICA"/>
    <m/>
    <s v="RJ"/>
    <x v="11"/>
    <n v="5"/>
    <n v="680"/>
    <m/>
    <x v="26"/>
    <n v="3400"/>
    <n v="1"/>
  </r>
  <r>
    <x v="1"/>
    <s v="Ricardo santos"/>
    <s v="COMANDO DA AERONAUTICA"/>
    <m/>
    <s v="RJ"/>
    <x v="24"/>
    <n v="5"/>
    <n v="680"/>
    <m/>
    <x v="26"/>
    <n v="3400"/>
    <n v="1"/>
  </r>
  <r>
    <x v="1"/>
    <s v="Felipe Curi"/>
    <s v="COMANDO DA 1 BRIGADA DE INFANTARIA DE SELVA"/>
    <m/>
    <s v="RR"/>
    <x v="7"/>
    <n v="27"/>
    <n v="50"/>
    <m/>
    <x v="27"/>
    <n v="1350"/>
    <n v="1"/>
  </r>
  <r>
    <x v="1"/>
    <s v="Distribuidores"/>
    <s v="UNIMED DE SAO CARLOS - COOPERATIVA DE TRABALHO MEDICO"/>
    <m/>
    <s v="SP"/>
    <x v="25"/>
    <n v="10"/>
    <n v="395"/>
    <m/>
    <x v="28"/>
    <n v="3950"/>
    <n v="1"/>
  </r>
  <r>
    <x v="1"/>
    <s v="Distribuidores"/>
    <s v="UNIMED DE SAO CARLOS - COOPERATIVA DE TRABALHO MEDICO"/>
    <m/>
    <s v="SP"/>
    <x v="26"/>
    <n v="2"/>
    <n v="295"/>
    <m/>
    <x v="29"/>
    <n v="590"/>
    <n v="1"/>
  </r>
  <r>
    <x v="1"/>
    <s v="Distribuidores"/>
    <s v="MED-ONE PRODUTOS MéDICOS LTDA-EPP"/>
    <m/>
    <s v="SP"/>
    <x v="27"/>
    <n v="100"/>
    <n v="130"/>
    <m/>
    <x v="30"/>
    <n v="13000"/>
    <n v="1"/>
  </r>
  <r>
    <x v="1"/>
    <s v="Felipe Curi"/>
    <s v="SECRETARIA DE ESTADO DA SAUDE - SES"/>
    <m/>
    <s v="PB"/>
    <x v="10"/>
    <n v="100"/>
    <n v="81.5"/>
    <m/>
    <x v="31"/>
    <n v="8150"/>
    <n v="1"/>
  </r>
  <r>
    <x v="1"/>
    <s v="Noemia Sattin"/>
    <s v="EMPRESA BRASILEIRA DE SERVICOS HOSPITALARES - EBSERH"/>
    <m/>
    <s v="MT"/>
    <x v="28"/>
    <n v="5"/>
    <n v="600"/>
    <m/>
    <x v="32"/>
    <n v="3000"/>
    <n v="1"/>
  </r>
  <r>
    <x v="1"/>
    <s v="Noemia Sattin"/>
    <s v="EMPRESA BRASILEIRA DE SERVICOS HOSPITALARES - EBSERH"/>
    <m/>
    <s v="MT"/>
    <x v="20"/>
    <n v="10"/>
    <n v="398"/>
    <m/>
    <x v="33"/>
    <n v="3980"/>
    <n v="1"/>
  </r>
  <r>
    <x v="1"/>
    <s v="Ricardo santos"/>
    <s v="SPDM - ASSOCIACAO PAULISTA PARA O DESENVOLVIMENTO DA MEDICINA"/>
    <m/>
    <s v="SP"/>
    <x v="11"/>
    <n v="1"/>
    <n v="715"/>
    <m/>
    <x v="34"/>
    <n v="715"/>
    <n v="1"/>
  </r>
  <r>
    <x v="1"/>
    <s v="Ricardo santos"/>
    <s v="SPDM - ASSOCIACAO PAULISTA PARA O DESENVOLVIMENTO DA MEDICINA"/>
    <m/>
    <s v="MG"/>
    <x v="29"/>
    <n v="20"/>
    <n v="425"/>
    <m/>
    <x v="35"/>
    <n v="8500"/>
    <n v="1"/>
  </r>
  <r>
    <x v="1"/>
    <s v="Noemia Sattin"/>
    <s v="COMANDO DA AERONAUTICA"/>
    <m/>
    <s v="RS"/>
    <x v="7"/>
    <n v="2"/>
    <n v="100"/>
    <m/>
    <x v="36"/>
    <n v="200"/>
    <n v="1"/>
  </r>
  <r>
    <x v="1"/>
    <s v="Noemia Sattin"/>
    <s v="UNIVERSIDADE ESTADUAL DE PONTA GROSSA"/>
    <m/>
    <s v="PR"/>
    <x v="5"/>
    <n v="75"/>
    <n v="60"/>
    <m/>
    <x v="37"/>
    <n v="4500"/>
    <n v="1"/>
  </r>
  <r>
    <x v="1"/>
    <s v="Distribuidores"/>
    <s v="ACE DISTRIBUIDORA LTDA"/>
    <m/>
    <s v="GO"/>
    <x v="20"/>
    <n v="1"/>
    <n v="365"/>
    <m/>
    <x v="38"/>
    <n v="365"/>
    <n v="1"/>
  </r>
  <r>
    <x v="1"/>
    <s v="Distribuidores"/>
    <s v="ACE DISTRIBUIDORA LTDA"/>
    <m/>
    <s v="GO"/>
    <x v="30"/>
    <n v="3"/>
    <n v="275"/>
    <m/>
    <x v="39"/>
    <n v="825"/>
    <n v="1"/>
  </r>
  <r>
    <x v="1"/>
    <s v="Distribuidores"/>
    <s v="ACE DISTRIBUIDORA LTDA"/>
    <m/>
    <s v="GO"/>
    <x v="31"/>
    <n v="3"/>
    <n v="275"/>
    <m/>
    <x v="39"/>
    <n v="825"/>
    <n v="1"/>
  </r>
  <r>
    <x v="1"/>
    <s v="Distribuidores"/>
    <s v="ACE DISTRIBUIDORA LTDA"/>
    <m/>
    <s v="GO"/>
    <x v="2"/>
    <n v="15"/>
    <n v="84"/>
    <m/>
    <x v="40"/>
    <n v="1260"/>
    <n v="1"/>
  </r>
  <r>
    <x v="1"/>
    <s v="Distribuidores"/>
    <s v="ACE DISTRIBUIDORA LTDA"/>
    <m/>
    <s v="GO"/>
    <x v="10"/>
    <n v="20"/>
    <n v="64"/>
    <m/>
    <x v="41"/>
    <n v="1280"/>
    <n v="1"/>
  </r>
  <r>
    <x v="1"/>
    <s v="Distribuidores"/>
    <s v="ACE DISTRIBUIDORA LTDA"/>
    <m/>
    <s v="GO"/>
    <x v="32"/>
    <n v="5"/>
    <n v="275"/>
    <m/>
    <x v="42"/>
    <n v="1375"/>
    <n v="1"/>
  </r>
  <r>
    <x v="1"/>
    <s v="Distribuidores"/>
    <s v="ACE DISTRIBUIDORA LTDA"/>
    <m/>
    <s v="GO"/>
    <x v="33"/>
    <n v="50"/>
    <n v="36"/>
    <m/>
    <x v="43"/>
    <n v="1800"/>
    <n v="1"/>
  </r>
  <r>
    <x v="1"/>
    <s v="Distribuidores"/>
    <s v="ACE DISTRIBUIDORA LTDA"/>
    <m/>
    <s v="GO"/>
    <x v="34"/>
    <n v="7"/>
    <n v="270"/>
    <m/>
    <x v="44"/>
    <n v="1890"/>
    <n v="1"/>
  </r>
  <r>
    <x v="1"/>
    <s v="Distribuidores"/>
    <s v="ACE DISTRIBUIDORA LTDA"/>
    <m/>
    <s v="GO"/>
    <x v="35"/>
    <n v="9"/>
    <n v="270"/>
    <m/>
    <x v="45"/>
    <n v="2430"/>
    <n v="1"/>
  </r>
  <r>
    <x v="1"/>
    <s v="Distribuidores"/>
    <s v="ACE DISTRIBUIDORA LTDA"/>
    <m/>
    <s v="GO"/>
    <x v="36"/>
    <n v="8"/>
    <n v="435"/>
    <m/>
    <x v="46"/>
    <n v="3480"/>
    <n v="1"/>
  </r>
  <r>
    <x v="1"/>
    <s v="Distribuidores"/>
    <s v="ACE DISTRIBUIDORA LTDA"/>
    <m/>
    <s v="GO"/>
    <x v="7"/>
    <n v="100"/>
    <n v="43"/>
    <m/>
    <x v="47"/>
    <n v="4300"/>
    <n v="1"/>
  </r>
  <r>
    <x v="1"/>
    <s v="Michele Rosete"/>
    <s v="SOCIEDADE BRASILEIRA CAMINHO DE DAMASCO"/>
    <m/>
    <s v="SP"/>
    <x v="37"/>
    <n v="5"/>
    <n v="650"/>
    <m/>
    <x v="48"/>
    <n v="3250"/>
    <n v="1"/>
  </r>
  <r>
    <x v="1"/>
    <s v="Michele Rosete"/>
    <s v="SOCIEDADE BRASILEIRA CAMINHO DE DAMASCO"/>
    <m/>
    <s v="SP"/>
    <x v="38"/>
    <n v="5"/>
    <n v="650"/>
    <m/>
    <x v="48"/>
    <n v="3250"/>
    <n v="1"/>
  </r>
  <r>
    <x v="1"/>
    <s v="Michele Rosete"/>
    <s v="SOCIEDADE BRASILEIRA CAMINHO DE DAMASCO"/>
    <m/>
    <s v="SP"/>
    <x v="39"/>
    <n v="5"/>
    <n v="650"/>
    <m/>
    <x v="48"/>
    <n v="3250"/>
    <n v="1"/>
  </r>
  <r>
    <x v="1"/>
    <s v="Paulo Chiarelli"/>
    <s v="LA MEDIC RJ LTDA"/>
    <m/>
    <s v="RJ"/>
    <x v="11"/>
    <n v="7"/>
    <n v="750"/>
    <m/>
    <x v="49"/>
    <n v="5250"/>
    <n v="1"/>
  </r>
  <r>
    <x v="1"/>
    <s v="Felipe Curi"/>
    <s v="FUNDACAO PARAIBANA DE GESTAO EM SAUDE - PB SAUDE"/>
    <m/>
    <s v="PB"/>
    <x v="40"/>
    <n v="2"/>
    <n v="100"/>
    <m/>
    <x v="36"/>
    <n v="200"/>
    <n v="1"/>
  </r>
  <r>
    <x v="1"/>
    <s v="Felipe Curi"/>
    <s v="FUNDACAO PARAIBANA DE GESTAO EM SAUDE - PB SAUDE"/>
    <m/>
    <s v="PB"/>
    <x v="2"/>
    <n v="2"/>
    <n v="100"/>
    <m/>
    <x v="36"/>
    <n v="200"/>
    <n v="1"/>
  </r>
  <r>
    <x v="2"/>
    <s v="Michele Rosete"/>
    <s v="MEDIMAC COMéRCIO DE ARTIGOS MéDICOS LTDA-ME"/>
    <m/>
    <s v="SP"/>
    <x v="41"/>
    <n v="-10"/>
    <n v="215"/>
    <m/>
    <x v="50"/>
    <n v="-2150"/>
    <n v="1"/>
  </r>
  <r>
    <x v="2"/>
    <s v="Ricardo santos"/>
    <s v="SPDM - ASSOCIAçãO PAULISTA P/ O DESENVOLVIMENTO DA MEDICINA"/>
    <m/>
    <s v="SP"/>
    <x v="2"/>
    <n v="1"/>
    <n v="150"/>
    <m/>
    <x v="18"/>
    <n v="150"/>
    <n v="1"/>
  </r>
  <r>
    <x v="2"/>
    <s v="Ricardo santos"/>
    <s v="SPDM - ASSOCIAçãO PAULISTA P/ O DESENVOLVIMENTO DA MEDICINA"/>
    <m/>
    <s v="SP"/>
    <x v="2"/>
    <n v="1"/>
    <n v="150"/>
    <m/>
    <x v="18"/>
    <n v="150"/>
    <n v="1"/>
  </r>
  <r>
    <x v="2"/>
    <s v="Ricardo santos"/>
    <s v="SPDM - ASSOCIAçãO PAULISTA P/ O DESENVOLVIMENTO DA MEDICINA"/>
    <m/>
    <s v="SP"/>
    <x v="3"/>
    <n v="1"/>
    <n v="180"/>
    <m/>
    <x v="51"/>
    <n v="180"/>
    <n v="1"/>
  </r>
  <r>
    <x v="2"/>
    <s v="Ricardo santos"/>
    <s v="SPDM - ASSOCIAçãO PAULISTA P/ O DESENVOLVIMENTO DA MEDICINA"/>
    <m/>
    <s v="SP"/>
    <x v="42"/>
    <n v="2"/>
    <n v="180"/>
    <m/>
    <x v="52"/>
    <n v="360"/>
    <n v="1"/>
  </r>
  <r>
    <x v="2"/>
    <s v="Ricardo santos"/>
    <s v="FUNDO MUNICIPAL DE SAUDE - FMS"/>
    <m/>
    <s v="SP"/>
    <x v="11"/>
    <n v="1"/>
    <n v="675"/>
    <m/>
    <x v="11"/>
    <n v="675"/>
    <n v="1"/>
  </r>
  <r>
    <x v="2"/>
    <s v="Michele Rosete"/>
    <s v="BENEFICENCIA HOSPITALAR DE CESARIO LANGE"/>
    <m/>
    <s v="SP"/>
    <x v="14"/>
    <n v="10"/>
    <n v="65"/>
    <m/>
    <x v="5"/>
    <n v="650"/>
    <n v="1"/>
  </r>
  <r>
    <x v="2"/>
    <s v="Ricardo santos"/>
    <s v="SPDM - ASSOCIACAO PAULISTA PARA O DESENVOLVIMENTO DA MEDICINA"/>
    <m/>
    <s v="SP"/>
    <x v="11"/>
    <n v="1"/>
    <n v="715"/>
    <m/>
    <x v="34"/>
    <n v="715"/>
    <n v="1"/>
  </r>
  <r>
    <x v="2"/>
    <s v="Felipe Curi"/>
    <s v="EMPRESA BRASILEIRA DE SERVICOS HOSPITALARES - EBSERH"/>
    <m/>
    <s v="CE"/>
    <x v="19"/>
    <n v="60"/>
    <n v="64"/>
    <m/>
    <x v="53"/>
    <n v="3840"/>
    <n v="1"/>
  </r>
  <r>
    <x v="2"/>
    <s v="Felipe Curi"/>
    <s v="EMPRESA BRASILEIRA DE SERVICOS HOSPITALARES - EBSERH"/>
    <m/>
    <s v="CE"/>
    <x v="10"/>
    <n v="30"/>
    <n v="64"/>
    <m/>
    <x v="54"/>
    <n v="1920"/>
    <n v="1"/>
  </r>
  <r>
    <x v="2"/>
    <s v="Michele Rosete"/>
    <s v="ASSOCIACAO DE PROTECAO A MATERNIDADE E A INFANCIA DE RIO VER"/>
    <m/>
    <s v="GO"/>
    <x v="11"/>
    <n v="30"/>
    <n v="875"/>
    <m/>
    <x v="55"/>
    <n v="26250"/>
    <n v="1"/>
  </r>
  <r>
    <x v="2"/>
    <s v="Ricardo santos"/>
    <s v="SPDM - ASSOCIAçãO PAULISTA P/ O DESENVOLVIMENTO DA MEDICINA"/>
    <m/>
    <s v="SP"/>
    <x v="42"/>
    <n v="1"/>
    <n v="180"/>
    <m/>
    <x v="51"/>
    <n v="180"/>
    <n v="1"/>
  </r>
  <r>
    <x v="2"/>
    <s v="Ricardo santos"/>
    <s v="SPDM - ASSOCIAçãO PAULISTA P/ O DESENVOLVIMENTO DA MEDICINA"/>
    <m/>
    <s v="SP"/>
    <x v="3"/>
    <n v="1"/>
    <n v="180"/>
    <m/>
    <x v="51"/>
    <n v="180"/>
    <n v="1"/>
  </r>
  <r>
    <x v="2"/>
    <s v="Ricardo santos"/>
    <s v="SPDM - ASSOCIAçãO PAULISTA P/ O DESENVOLVIMENTO DA MEDICINA"/>
    <m/>
    <s v="SP"/>
    <x v="2"/>
    <n v="2"/>
    <n v="150"/>
    <m/>
    <x v="56"/>
    <n v="300"/>
    <n v="1"/>
  </r>
  <r>
    <x v="2"/>
    <s v="Ricardo santos"/>
    <s v="FUNDO MUNICIPAL DE SAUDE - FMS"/>
    <m/>
    <s v="SP"/>
    <x v="11"/>
    <n v="1"/>
    <n v="675"/>
    <m/>
    <x v="11"/>
    <n v="675"/>
    <n v="1"/>
  </r>
  <r>
    <x v="2"/>
    <s v="Ricardo santos"/>
    <s v="FUNDO MUNICIPAL DE SAUDE - FMS"/>
    <m/>
    <s v="SP"/>
    <x v="11"/>
    <n v="1"/>
    <n v="675"/>
    <m/>
    <x v="11"/>
    <n v="675"/>
    <n v="1"/>
  </r>
  <r>
    <x v="2"/>
    <s v="Ricardo santos"/>
    <s v="FUNDO MUNICIPAL DE SAUDE - FMS"/>
    <m/>
    <s v="SP"/>
    <x v="11"/>
    <n v="1"/>
    <n v="675"/>
    <m/>
    <x v="11"/>
    <n v="675"/>
    <n v="1"/>
  </r>
  <r>
    <x v="2"/>
    <s v="Ricardo santos"/>
    <s v="FUNDO MUNICIPAL DE SAUDE - FMS"/>
    <m/>
    <s v="SP"/>
    <x v="11"/>
    <n v="1"/>
    <n v="675"/>
    <m/>
    <x v="11"/>
    <n v="675"/>
    <n v="1"/>
  </r>
  <r>
    <x v="2"/>
    <s v="Juliana Kluge"/>
    <s v="TECNOMEDICAL PRODUTOS MEDICOS LTDA"/>
    <m/>
    <s v="PR"/>
    <x v="43"/>
    <n v="3"/>
    <n v="390"/>
    <m/>
    <x v="57"/>
    <n v="1170"/>
    <n v="1"/>
  </r>
  <r>
    <x v="2"/>
    <s v="Juliana Kluge"/>
    <s v="TECNOMEDICAL PRODUTOS MEDICOS LTDA"/>
    <m/>
    <s v="PR"/>
    <x v="44"/>
    <n v="2"/>
    <n v="749"/>
    <m/>
    <x v="58"/>
    <n v="1498"/>
    <n v="1"/>
  </r>
  <r>
    <x v="2"/>
    <s v="Juliana Kluge"/>
    <s v="TECNOMEDICAL PRODUTOS MEDICOS LTDA"/>
    <m/>
    <s v="PR"/>
    <x v="45"/>
    <n v="5"/>
    <n v="530"/>
    <m/>
    <x v="59"/>
    <n v="2650"/>
    <n v="1"/>
  </r>
  <r>
    <x v="2"/>
    <s v="Juliana Kluge"/>
    <s v="TECNOMEDICAL PRODUTOS MEDICOS LTDA"/>
    <m/>
    <s v="PR"/>
    <x v="46"/>
    <n v="8"/>
    <n v="530"/>
    <m/>
    <x v="60"/>
    <n v="4240"/>
    <n v="1"/>
  </r>
  <r>
    <x v="3"/>
    <s v="Paulo Chiarelli"/>
    <s v="IDORAMED IMPORTACAO, DISTRIBUICAO E COMERCIO DE MATERIAIS MEDICOS HOSPITALARES L"/>
    <m/>
    <s v="SP"/>
    <x v="11"/>
    <n v="7"/>
    <n v="775"/>
    <m/>
    <x v="61"/>
    <n v="5425"/>
    <n v="1"/>
  </r>
  <r>
    <x v="3"/>
    <s v="Ricardo santos"/>
    <s v="SPDM - ASSOCIAçãO PAULISTA P/ O DESENVOLVIMENTO DA MEDICINA"/>
    <m/>
    <s v="SP"/>
    <x v="3"/>
    <n v="2"/>
    <n v="180"/>
    <m/>
    <x v="52"/>
    <n v="360"/>
    <n v="1"/>
  </r>
  <r>
    <x v="3"/>
    <s v="Ricardo santos"/>
    <s v="SPDM - ASSOCIAçãO PAULISTA P/ O DESENVOLVIMENTO DA MEDICINA"/>
    <m/>
    <s v="SP"/>
    <x v="2"/>
    <n v="1"/>
    <n v="150"/>
    <m/>
    <x v="18"/>
    <n v="150"/>
    <n v="1"/>
  </r>
  <r>
    <x v="3"/>
    <s v="Michele Rosete"/>
    <s v="INSTITUTO NACIONAL DE DESENVOLVIMENTO SOCIAL E HUMANO - INDSH"/>
    <m/>
    <s v="SC"/>
    <x v="11"/>
    <n v="5"/>
    <n v="950"/>
    <m/>
    <x v="62"/>
    <n v="4750"/>
    <n v="1"/>
  </r>
  <r>
    <x v="3"/>
    <s v="Michele Rosete"/>
    <s v="FUNDACAO MANOEL DA SILVA ALMEIDA"/>
    <m/>
    <s v="PE"/>
    <x v="5"/>
    <n v="60"/>
    <n v="65"/>
    <m/>
    <x v="63"/>
    <n v="3900"/>
    <n v="1"/>
  </r>
  <r>
    <x v="3"/>
    <s v="Michele Rosete"/>
    <s v="FUNDACAO MANOEL DA SILVA ALMEIDA"/>
    <m/>
    <s v="PE"/>
    <x v="14"/>
    <n v="20"/>
    <n v="65"/>
    <m/>
    <x v="64"/>
    <n v="1300"/>
    <n v="1"/>
  </r>
  <r>
    <x v="3"/>
    <s v="Michele Rosete"/>
    <s v="INSTITUTO ACQUA - ACAO, CIDADANIA, QUALIDADE URBANA E AMBIENTAL"/>
    <m/>
    <s v="PA"/>
    <x v="35"/>
    <n v="5"/>
    <n v="345"/>
    <m/>
    <x v="65"/>
    <n v="1725"/>
    <n v="1"/>
  </r>
  <r>
    <x v="3"/>
    <s v="Michele Rosete"/>
    <s v="INSTITUTO ACQUA - ACAO, CIDADANIA, QUALIDADE URBANA E AMBIENTAL"/>
    <m/>
    <s v="PA"/>
    <x v="7"/>
    <n v="70"/>
    <n v="45"/>
    <m/>
    <x v="66"/>
    <n v="3150"/>
    <n v="1"/>
  </r>
  <r>
    <x v="3"/>
    <s v="Noemia Sattin"/>
    <s v="CONSORCIO INTERMUNICIPAL DE SAUDE DO VALE DO IVAI E REGIAO"/>
    <m/>
    <s v="PR"/>
    <x v="20"/>
    <n v="6"/>
    <n v="470"/>
    <m/>
    <x v="67"/>
    <n v="2820"/>
    <n v="1"/>
  </r>
  <r>
    <x v="3"/>
    <s v="Distribuidores"/>
    <s v="PEREIRA E PEREIRA PRESTACAO DE SERVICOS MEDICOS LTDA"/>
    <m/>
    <s v="MG"/>
    <x v="1"/>
    <n v="5"/>
    <n v="290"/>
    <m/>
    <x v="68"/>
    <n v="1450"/>
    <n v="1"/>
  </r>
  <r>
    <x v="3"/>
    <s v="Distribuidores"/>
    <s v="PEREIRA E PEREIRA PRESTACAO DE SERVICOS MEDICOS LTDA"/>
    <m/>
    <s v="MG"/>
    <x v="47"/>
    <n v="5"/>
    <n v="335"/>
    <m/>
    <x v="69"/>
    <n v="1675"/>
    <n v="1"/>
  </r>
  <r>
    <x v="3"/>
    <s v="Distribuidores"/>
    <s v="PEREIRA E PEREIRA PRESTACAO DE SERVICOS MEDICOS LTDA"/>
    <m/>
    <s v="MG"/>
    <x v="11"/>
    <n v="5"/>
    <n v="680"/>
    <m/>
    <x v="26"/>
    <n v="3400"/>
    <n v="1"/>
  </r>
  <r>
    <x v="3"/>
    <s v="Noemia Sattin"/>
    <s v="FUNDACAO ESTATAL DE ATENCAO EM SAUDE DO ESTADO DO PARANA"/>
    <m/>
    <s v="PR"/>
    <x v="20"/>
    <n v="24"/>
    <n v="566.66"/>
    <m/>
    <x v="70"/>
    <n v="13599.84"/>
    <n v="1"/>
  </r>
  <r>
    <x v="3"/>
    <s v="Distribuidores"/>
    <s v="MED-ONE PRODUTOS MéDICOS LTDA-EPP"/>
    <m/>
    <s v="SP"/>
    <x v="48"/>
    <n v="2"/>
    <n v="99"/>
    <m/>
    <x v="71"/>
    <n v="198"/>
    <n v="1"/>
  </r>
  <r>
    <x v="3"/>
    <s v="Distribuidores"/>
    <s v="MED-ONE PRODUTOS MéDICOS LTDA-EPP"/>
    <m/>
    <s v="SP"/>
    <x v="49"/>
    <n v="2"/>
    <n v="99"/>
    <m/>
    <x v="71"/>
    <n v="198"/>
    <n v="1"/>
  </r>
  <r>
    <x v="3"/>
    <s v="Distribuidores"/>
    <s v="MED-ONE PRODUTOS MéDICOS LTDA-EPP"/>
    <m/>
    <s v="SP"/>
    <x v="50"/>
    <n v="2"/>
    <n v="99"/>
    <m/>
    <x v="71"/>
    <n v="198"/>
    <n v="1"/>
  </r>
  <r>
    <x v="3"/>
    <s v="Distribuidores"/>
    <s v="MED-ONE PRODUTOS MéDICOS LTDA-EPP"/>
    <m/>
    <s v="SP"/>
    <x v="51"/>
    <n v="2"/>
    <n v="99"/>
    <m/>
    <x v="71"/>
    <n v="198"/>
    <n v="1"/>
  </r>
  <r>
    <x v="3"/>
    <s v="Distribuidores"/>
    <s v="MED-ONE PRODUTOS MéDICOS LTDA-EPP"/>
    <m/>
    <s v="SP"/>
    <x v="3"/>
    <n v="200"/>
    <n v="48"/>
    <m/>
    <x v="72"/>
    <n v="9600"/>
    <n v="1"/>
  </r>
  <r>
    <x v="3"/>
    <s v="Distribuidores"/>
    <s v="MED-ONE PRODUTOS MéDICOS LTDA-EPP"/>
    <m/>
    <s v="SP"/>
    <x v="52"/>
    <n v="10"/>
    <n v="85"/>
    <m/>
    <x v="73"/>
    <n v="850"/>
    <n v="1"/>
  </r>
  <r>
    <x v="3"/>
    <s v="Distribuidores"/>
    <s v="MED-ONE PRODUTOS MéDICOS LTDA-EPP"/>
    <m/>
    <s v="SP"/>
    <x v="1"/>
    <n v="50"/>
    <n v="275"/>
    <m/>
    <x v="74"/>
    <n v="13750"/>
    <n v="1"/>
  </r>
  <r>
    <x v="3"/>
    <s v="Distribuidores"/>
    <s v="MED-ONE PRODUTOS MéDICOS LTDA-EPP"/>
    <m/>
    <s v="SP"/>
    <x v="28"/>
    <n v="10"/>
    <n v="475"/>
    <m/>
    <x v="62"/>
    <n v="4750"/>
    <n v="1"/>
  </r>
  <r>
    <x v="3"/>
    <s v="Distribuidores"/>
    <s v="MED-ONE PRODUTOS MéDICOS LTDA-EPP"/>
    <m/>
    <s v="SP"/>
    <x v="36"/>
    <n v="50"/>
    <n v="375"/>
    <m/>
    <x v="75"/>
    <n v="18750"/>
    <n v="1"/>
  </r>
  <r>
    <x v="4"/>
    <s v="Distribuidores"/>
    <s v="MED-ONE PRODUTOS MéDICOS LTDA-EPP"/>
    <m/>
    <s v="SP"/>
    <x v="2"/>
    <n v="200"/>
    <n v="75"/>
    <m/>
    <x v="76"/>
    <n v="15000"/>
    <n v="1"/>
  </r>
  <r>
    <x v="4"/>
    <s v="Distribuidores"/>
    <s v="MED-ONE PRODUTOS MéDICOS LTDA-EPP"/>
    <m/>
    <s v="SP"/>
    <x v="53"/>
    <n v="50"/>
    <n v="335"/>
    <m/>
    <x v="77"/>
    <n v="16750"/>
    <n v="1"/>
  </r>
  <r>
    <x v="4"/>
    <s v="Distribuidores"/>
    <s v="MED-ONE PRODUTOS MéDICOS LTDA-EPP"/>
    <m/>
    <s v="SP"/>
    <x v="54"/>
    <n v="30"/>
    <n v="335"/>
    <m/>
    <x v="78"/>
    <n v="10050"/>
    <n v="1"/>
  </r>
  <r>
    <x v="4"/>
    <s v="Distribuidores"/>
    <s v="MED-ONE PRODUTOS MéDICOS LTDA-EPP"/>
    <m/>
    <s v="SP"/>
    <x v="47"/>
    <n v="30"/>
    <n v="335"/>
    <m/>
    <x v="78"/>
    <n v="10050"/>
    <n v="1"/>
  </r>
  <r>
    <x v="4"/>
    <s v="Michele Rosete"/>
    <s v="FUNDACAO MANOEL DA SILVA ALMEIDA"/>
    <m/>
    <s v="PE"/>
    <x v="14"/>
    <n v="3"/>
    <n v="65"/>
    <m/>
    <x v="79"/>
    <n v="195"/>
    <n v="1"/>
  </r>
  <r>
    <x v="4"/>
    <s v="Michele Rosete"/>
    <s v="FUNDACAO MANOEL DA SILVA ALMEIDA"/>
    <m/>
    <s v="PE"/>
    <x v="7"/>
    <n v="40"/>
    <n v="45"/>
    <m/>
    <x v="43"/>
    <n v="1800"/>
    <n v="1"/>
  </r>
  <r>
    <x v="4"/>
    <s v="Ricardo santos"/>
    <s v="FUNDO MUNICIPAL DE SAUDE - FMS"/>
    <m/>
    <s v="SP"/>
    <x v="11"/>
    <n v="1"/>
    <n v="675"/>
    <m/>
    <x v="11"/>
    <n v="675"/>
    <n v="1"/>
  </r>
  <r>
    <x v="4"/>
    <s v="Ricardo santos"/>
    <s v="FUNDO MUNICIPAL DE SAUDE - FMS"/>
    <m/>
    <s v="SP"/>
    <x v="11"/>
    <n v="1"/>
    <n v="675"/>
    <m/>
    <x v="11"/>
    <n v="675"/>
    <n v="1"/>
  </r>
  <r>
    <x v="4"/>
    <s v="Ricardo santos"/>
    <s v="FUNDO MUNICIPAL DE SAUDE - FMS"/>
    <m/>
    <s v="SP"/>
    <x v="11"/>
    <n v="1"/>
    <n v="675"/>
    <m/>
    <x v="11"/>
    <n v="675"/>
    <n v="1"/>
  </r>
  <r>
    <x v="4"/>
    <s v="MELINA BASSO"/>
    <s v="NEO MEDICAL COMERCIAL HOSPITALAR LTDA"/>
    <m/>
    <s v="SP"/>
    <x v="37"/>
    <n v="15"/>
    <n v="540"/>
    <m/>
    <x v="80"/>
    <n v="8100"/>
    <n v="1"/>
  </r>
  <r>
    <x v="4"/>
    <s v="MELINA BASSO"/>
    <s v="NEO MEDICAL COMERCIAL HOSPITALAR LTDA"/>
    <m/>
    <s v="SP"/>
    <x v="39"/>
    <n v="5"/>
    <n v="540"/>
    <m/>
    <x v="81"/>
    <n v="2700"/>
    <n v="1"/>
  </r>
  <r>
    <x v="4"/>
    <s v="MELINA BASSO"/>
    <s v="NEO MEDICAL COMERCIAL HOSPITALAR LTDA"/>
    <m/>
    <s v="SP"/>
    <x v="55"/>
    <n v="100"/>
    <n v="135"/>
    <m/>
    <x v="82"/>
    <n v="13500"/>
    <n v="1"/>
  </r>
  <r>
    <x v="4"/>
    <s v="MELINA BASSO"/>
    <s v="NEO MEDICAL COMERCIAL HOSPITALAR LTDA"/>
    <m/>
    <s v="SP"/>
    <x v="5"/>
    <n v="10"/>
    <n v="52"/>
    <m/>
    <x v="83"/>
    <n v="520"/>
    <n v="1"/>
  </r>
  <r>
    <x v="4"/>
    <s v="MELINA BASSO"/>
    <s v="NEO MEDICAL COMERCIAL HOSPITALAR LTDA"/>
    <m/>
    <s v="SP"/>
    <x v="19"/>
    <n v="5"/>
    <n v="64"/>
    <m/>
    <x v="84"/>
    <n v="320"/>
    <n v="1"/>
  </r>
  <r>
    <x v="4"/>
    <s v="MELINA BASSO"/>
    <s v="NEO MEDICAL COMERCIAL HOSPITALAR LTDA"/>
    <m/>
    <s v="SP"/>
    <x v="14"/>
    <n v="5"/>
    <n v="52"/>
    <m/>
    <x v="85"/>
    <n v="260"/>
    <n v="1"/>
  </r>
  <r>
    <x v="4"/>
    <s v="MELINA BASSO"/>
    <s v="NEO MEDICAL COMERCIAL HOSPITALAR LTDA"/>
    <m/>
    <s v="SP"/>
    <x v="10"/>
    <n v="10"/>
    <n v="64"/>
    <m/>
    <x v="86"/>
    <n v="640"/>
    <n v="1"/>
  </r>
  <r>
    <x v="4"/>
    <s v="MELINA BASSO"/>
    <s v="NEO MEDICAL COMERCIAL HOSPITALAR LTDA"/>
    <m/>
    <s v="SP"/>
    <x v="7"/>
    <n v="30"/>
    <n v="43"/>
    <m/>
    <x v="87"/>
    <n v="1290"/>
    <n v="1"/>
  </r>
  <r>
    <x v="4"/>
    <s v="Ricardo santos"/>
    <s v="FAMESP FUNDAçãO PARA O DESENVOLVIMENTO MéDICO HOSPITALAR"/>
    <m/>
    <s v="SP"/>
    <x v="18"/>
    <n v="2"/>
    <n v="55"/>
    <m/>
    <x v="2"/>
    <n v="110"/>
    <n v="1"/>
  </r>
  <r>
    <x v="4"/>
    <s v="Ricardo santos"/>
    <s v="SPDM - ASSOCIAçãO PAULISTA P/ O DESENVOLVIMENTO DA MEDICINA"/>
    <m/>
    <s v="SP"/>
    <x v="56"/>
    <n v="1"/>
    <n v="72"/>
    <m/>
    <x v="88"/>
    <n v="72"/>
    <n v="1"/>
  </r>
  <r>
    <x v="4"/>
    <s v="Ricardo santos"/>
    <s v="SPDM - ASSOCIAçãO PAULISTA P/ O DESENVOLVIMENTO DA MEDICINA"/>
    <m/>
    <s v="SP"/>
    <x v="3"/>
    <n v="1"/>
    <n v="180"/>
    <m/>
    <x v="51"/>
    <n v="180"/>
    <n v="1"/>
  </r>
  <r>
    <x v="4"/>
    <s v="Ricardo santos"/>
    <s v="SPDM - ASSOCIAçãO PAULISTA P/ O DESENVOLVIMENTO DA MEDICINA"/>
    <m/>
    <s v="SP"/>
    <x v="2"/>
    <n v="2"/>
    <n v="150"/>
    <m/>
    <x v="56"/>
    <n v="300"/>
    <n v="1"/>
  </r>
  <r>
    <x v="5"/>
    <s v="Noemia Sattin"/>
    <s v="HOSPITAL MUNICIPAL SAO JOSE"/>
    <m/>
    <s v="SC"/>
    <x v="19"/>
    <n v="50"/>
    <n v="73.900000000000006"/>
    <m/>
    <x v="89"/>
    <n v="3695.0000000000005"/>
    <n v="1"/>
  </r>
  <r>
    <x v="5"/>
    <s v="Noemia Sattin"/>
    <s v="HOSPITAL MUNICIPAL SAO JOSE"/>
    <m/>
    <s v="SC"/>
    <x v="10"/>
    <n v="10"/>
    <n v="75"/>
    <m/>
    <x v="90"/>
    <n v="750"/>
    <n v="1"/>
  </r>
  <r>
    <x v="5"/>
    <s v="Felipe Curi"/>
    <s v="FUNDACAO PARAIBANA DE GESTAO EM SAUDE - PB SAUDE"/>
    <m/>
    <s v="PB"/>
    <x v="20"/>
    <n v="10"/>
    <n v="390"/>
    <m/>
    <x v="63"/>
    <n v="3900"/>
    <n v="1"/>
  </r>
  <r>
    <x v="5"/>
    <s v="Juliana Kluge"/>
    <s v="CIRURGICA TRES MARIAS LTDA."/>
    <m/>
    <s v="PR"/>
    <x v="11"/>
    <n v="7"/>
    <n v="775"/>
    <m/>
    <x v="61"/>
    <n v="5425"/>
    <n v="1"/>
  </r>
  <r>
    <x v="5"/>
    <s v="Noemia Sattin"/>
    <s v="EMPRESA BRASILEIRA DE SERVICOS HOSPITALARES - EBSERH"/>
    <m/>
    <s v="SC"/>
    <x v="57"/>
    <n v="50"/>
    <n v="57"/>
    <m/>
    <x v="91"/>
    <n v="2850"/>
    <n v="1"/>
  </r>
  <r>
    <x v="5"/>
    <s v="Noemia Sattin"/>
    <s v="INSTITUTO DE PREVIDENCIA DOS SERVIDORES DO ESTADO MG"/>
    <m/>
    <s v="MG"/>
    <x v="58"/>
    <n v="3"/>
    <n v="723.5"/>
    <m/>
    <x v="92"/>
    <n v="2170.5"/>
    <n v="1"/>
  </r>
  <r>
    <x v="5"/>
    <s v="Ricardo santos"/>
    <s v="REDE MUNICIPAL DR. MARIO GATTI DE URG. E EMERG. HOSPITALAR"/>
    <m/>
    <s v="SP"/>
    <x v="11"/>
    <n v="5"/>
    <n v="980"/>
    <m/>
    <x v="93"/>
    <n v="4900"/>
    <n v="1"/>
  </r>
  <r>
    <x v="5"/>
    <s v="Distribuidores"/>
    <s v="BR TOTAL HEALTH COMERCIO, SERVICOS E IMPORTACAO LTDA"/>
    <m/>
    <s v="RJ"/>
    <x v="59"/>
    <n v="11"/>
    <n v="465"/>
    <m/>
    <x v="94"/>
    <n v="5115"/>
    <n v="1"/>
  </r>
  <r>
    <x v="5"/>
    <s v="Noemia Sattin"/>
    <s v="INSTITUTO DE PREVIDENCIA DOS SERVIDORES DO ESTADO MG"/>
    <m/>
    <s v="MG"/>
    <x v="11"/>
    <n v="8"/>
    <n v="712.5"/>
    <m/>
    <x v="95"/>
    <n v="5700"/>
    <n v="1"/>
  </r>
  <r>
    <x v="5"/>
    <s v="Felipe Curi"/>
    <s v="FUNDO ESTADUAL DE SAUDE DO ESTADO DA BAHIA"/>
    <m/>
    <s v="BA"/>
    <x v="37"/>
    <n v="12"/>
    <n v="635"/>
    <m/>
    <x v="96"/>
    <n v="7620"/>
    <n v="1"/>
  </r>
  <r>
    <x v="5"/>
    <s v="Felipe Curi"/>
    <s v="FUNDO ESTADUAL DE SAUDE DO ESTADO DA BAHIA"/>
    <m/>
    <s v="BA"/>
    <x v="38"/>
    <n v="12"/>
    <n v="635"/>
    <m/>
    <x v="96"/>
    <n v="7620"/>
    <n v="1"/>
  </r>
  <r>
    <x v="5"/>
    <s v="Felipe Curi"/>
    <s v="FUNDO ESTADUAL DE SAUDE DO ESTADO DA BAHIA"/>
    <m/>
    <s v="BA"/>
    <x v="39"/>
    <n v="6"/>
    <n v="635"/>
    <m/>
    <x v="97"/>
    <n v="3810"/>
    <n v="1"/>
  </r>
  <r>
    <x v="5"/>
    <s v="Juliana Kluge"/>
    <s v="ANGULAR PRODUTOS PARA SAúDE LTDA-ME"/>
    <m/>
    <s v="PR"/>
    <x v="60"/>
    <n v="1"/>
    <n v="535"/>
    <m/>
    <x v="98"/>
    <n v="535"/>
    <n v="1"/>
  </r>
  <r>
    <x v="5"/>
    <s v="Juliana Kluge"/>
    <s v="ANGULAR PRODUTOS PARA SAúDE LTDA-ME"/>
    <m/>
    <s v="PR"/>
    <x v="61"/>
    <n v="1"/>
    <n v="535"/>
    <m/>
    <x v="98"/>
    <n v="535"/>
    <n v="1"/>
  </r>
  <r>
    <x v="5"/>
    <s v="Juliana Kluge"/>
    <s v="ANGULAR PRODUTOS PARA SAúDE LTDA-ME"/>
    <m/>
    <s v="PR"/>
    <x v="23"/>
    <n v="1"/>
    <n v="535"/>
    <m/>
    <x v="98"/>
    <n v="535"/>
    <n v="1"/>
  </r>
  <r>
    <x v="5"/>
    <s v="Juliana Kluge"/>
    <s v="ANGULAR PRODUTOS PARA SAúDE LTDA-ME"/>
    <m/>
    <s v="PR"/>
    <x v="11"/>
    <n v="10"/>
    <n v="680"/>
    <m/>
    <x v="99"/>
    <n v="6800"/>
    <n v="1"/>
  </r>
  <r>
    <x v="5"/>
    <s v="Juliana Kluge"/>
    <s v="ANGULAR PRODUTOS PARA SAúDE LTDA-ME"/>
    <m/>
    <s v="PR"/>
    <x v="33"/>
    <n v="300"/>
    <n v="36"/>
    <m/>
    <x v="100"/>
    <n v="10800"/>
    <n v="1"/>
  </r>
  <r>
    <x v="5"/>
    <s v="Felipe Curi"/>
    <s v="FUNDO ESTADUAL DE SAUDE DO ESTADO DA BAHIA"/>
    <m/>
    <s v="BA"/>
    <x v="2"/>
    <n v="200"/>
    <n v="60"/>
    <m/>
    <x v="101"/>
    <n v="12000"/>
    <n v="1"/>
  </r>
  <r>
    <x v="5"/>
    <s v="Ricardo santos"/>
    <s v="SPDM - ASSOCIAçãO PAULISTA P/ O DESENVOLVIMENTO DA MEDICINA"/>
    <m/>
    <s v="SP"/>
    <x v="3"/>
    <n v="1"/>
    <n v="180"/>
    <m/>
    <x v="51"/>
    <n v="180"/>
    <n v="1"/>
  </r>
  <r>
    <x v="5"/>
    <s v="Ricardo santos"/>
    <s v="SPDM - ASSOCIAçãO PAULISTA P/ O DESENVOLVIMENTO DA MEDICINA"/>
    <m/>
    <s v="SP"/>
    <x v="2"/>
    <n v="1"/>
    <n v="150"/>
    <m/>
    <x v="18"/>
    <n v="150"/>
    <n v="1"/>
  </r>
  <r>
    <x v="5"/>
    <s v="Ricardo santos"/>
    <s v="SPDM - ASSOCIAçãO PAULISTA P/ O DESENVOLVIMENTO DA MEDICINA"/>
    <m/>
    <s v="SP"/>
    <x v="2"/>
    <n v="1"/>
    <n v="150"/>
    <m/>
    <x v="18"/>
    <n v="150"/>
    <n v="1"/>
  </r>
  <r>
    <x v="5"/>
    <s v="Ricardo santos"/>
    <s v="SPDM - ASSOCIAçãO PAULISTA P/ O DESENVOLVIMENTO DA MEDICINA"/>
    <m/>
    <s v="SP"/>
    <x v="62"/>
    <n v="1"/>
    <n v="180"/>
    <m/>
    <x v="51"/>
    <n v="180"/>
    <n v="1"/>
  </r>
  <r>
    <x v="5"/>
    <s v="Michele Rosete"/>
    <s v="ASSOCIACAO PIAUIENSE DE COMBATE AO CANCER ALCENOR ALMEIDA"/>
    <m/>
    <s v="PI"/>
    <x v="14"/>
    <n v="5"/>
    <n v="65"/>
    <m/>
    <x v="4"/>
    <n v="325"/>
    <n v="1"/>
  </r>
  <r>
    <x v="5"/>
    <s v="Michele Rosete"/>
    <s v="ASSOCIACAO PIAUIENSE DE COMBATE AO CANCER ALCENOR ALMEIDA"/>
    <m/>
    <s v="PI"/>
    <x v="20"/>
    <n v="3"/>
    <n v="495"/>
    <m/>
    <x v="102"/>
    <n v="1485"/>
    <n v="1"/>
  </r>
  <r>
    <x v="6"/>
    <s v="Michele Rosete"/>
    <s v="SPDM - ASSOCIACAO PAULISTA PARA O DESENVOLVIMENTO DA MEDICINA"/>
    <m/>
    <s v="SP"/>
    <x v="11"/>
    <n v="1"/>
    <n v="900"/>
    <m/>
    <x v="19"/>
    <n v="900"/>
    <n v="1"/>
  </r>
  <r>
    <x v="6"/>
    <s v="Michele Rosete"/>
    <s v="INSTITUTO ACQUA - ACAO, CIDADANIA, QUALIDADE URBANA E AMBIENTAL"/>
    <m/>
    <s v="MS"/>
    <x v="20"/>
    <n v="5"/>
    <n v="500"/>
    <m/>
    <x v="103"/>
    <n v="2500"/>
    <n v="1"/>
  </r>
  <r>
    <x v="6"/>
    <s v="Michele Rosete"/>
    <s v="SOCIEDADE BENEFICENTE SAO CAMILO"/>
    <m/>
    <s v="CE"/>
    <x v="11"/>
    <n v="2"/>
    <n v="950"/>
    <m/>
    <x v="104"/>
    <n v="1900"/>
    <n v="1"/>
  </r>
  <r>
    <x v="6"/>
    <s v="Michele Rosete"/>
    <s v="INSTITUTO ACQUA - ACAO, CIDADANIA, QUALIDADE URBANA E AMBIEN"/>
    <m/>
    <s v="PA"/>
    <x v="10"/>
    <n v="10"/>
    <n v="75"/>
    <m/>
    <x v="90"/>
    <n v="750"/>
    <n v="1"/>
  </r>
  <r>
    <x v="6"/>
    <s v="Michele Rosete"/>
    <s v="INSTITUTO ACQUA - ACAO, CIDADANIA, QUALIDADE URBANA E AMBIEN"/>
    <m/>
    <s v="PA"/>
    <x v="63"/>
    <n v="2"/>
    <n v="150"/>
    <m/>
    <x v="56"/>
    <n v="300"/>
    <n v="1"/>
  </r>
  <r>
    <x v="6"/>
    <s v="Michele Rosete"/>
    <s v="INSTITUTO ACQUA - ACAO, CIDADANIA, QUALIDADE URBANA E AMBIEN"/>
    <m/>
    <s v="PA"/>
    <x v="11"/>
    <n v="1"/>
    <n v="950"/>
    <m/>
    <x v="105"/>
    <n v="950"/>
    <n v="1"/>
  </r>
  <r>
    <x v="6"/>
    <s v="Ricardo santos"/>
    <s v="FUNDO MUNICIPAL DE SAUDE - FMS"/>
    <m/>
    <s v="SP"/>
    <x v="11"/>
    <n v="1"/>
    <n v="675"/>
    <m/>
    <x v="11"/>
    <n v="675"/>
    <n v="1"/>
  </r>
  <r>
    <x v="6"/>
    <s v="Felipe Curi"/>
    <s v="FUNDACAO PARAIBANA DE GESTAO EM SAUDE - PB SAUDE"/>
    <m/>
    <s v="PB"/>
    <x v="2"/>
    <n v="-37"/>
    <n v="70"/>
    <m/>
    <x v="106"/>
    <n v="-2590"/>
    <n v="1"/>
  </r>
  <r>
    <x v="6"/>
    <s v="Felipe Curi"/>
    <s v="FUNDACAO PARAIBANA DE GESTAO EM SAUDE - PB SAUDE"/>
    <m/>
    <s v="PB"/>
    <x v="40"/>
    <n v="37"/>
    <n v="70"/>
    <m/>
    <x v="107"/>
    <n v="2590"/>
    <n v="1"/>
  </r>
  <r>
    <x v="6"/>
    <s v="Noemia Sattin"/>
    <s v="FUNDO MUNICIPAL DE SAUDE"/>
    <m/>
    <s v="PR"/>
    <x v="57"/>
    <n v="230"/>
    <n v="55"/>
    <m/>
    <x v="108"/>
    <n v="12650"/>
    <n v="1"/>
  </r>
  <r>
    <x v="6"/>
    <s v="Ricardo santos"/>
    <s v="FUNDO MUNICIPAL DE SAUDE - FMS"/>
    <m/>
    <s v="SP"/>
    <x v="11"/>
    <n v="1"/>
    <n v="675"/>
    <m/>
    <x v="11"/>
    <n v="675"/>
    <n v="1"/>
  </r>
  <r>
    <x v="6"/>
    <s v="Felipe Curi"/>
    <s v="FUNDO MUNICIPAL DE SAUDE"/>
    <m/>
    <s v="PB"/>
    <x v="40"/>
    <n v="-23"/>
    <n v="122"/>
    <m/>
    <x v="109"/>
    <n v="-2806"/>
    <n v="1"/>
  </r>
  <r>
    <x v="6"/>
    <s v="Paulo Chiarelli"/>
    <s v="COMERCIAL PABLOS LTDA."/>
    <m/>
    <s v="SP"/>
    <x v="7"/>
    <n v="100"/>
    <n v="55"/>
    <m/>
    <x v="110"/>
    <n v="5500"/>
    <n v="1"/>
  </r>
  <r>
    <x v="6"/>
    <s v="Ricardo santos"/>
    <s v="FUNDO MUNICIPAL DE SAUDE - FMS"/>
    <m/>
    <s v="SP"/>
    <x v="11"/>
    <n v="1"/>
    <n v="675"/>
    <m/>
    <x v="11"/>
    <n v="675"/>
    <n v="1"/>
  </r>
  <r>
    <x v="6"/>
    <s v="Ricardo santos"/>
    <s v="FUNDO MUNICIPAL DE SAUDE - FMS"/>
    <m/>
    <s v="SP"/>
    <x v="11"/>
    <n v="1"/>
    <n v="675"/>
    <m/>
    <x v="11"/>
    <n v="675"/>
    <n v="1"/>
  </r>
  <r>
    <x v="6"/>
    <s v="Ricardo santos"/>
    <s v="FUNDO MUNICIPAL DE SAUDE - FMS"/>
    <m/>
    <s v="SP"/>
    <x v="11"/>
    <n v="1"/>
    <n v="675"/>
    <m/>
    <x v="11"/>
    <n v="675"/>
    <n v="1"/>
  </r>
  <r>
    <x v="6"/>
    <s v="Ricardo santos"/>
    <s v="FUNDO MUNICIPAL DE SAUDE - FMS"/>
    <m/>
    <s v="SP"/>
    <x v="11"/>
    <n v="1"/>
    <n v="675"/>
    <m/>
    <x v="11"/>
    <n v="675"/>
    <n v="1"/>
  </r>
  <r>
    <x v="6"/>
    <s v="Noemia Sattin"/>
    <s v="FUNDACAO ESTATAL DE ATENCAO EM SAUDE DO ESTADO DO PARANA"/>
    <m/>
    <s v="PR"/>
    <x v="43"/>
    <n v="1"/>
    <n v="400"/>
    <m/>
    <x v="111"/>
    <n v="400"/>
    <n v="1"/>
  </r>
  <r>
    <x v="6"/>
    <s v="Noemia Sattin"/>
    <s v="FUNDACAO ESTATAL DE ATENCAO EM SAUDE DO ESTADO DO PARANA"/>
    <m/>
    <s v="PR"/>
    <x v="43"/>
    <n v="1"/>
    <n v="400"/>
    <m/>
    <x v="111"/>
    <n v="400"/>
    <n v="1"/>
  </r>
  <r>
    <x v="6"/>
    <s v="Noemia Sattin"/>
    <s v="FUNDACAO ESTATAL DE ATENCAO EM SAUDE DO ESTADO DO PARANA"/>
    <m/>
    <s v="PR"/>
    <x v="43"/>
    <n v="1"/>
    <n v="400"/>
    <m/>
    <x v="111"/>
    <n v="400"/>
    <n v="1"/>
  </r>
  <r>
    <x v="6"/>
    <s v="Felipe Curi"/>
    <s v="EMPRESA BRASILEIRA DE SERVICOS HOSPITALARES-EBSERH"/>
    <m/>
    <s v="AP"/>
    <x v="11"/>
    <n v="12"/>
    <n v="1641.25"/>
    <m/>
    <x v="112"/>
    <n v="19695"/>
    <n v="1"/>
  </r>
  <r>
    <x v="6"/>
    <s v="Felipe Curi"/>
    <s v="EMPRESA BRASILEIRA DE SERVICOS HOSPITALARES-EBSERH"/>
    <m/>
    <s v="AP"/>
    <x v="11"/>
    <n v="16"/>
    <n v="1923.33"/>
    <m/>
    <x v="113"/>
    <n v="30773.279999999999"/>
    <n v="1"/>
  </r>
  <r>
    <x v="6"/>
    <s v="Felipe Curi"/>
    <s v="HOSPITAL MILITAR DE AREA DE RECIFE"/>
    <m/>
    <s v="PE"/>
    <x v="20"/>
    <n v="20"/>
    <n v="530"/>
    <m/>
    <x v="114"/>
    <n v="10600"/>
    <n v="1"/>
  </r>
  <r>
    <x v="6"/>
    <s v="Felipe Curi"/>
    <s v="FUNDO MUNICIPAL DE SAUDE"/>
    <m/>
    <s v="PB"/>
    <x v="40"/>
    <n v="23"/>
    <n v="122"/>
    <m/>
    <x v="115"/>
    <n v="2806"/>
    <n v="1"/>
  </r>
  <r>
    <x v="6"/>
    <s v="Distribuidores"/>
    <s v="LACMED PRODUTOS MEDICO-HOSPITALARES LTDA"/>
    <m/>
    <s v="MS"/>
    <x v="2"/>
    <n v="62"/>
    <n v="75"/>
    <m/>
    <x v="116"/>
    <n v="4650"/>
    <n v="1"/>
  </r>
  <r>
    <x v="6"/>
    <s v="Distribuidores"/>
    <s v="LACMED PRODUTOS MEDICO-HOSPITALARES LTDA"/>
    <m/>
    <s v="MS"/>
    <x v="20"/>
    <n v="1"/>
    <n v="365"/>
    <m/>
    <x v="38"/>
    <n v="365"/>
    <n v="1"/>
  </r>
  <r>
    <x v="6"/>
    <s v="Noemia Sattin"/>
    <s v="SECRETARIA DE ESTADO DA SEGURANCA PUBLICA"/>
    <m/>
    <s v="PR"/>
    <x v="57"/>
    <n v="20"/>
    <n v="70"/>
    <m/>
    <x v="117"/>
    <n v="1400"/>
    <n v="1"/>
  </r>
  <r>
    <x v="6"/>
    <s v="Distribuidores"/>
    <s v="ACE DISTRIBUIDORA LTDA"/>
    <m/>
    <s v="GO"/>
    <x v="10"/>
    <n v="10"/>
    <n v="64"/>
    <m/>
    <x v="86"/>
    <n v="640"/>
    <n v="1"/>
  </r>
  <r>
    <x v="6"/>
    <s v="Distribuidores"/>
    <s v="ACE DISTRIBUIDORA LTDA"/>
    <m/>
    <s v="GO"/>
    <x v="57"/>
    <n v="20"/>
    <n v="52"/>
    <m/>
    <x v="118"/>
    <n v="1040"/>
    <n v="1"/>
  </r>
  <r>
    <x v="6"/>
    <s v="Distribuidores"/>
    <s v="ACE DISTRIBUIDORA LTDA"/>
    <m/>
    <s v="GO"/>
    <x v="34"/>
    <n v="5"/>
    <n v="270"/>
    <m/>
    <x v="27"/>
    <n v="1350"/>
    <n v="1"/>
  </r>
  <r>
    <x v="6"/>
    <s v="Distribuidores"/>
    <s v="ACE DISTRIBUIDORA LTDA"/>
    <m/>
    <s v="GO"/>
    <x v="2"/>
    <n v="20"/>
    <n v="84"/>
    <m/>
    <x v="119"/>
    <n v="1680"/>
    <n v="1"/>
  </r>
  <r>
    <x v="6"/>
    <s v="Distribuidores"/>
    <s v="ACE DISTRIBUIDORA LTDA"/>
    <m/>
    <s v="GO"/>
    <x v="7"/>
    <n v="50"/>
    <n v="43"/>
    <m/>
    <x v="120"/>
    <n v="2150"/>
    <n v="1"/>
  </r>
  <r>
    <x v="6"/>
    <s v="Distribuidores"/>
    <s v="ACE DISTRIBUIDORA LTDA"/>
    <m/>
    <s v="GO"/>
    <x v="11"/>
    <n v="6"/>
    <n v="680"/>
    <m/>
    <x v="121"/>
    <n v="4080"/>
    <n v="1"/>
  </r>
  <r>
    <x v="7"/>
    <s v="Noemia Sattin"/>
    <s v="FUNDO MUNICIPAL DE SAUDE DE MINEIROS"/>
    <m/>
    <s v="GO"/>
    <x v="11"/>
    <n v="4"/>
    <n v="630"/>
    <m/>
    <x v="122"/>
    <n v="2520"/>
    <n v="1"/>
  </r>
  <r>
    <x v="7"/>
    <s v="Noemia Sattin"/>
    <s v="EMPRESA BRASILEIRA DE SERVICOS HOSPITALARES - EBSERH"/>
    <m/>
    <s v="SC"/>
    <x v="3"/>
    <n v="10"/>
    <n v="55"/>
    <m/>
    <x v="123"/>
    <n v="550"/>
    <n v="1"/>
  </r>
  <r>
    <x v="7"/>
    <s v="Noemia Sattin"/>
    <s v="FUNDO MUNICIPAL DE SAUDE"/>
    <m/>
    <s v="GO"/>
    <x v="18"/>
    <n v="100"/>
    <n v="53"/>
    <m/>
    <x v="124"/>
    <n v="5300"/>
    <n v="1"/>
  </r>
  <r>
    <x v="7"/>
    <s v="Michele Rosete"/>
    <s v="HOSPITAL BENEFICIENTE SãO LUCAS DE SãO PEDRO"/>
    <m/>
    <s v="SP"/>
    <x v="57"/>
    <n v="10"/>
    <n v="65"/>
    <m/>
    <x v="5"/>
    <n v="650"/>
    <n v="1"/>
  </r>
  <r>
    <x v="7"/>
    <s v="Ricardo santos"/>
    <s v="MUNICIPIO DE SANTA GERTRUDES"/>
    <m/>
    <s v="SP"/>
    <x v="7"/>
    <n v="10"/>
    <n v="45"/>
    <m/>
    <x v="125"/>
    <n v="450"/>
    <n v="1"/>
  </r>
  <r>
    <x v="7"/>
    <s v="Ricardo santos"/>
    <s v="SPDM - ASSOCIACAO PAULISTA PARA O DESENVOLVIMENTO DA MEDICINA"/>
    <m/>
    <s v="MG"/>
    <x v="29"/>
    <n v="20"/>
    <n v="425"/>
    <m/>
    <x v="35"/>
    <n v="8500"/>
    <n v="1"/>
  </r>
  <r>
    <x v="7"/>
    <s v="Felipe Curi"/>
    <s v="HOSPITAL UNIVERISTáRIO DA UFMA - EBSERH"/>
    <m/>
    <s v="MA"/>
    <x v="35"/>
    <n v="24"/>
    <n v="340"/>
    <m/>
    <x v="126"/>
    <n v="8160"/>
    <n v="1"/>
  </r>
  <r>
    <x v="7"/>
    <s v="Felipe Curi"/>
    <s v="FUNDACAO PARAIBANA DE GESTAO EM SAUDE - PB SAUDE"/>
    <m/>
    <s v="PB"/>
    <x v="2"/>
    <n v="2"/>
    <n v="80"/>
    <m/>
    <x v="127"/>
    <n v="160"/>
    <n v="1"/>
  </r>
  <r>
    <x v="7"/>
    <s v="Juliana Kluge"/>
    <s v="MEDPOA COMERCIO DE MATERIAL HOSPITALAR LTDA"/>
    <m/>
    <s v="RS"/>
    <x v="28"/>
    <n v="24"/>
    <n v="490"/>
    <m/>
    <x v="128"/>
    <n v="11760"/>
    <n v="1"/>
  </r>
  <r>
    <x v="7"/>
    <s v="Felipe Curi"/>
    <s v="INSTITUTO DE SAUDE E GESTAO HOSPITALAR"/>
    <m/>
    <s v="CE"/>
    <x v="2"/>
    <n v="1"/>
    <n v="110"/>
    <m/>
    <x v="2"/>
    <n v="110"/>
    <n v="1"/>
  </r>
  <r>
    <x v="7"/>
    <s v="Felipe Curi"/>
    <s v="INSTITUTO DE SAUDE E GESTAO HOSPITALAR"/>
    <m/>
    <s v="CE"/>
    <x v="2"/>
    <n v="1"/>
    <n v="110"/>
    <m/>
    <x v="2"/>
    <n v="110"/>
    <n v="1"/>
  </r>
  <r>
    <x v="7"/>
    <s v="Ricardo santos"/>
    <s v="SECRETARIA MUNICIPAL DA SAUDE"/>
    <m/>
    <s v="SP"/>
    <x v="11"/>
    <n v="65"/>
    <n v="675"/>
    <m/>
    <x v="129"/>
    <n v="43875"/>
    <n v="1"/>
  </r>
  <r>
    <x v="7"/>
    <s v="Felipe Curi"/>
    <s v="INSTITUTO DE SAUDE E GESTAO HOSPITALAR"/>
    <m/>
    <s v="CE"/>
    <x v="2"/>
    <n v="1"/>
    <n v="110"/>
    <m/>
    <x v="2"/>
    <n v="110"/>
    <n v="1"/>
  </r>
  <r>
    <x v="7"/>
    <s v="Felipe Curi"/>
    <s v="INSTITUTO DE SAUDE E GESTAO HOSPITALAR"/>
    <m/>
    <s v="CE"/>
    <x v="64"/>
    <n v="1"/>
    <n v="170"/>
    <m/>
    <x v="130"/>
    <n v="170"/>
    <n v="1"/>
  </r>
  <r>
    <x v="7"/>
    <s v="Felipe Curi"/>
    <s v="INSTITUTO DE SAUDE E GESTAO HOSPITALAR"/>
    <m/>
    <s v="CE"/>
    <x v="2"/>
    <n v="1"/>
    <n v="110"/>
    <m/>
    <x v="2"/>
    <n v="110"/>
    <n v="1"/>
  </r>
  <r>
    <x v="7"/>
    <s v="Felipe Curi"/>
    <s v="INSTITUTO DE SAUDE E GESTAO HOSPITALAR"/>
    <m/>
    <s v="CE"/>
    <x v="64"/>
    <n v="1"/>
    <n v="170"/>
    <m/>
    <x v="130"/>
    <n v="170"/>
    <n v="1"/>
  </r>
  <r>
    <x v="7"/>
    <s v="Felipe Curi"/>
    <s v="INSTITUTO DE SAUDE E GESTAO HOSPITALAR"/>
    <m/>
    <s v="CE"/>
    <x v="64"/>
    <n v="2"/>
    <n v="170"/>
    <m/>
    <x v="131"/>
    <n v="340"/>
    <n v="1"/>
  </r>
  <r>
    <x v="7"/>
    <s v="Felipe Curi"/>
    <s v="INSTITUTO DE SAUDE E GESTAO HOSPITALAR"/>
    <m/>
    <s v="CE"/>
    <x v="2"/>
    <n v="1"/>
    <n v="110"/>
    <m/>
    <x v="2"/>
    <n v="110"/>
    <n v="1"/>
  </r>
  <r>
    <x v="7"/>
    <s v="Felipe Curi"/>
    <s v="INSTITUTO DE SAUDE E GESTAO HOSPITALAR"/>
    <m/>
    <s v="CE"/>
    <x v="64"/>
    <n v="1"/>
    <n v="170"/>
    <m/>
    <x v="130"/>
    <n v="170"/>
    <n v="1"/>
  </r>
  <r>
    <x v="7"/>
    <s v="Felipe Curi"/>
    <s v="INSTITUTO DE SAUDE E GESTAO HOSPITALAR"/>
    <m/>
    <s v="CE"/>
    <x v="28"/>
    <n v="1"/>
    <n v="705"/>
    <m/>
    <x v="132"/>
    <n v="705"/>
    <n v="1"/>
  </r>
  <r>
    <x v="8"/>
    <s v="Michele Rosete"/>
    <s v="HOSPITAL SAO LUIZ GONZAGA"/>
    <m/>
    <s v="RS"/>
    <x v="14"/>
    <n v="6"/>
    <n v="65"/>
    <m/>
    <x v="133"/>
    <n v="390"/>
    <n v="1"/>
  </r>
  <r>
    <x v="8"/>
    <s v="Michele Rosete"/>
    <s v="ASSOCIACAO HOSPITALAR LENOIR VARGAS FERREIRA"/>
    <m/>
    <s v="SC"/>
    <x v="57"/>
    <n v="7"/>
    <n v="65"/>
    <m/>
    <x v="134"/>
    <n v="455"/>
    <n v="1"/>
  </r>
  <r>
    <x v="8"/>
    <s v="Felipe Curi"/>
    <s v="EMPRESA BRASILEIRA DE SERVICOS HOSPITALARES - EBSERH"/>
    <m/>
    <s v="PE"/>
    <x v="20"/>
    <n v="10"/>
    <n v="390"/>
    <m/>
    <x v="63"/>
    <n v="3900"/>
    <n v="1"/>
  </r>
  <r>
    <x v="8"/>
    <s v="Michele Rosete"/>
    <s v="FUNDACAO DA AREA DA SAUDE DE CAMPINAS - FASCAMP"/>
    <m/>
    <s v="SP"/>
    <x v="29"/>
    <n v="3"/>
    <n v="490"/>
    <m/>
    <x v="135"/>
    <n v="1470"/>
    <n v="1"/>
  </r>
  <r>
    <x v="8"/>
    <s v="Noemia Sattin"/>
    <s v="UNIVERSIDADE ESTADUAL DE LONDRINA"/>
    <m/>
    <s v="PR"/>
    <x v="28"/>
    <n v="7"/>
    <n v="500"/>
    <m/>
    <x v="136"/>
    <n v="3500"/>
    <n v="1"/>
  </r>
  <r>
    <x v="8"/>
    <s v="Ricardo santos"/>
    <s v="INSTITUTO DE ASSISTENCIA MEDICA AO SERVIDOR PUBLICO ESTADUAL"/>
    <m/>
    <s v="SP"/>
    <x v="65"/>
    <n v="120"/>
    <n v="58"/>
    <m/>
    <x v="137"/>
    <n v="6960"/>
    <n v="1"/>
  </r>
  <r>
    <x v="8"/>
    <s v="Noemia Sattin"/>
    <s v="FUNDO MUNICIPAL DE SAUDE DE CHAPADAO DO SUL-MS"/>
    <m/>
    <s v="MS"/>
    <x v="33"/>
    <n v="5"/>
    <n v="36"/>
    <m/>
    <x v="51"/>
    <n v="180"/>
    <n v="1"/>
  </r>
  <r>
    <x v="8"/>
    <s v="Ricardo santos"/>
    <s v="FUNDO MUNICIPAL DE SAUDE - FMS"/>
    <m/>
    <s v="SP"/>
    <x v="11"/>
    <n v="1"/>
    <n v="675"/>
    <m/>
    <x v="11"/>
    <n v="675"/>
    <n v="1"/>
  </r>
  <r>
    <x v="8"/>
    <s v="Ricardo santos"/>
    <s v="SPDM - ASSOCIAçãO PAULISTA P/ O DESENVOLVIMENTO DA MEDICINA"/>
    <m/>
    <s v="SP"/>
    <x v="56"/>
    <n v="1"/>
    <n v="72"/>
    <m/>
    <x v="88"/>
    <n v="72"/>
    <n v="1"/>
  </r>
  <r>
    <x v="8"/>
    <s v="Ricardo santos"/>
    <s v="SPDM - ASSOCIAçãO PAULISTA P/ O DESENVOLVIMENTO DA MEDICINA"/>
    <m/>
    <s v="SP"/>
    <x v="56"/>
    <n v="1"/>
    <n v="72"/>
    <m/>
    <x v="88"/>
    <n v="72"/>
    <n v="1"/>
  </r>
  <r>
    <x v="8"/>
    <s v="Ricardo santos"/>
    <s v="SPDM - ASSOCIAçãO PAULISTA P/ O DESENVOLVIMENTO DA MEDICINA"/>
    <m/>
    <s v="SP"/>
    <x v="3"/>
    <n v="2"/>
    <n v="180"/>
    <m/>
    <x v="52"/>
    <n v="360"/>
    <n v="1"/>
  </r>
  <r>
    <x v="8"/>
    <s v="Ricardo santos"/>
    <s v="SPDM - ASSOCIAçãO PAULISTA P/ O DESENVOLVIMENTO DA MEDICINA"/>
    <m/>
    <s v="SP"/>
    <x v="3"/>
    <n v="2"/>
    <n v="180"/>
    <m/>
    <x v="52"/>
    <n v="360"/>
    <n v="1"/>
  </r>
  <r>
    <x v="8"/>
    <s v="Ricardo santos"/>
    <s v="SPDM - ASSOCIAçãO PAULISTA P/ O DESENVOLVIMENTO DA MEDICINA"/>
    <m/>
    <s v="SP"/>
    <x v="3"/>
    <n v="2"/>
    <n v="180"/>
    <m/>
    <x v="52"/>
    <n v="360"/>
    <n v="1"/>
  </r>
  <r>
    <x v="8"/>
    <s v="Ricardo santos"/>
    <s v="SPDM - ASSOCIAçãO PAULISTA P/ O DESENVOLVIMENTO DA MEDICINA"/>
    <m/>
    <s v="SP"/>
    <x v="2"/>
    <n v="1"/>
    <n v="150"/>
    <m/>
    <x v="18"/>
    <n v="150"/>
    <n v="1"/>
  </r>
  <r>
    <x v="8"/>
    <s v="Ricardo santos"/>
    <s v="SPDM - ASSOCIAçãO PAULISTA P/ O DESENVOLVIMENTO DA MEDICINA"/>
    <m/>
    <s v="SP"/>
    <x v="56"/>
    <n v="1"/>
    <n v="72"/>
    <m/>
    <x v="88"/>
    <n v="72"/>
    <n v="1"/>
  </r>
  <r>
    <x v="8"/>
    <s v="Ricardo santos"/>
    <s v="SPDM - ASSOCIAçãO PAULISTA P/ O DESENVOLVIMENTO DA MEDICINA"/>
    <m/>
    <s v="SP"/>
    <x v="2"/>
    <n v="1"/>
    <n v="150"/>
    <m/>
    <x v="18"/>
    <n v="150"/>
    <n v="1"/>
  </r>
  <r>
    <x v="8"/>
    <s v="Ricardo santos"/>
    <s v="SPDM - ASSOCIACAO PAULISTA PARA O DESENVOLVIMENTO DA MEDICINA"/>
    <m/>
    <s v="MG"/>
    <x v="20"/>
    <n v="4"/>
    <n v="420"/>
    <m/>
    <x v="119"/>
    <n v="1680"/>
    <n v="1"/>
  </r>
  <r>
    <x v="8"/>
    <s v="Ricardo santos"/>
    <s v="MUNICIPIO DE VARGEM GRANDE DO SUL"/>
    <m/>
    <s v="SP"/>
    <x v="66"/>
    <n v="1"/>
    <n v="750"/>
    <m/>
    <x v="90"/>
    <n v="750"/>
    <n v="1"/>
  </r>
  <r>
    <x v="8"/>
    <s v="Distribuidores"/>
    <s v="MEDIMAC COMéRCIO DE ARTIGOS MéDICOS LTDA-ME"/>
    <m/>
    <s v="SP"/>
    <x v="10"/>
    <n v="45"/>
    <n v="64"/>
    <m/>
    <x v="138"/>
    <n v="2880"/>
    <n v="1"/>
  </r>
  <r>
    <x v="8"/>
    <s v="Distribuidores"/>
    <s v="MEDIMAC COMéRCIO DE ARTIGOS MéDICOS LTDA-ME"/>
    <m/>
    <s v="SP"/>
    <x v="7"/>
    <n v="310"/>
    <n v="40"/>
    <m/>
    <x v="139"/>
    <n v="12400"/>
    <n v="1"/>
  </r>
  <r>
    <x v="8"/>
    <s v="Noemia Sattin"/>
    <s v="FUNDO ESTADUAL DE SAUDE"/>
    <m/>
    <s v="SC"/>
    <x v="28"/>
    <n v="1"/>
    <n v="590"/>
    <m/>
    <x v="29"/>
    <n v="590"/>
    <n v="1"/>
  </r>
  <r>
    <x v="8"/>
    <s v="Noemia Sattin"/>
    <s v="FUNDO ESTADUAL DE SAUDE"/>
    <m/>
    <s v="SC"/>
    <x v="28"/>
    <n v="1"/>
    <n v="590"/>
    <m/>
    <x v="29"/>
    <n v="590"/>
    <n v="1"/>
  </r>
  <r>
    <x v="8"/>
    <s v="Felipe Curi"/>
    <s v="SECRETARIA DE ESTADO DE SAúDE"/>
    <m/>
    <s v="RR"/>
    <x v="34"/>
    <n v="90"/>
    <n v="298"/>
    <m/>
    <x v="140"/>
    <n v="26820"/>
    <n v="1"/>
  </r>
  <r>
    <x v="8"/>
    <s v="Distribuidores"/>
    <s v="SINERGIA MEDICA COMERCIO DE ARTIGOS MEDICOS E ORTOPEDICOS LTDA"/>
    <m/>
    <s v="CE"/>
    <x v="56"/>
    <n v="6"/>
    <n v="80"/>
    <m/>
    <x v="141"/>
    <n v="480"/>
    <n v="1"/>
  </r>
  <r>
    <x v="8"/>
    <s v="Distribuidores"/>
    <s v="SINERGIA MEDICA COMERCIO DE ARTIGOS MEDICOS E ORTOPEDICOS LTDA"/>
    <m/>
    <s v="CE"/>
    <x v="18"/>
    <n v="15"/>
    <n v="60"/>
    <m/>
    <x v="19"/>
    <n v="900"/>
    <n v="1"/>
  </r>
  <r>
    <x v="8"/>
    <s v="Distribuidores"/>
    <s v="SINERGIA MEDICA COMERCIO DE ARTIGOS MEDICOS E ORTOPEDICOS LTDA"/>
    <m/>
    <s v="CE"/>
    <x v="28"/>
    <n v="6"/>
    <n v="603"/>
    <m/>
    <x v="142"/>
    <n v="3618"/>
    <n v="1"/>
  </r>
  <r>
    <x v="8"/>
    <s v="Noemia Sattin"/>
    <s v="FUNDACAO UNIVERSIDADE FEDERAL DE CIENCIAS DA SAUDE DE PORTO ALEGRE"/>
    <m/>
    <s v="RS"/>
    <x v="57"/>
    <n v="4"/>
    <n v="120"/>
    <m/>
    <x v="141"/>
    <n v="480"/>
    <n v="1"/>
  </r>
  <r>
    <x v="8"/>
    <s v="Ricardo santos"/>
    <s v="HOSPITAL DO SERVIDOR PúBLICO MUNICIPAL"/>
    <m/>
    <s v="SP"/>
    <x v="11"/>
    <n v="15"/>
    <n v="680"/>
    <m/>
    <x v="143"/>
    <n v="10200"/>
    <n v="1"/>
  </r>
  <r>
    <x v="8"/>
    <s v="Ricardo santos"/>
    <s v="UNIVERSIDADE ESTADUAL DO RIO DE JANEIRO"/>
    <m/>
    <s v="RJ"/>
    <x v="34"/>
    <n v="10"/>
    <n v="250"/>
    <m/>
    <x v="103"/>
    <n v="2500"/>
    <n v="1"/>
  </r>
  <r>
    <x v="8"/>
    <s v="Ricardo santos"/>
    <s v="HOSPITAL DAS CLINICAS DA FACULDADE DE MEDICINA DE MARILIA"/>
    <m/>
    <s v="SP"/>
    <x v="20"/>
    <n v="50"/>
    <n v="560"/>
    <m/>
    <x v="144"/>
    <n v="28000"/>
    <n v="1"/>
  </r>
  <r>
    <x v="8"/>
    <s v="Paulo Chiarelli"/>
    <s v="SURGIMED COM ATAC DE PROD CIRUR E HOSP DO NORDESTE EIRELI"/>
    <m/>
    <s v="PI"/>
    <x v="1"/>
    <n v="30"/>
    <n v="295"/>
    <m/>
    <x v="145"/>
    <n v="8850"/>
    <n v="1"/>
  </r>
  <r>
    <x v="8"/>
    <s v="Paulo Chiarelli"/>
    <s v="SURGIMED COM ATAC DE PROD CIRUR E HOSP DO NORDESTE EIRELI"/>
    <m/>
    <s v="PI"/>
    <x v="2"/>
    <n v="50"/>
    <n v="75"/>
    <m/>
    <x v="146"/>
    <n v="3750"/>
    <n v="1"/>
  </r>
  <r>
    <x v="8"/>
    <s v="Paulo Chiarelli"/>
    <s v="SURGIMED COM ATAC DE PROD CIRUR E HOSP DO NORDESTE EIRELI"/>
    <m/>
    <s v="PI"/>
    <x v="67"/>
    <n v="4"/>
    <n v="390"/>
    <m/>
    <x v="147"/>
    <n v="1560"/>
    <n v="1"/>
  </r>
  <r>
    <x v="8"/>
    <s v="Paulo Chiarelli"/>
    <s v="SURGIMED COM ATAC DE PROD CIRUR E HOSP DO NORDESTE EIRELI"/>
    <m/>
    <s v="PI"/>
    <x v="28"/>
    <n v="2"/>
    <n v="535"/>
    <m/>
    <x v="148"/>
    <n v="1070"/>
    <n v="1"/>
  </r>
  <r>
    <x v="8"/>
    <s v="Paulo Chiarelli"/>
    <s v="SURGIMED COM ATAC DE PROD CIRUR E HOSP DO NORDESTE EIRELI"/>
    <m/>
    <s v="PI"/>
    <x v="54"/>
    <n v="25"/>
    <n v="335"/>
    <m/>
    <x v="149"/>
    <n v="8375"/>
    <n v="1"/>
  </r>
  <r>
    <x v="8"/>
    <s v="Noemia Sattin"/>
    <s v="MUNICIPIO DE MATUPA"/>
    <m/>
    <s v="MT"/>
    <x v="11"/>
    <n v="10"/>
    <n v="900"/>
    <m/>
    <x v="150"/>
    <n v="9000"/>
    <n v="1"/>
  </r>
  <r>
    <x v="9"/>
    <s v="Distribuidores"/>
    <s v="LWM MATERIAIS MEDICOS E CIRURGICOS LTDA"/>
    <m/>
    <s v="SE"/>
    <x v="8"/>
    <n v="1"/>
    <n v="225"/>
    <m/>
    <x v="151"/>
    <n v="225"/>
    <n v="1"/>
  </r>
  <r>
    <x v="9"/>
    <s v="Distribuidores"/>
    <s v="LWM MATERIAIS MEDICOS E CIRURGICOS LTDA"/>
    <m/>
    <s v="SE"/>
    <x v="68"/>
    <n v="1"/>
    <n v="225"/>
    <m/>
    <x v="151"/>
    <n v="225"/>
    <n v="1"/>
  </r>
  <r>
    <x v="9"/>
    <s v="Distribuidores"/>
    <s v="LWM MATERIAIS MEDICOS E CIRURGICOS LTDA"/>
    <m/>
    <s v="SE"/>
    <x v="69"/>
    <n v="1"/>
    <n v="225"/>
    <m/>
    <x v="151"/>
    <n v="225"/>
    <n v="1"/>
  </r>
  <r>
    <x v="9"/>
    <s v="Distribuidores"/>
    <s v="LWM MATERIAIS MEDICOS E CIRURGICOS LTDA"/>
    <m/>
    <s v="SE"/>
    <x v="7"/>
    <n v="10"/>
    <n v="40"/>
    <m/>
    <x v="111"/>
    <n v="400"/>
    <n v="1"/>
  </r>
  <r>
    <x v="9"/>
    <s v="Distribuidores"/>
    <s v="LWM MATERIAIS MEDICOS E CIRURGICOS LTDA"/>
    <m/>
    <s v="SE"/>
    <x v="5"/>
    <n v="10"/>
    <n v="52"/>
    <m/>
    <x v="83"/>
    <n v="520"/>
    <n v="1"/>
  </r>
  <r>
    <x v="9"/>
    <s v="Distribuidores"/>
    <s v="LWM MATERIAIS MEDICOS E CIRURGICOS LTDA"/>
    <m/>
    <s v="SE"/>
    <x v="14"/>
    <n v="10"/>
    <n v="52"/>
    <m/>
    <x v="83"/>
    <n v="520"/>
    <n v="1"/>
  </r>
  <r>
    <x v="9"/>
    <s v="Distribuidores"/>
    <s v="LWM MATERIAIS MEDICOS E CIRURGICOS LTDA"/>
    <m/>
    <s v="SE"/>
    <x v="57"/>
    <n v="10"/>
    <n v="52"/>
    <m/>
    <x v="83"/>
    <n v="520"/>
    <n v="1"/>
  </r>
  <r>
    <x v="9"/>
    <s v="Distribuidores"/>
    <s v="LWM MATERIAIS MEDICOS E CIRURGICOS LTDA"/>
    <m/>
    <s v="SE"/>
    <x v="35"/>
    <n v="3"/>
    <n v="225"/>
    <m/>
    <x v="11"/>
    <n v="675"/>
    <n v="1"/>
  </r>
  <r>
    <x v="9"/>
    <s v="Distribuidores"/>
    <s v="LWM MATERIAIS MEDICOS E CIRURGICOS LTDA"/>
    <m/>
    <s v="SE"/>
    <x v="70"/>
    <n v="2"/>
    <n v="450"/>
    <m/>
    <x v="19"/>
    <n v="900"/>
    <n v="1"/>
  </r>
  <r>
    <x v="9"/>
    <s v="Distribuidores"/>
    <s v="LWM MATERIAIS MEDICOS E CIRURGICOS LTDA"/>
    <m/>
    <s v="SE"/>
    <x v="34"/>
    <n v="5"/>
    <n v="225"/>
    <m/>
    <x v="152"/>
    <n v="1125"/>
    <n v="1"/>
  </r>
  <r>
    <x v="9"/>
    <s v="Distribuidores"/>
    <s v="LWM MATERIAIS MEDICOS E CIRURGICOS LTDA"/>
    <m/>
    <s v="SE"/>
    <x v="71"/>
    <n v="3"/>
    <n v="600"/>
    <m/>
    <x v="43"/>
    <n v="1800"/>
    <n v="1"/>
  </r>
  <r>
    <x v="9"/>
    <s v="Distribuidores"/>
    <s v="LWM MATERIAIS MEDICOS E CIRURGICOS LTDA"/>
    <m/>
    <s v="SE"/>
    <x v="59"/>
    <n v="5"/>
    <n v="399"/>
    <m/>
    <x v="153"/>
    <n v="1995"/>
    <n v="1"/>
  </r>
  <r>
    <x v="9"/>
    <s v="Distribuidores"/>
    <s v="LWM MATERIAIS MEDICOS E CIRURGICOS LTDA"/>
    <m/>
    <s v="SE"/>
    <x v="1"/>
    <n v="10"/>
    <n v="295"/>
    <m/>
    <x v="154"/>
    <n v="2950"/>
    <n v="1"/>
  </r>
  <r>
    <x v="9"/>
    <s v="Distribuidores"/>
    <s v="LWM MATERIAIS MEDICOS E CIRURGICOS LTDA"/>
    <m/>
    <s v="SE"/>
    <x v="54"/>
    <n v="10"/>
    <n v="335"/>
    <m/>
    <x v="155"/>
    <n v="3350"/>
    <n v="1"/>
  </r>
  <r>
    <x v="9"/>
    <s v="Distribuidores"/>
    <s v="LWM MATERIAIS MEDICOS E CIRURGICOS LTDA"/>
    <m/>
    <s v="SE"/>
    <x v="29"/>
    <n v="10"/>
    <n v="399"/>
    <m/>
    <x v="156"/>
    <n v="3990"/>
    <n v="1"/>
  </r>
  <r>
    <x v="9"/>
    <s v="Ricardo santos"/>
    <s v="FUNDO MUNICIPAL DE SAUDE - FMS"/>
    <m/>
    <s v="SP"/>
    <x v="11"/>
    <n v="1"/>
    <n v="675"/>
    <m/>
    <x v="11"/>
    <n v="675"/>
    <n v="1"/>
  </r>
  <r>
    <x v="9"/>
    <s v="Ricardo santos"/>
    <s v="FUNDO MUNICIPAL DE SAUDE - FMS"/>
    <m/>
    <s v="SP"/>
    <x v="11"/>
    <n v="1"/>
    <n v="675"/>
    <m/>
    <x v="11"/>
    <n v="675"/>
    <n v="1"/>
  </r>
  <r>
    <x v="9"/>
    <s v="Ricardo santos"/>
    <s v="SPDM - ASSOCIAçãO PAULISTA P/ O DESENVOLVIMENTO DA MEDICINA"/>
    <m/>
    <s v="SP"/>
    <x v="3"/>
    <n v="1"/>
    <n v="180"/>
    <m/>
    <x v="51"/>
    <n v="180"/>
    <n v="1"/>
  </r>
  <r>
    <x v="9"/>
    <s v="Ricardo santos"/>
    <s v="FUNDO MUNICIPAL DE SAUDE - FMS"/>
    <m/>
    <s v="SP"/>
    <x v="11"/>
    <n v="1"/>
    <n v="675"/>
    <m/>
    <x v="11"/>
    <n v="675"/>
    <n v="1"/>
  </r>
  <r>
    <x v="9"/>
    <s v="Michele Rosete"/>
    <s v="HUGO FERNANDO VALEGUSZKI LENZI"/>
    <m/>
    <s v="MT"/>
    <x v="20"/>
    <n v="2"/>
    <n v="650"/>
    <m/>
    <x v="64"/>
    <n v="1300"/>
    <n v="1"/>
  </r>
  <r>
    <x v="9"/>
    <s v="Distribuidores"/>
    <s v="LACMED PRODUTOS MEDICO-HOSPITALARES LTDA"/>
    <m/>
    <s v="MS"/>
    <x v="11"/>
    <n v="10"/>
    <n v="680"/>
    <m/>
    <x v="99"/>
    <n v="6800"/>
    <n v="1"/>
  </r>
  <r>
    <x v="9"/>
    <s v="Paulo Chiarelli"/>
    <s v="NEWCARE COMERCIO E SERVIÇOS LTDA"/>
    <m/>
    <s v="MG"/>
    <x v="19"/>
    <n v="50"/>
    <n v="84"/>
    <m/>
    <x v="157"/>
    <n v="4200"/>
    <n v="1"/>
  </r>
  <r>
    <x v="9"/>
    <s v="Paulo Chiarelli"/>
    <s v="NEWCARE COMERCIO E SERVIÇOS LTDA"/>
    <m/>
    <s v="MG"/>
    <x v="7"/>
    <n v="50"/>
    <n v="49"/>
    <m/>
    <x v="158"/>
    <n v="2450"/>
    <n v="1"/>
  </r>
  <r>
    <x v="9"/>
    <s v="MELINA BASSO"/>
    <s v="QB COMERCIO LTDA"/>
    <m/>
    <s v="GO"/>
    <x v="59"/>
    <n v="115"/>
    <n v="325"/>
    <m/>
    <x v="159"/>
    <n v="37375"/>
    <n v="1"/>
  </r>
  <r>
    <x v="9"/>
    <s v="MELINA BASSO"/>
    <s v="QB COMERCIO LTDA"/>
    <m/>
    <s v="GO"/>
    <x v="33"/>
    <n v="21"/>
    <n v="36"/>
    <m/>
    <x v="160"/>
    <n v="756"/>
    <n v="1"/>
  </r>
  <r>
    <x v="9"/>
    <s v="Ricardo santos"/>
    <s v="FUNDACAO DE DESENVOLVIMENTO DA UNICAMP FUNCAMP"/>
    <m/>
    <s v="SP"/>
    <x v="11"/>
    <n v="2"/>
    <n v="650"/>
    <m/>
    <x v="64"/>
    <n v="1300"/>
    <n v="1"/>
  </r>
  <r>
    <x v="9"/>
    <s v="Felipe Curi"/>
    <s v="RIO GRANDE DO NORTE SECRETARIA DA SAUDE PUBLICA"/>
    <m/>
    <s v="RN"/>
    <x v="7"/>
    <n v="200"/>
    <n v="29"/>
    <m/>
    <x v="161"/>
    <n v="5800"/>
    <n v="1"/>
  </r>
  <r>
    <x v="9"/>
    <s v="Ricardo santos"/>
    <s v="FUNDO MUNICIPAL DE SAUDE - FMS"/>
    <m/>
    <s v="SP"/>
    <x v="11"/>
    <n v="1"/>
    <n v="675"/>
    <m/>
    <x v="11"/>
    <n v="675"/>
    <n v="1"/>
  </r>
  <r>
    <x v="10"/>
    <s v="Michele Rosete"/>
    <s v="ASSOCIACAO HOSPITALAR LENOIR VARGAS FERREIRA"/>
    <m/>
    <s v="SC"/>
    <x v="72"/>
    <n v="4"/>
    <n v="145"/>
    <m/>
    <x v="162"/>
    <n v="580"/>
    <n v="1"/>
  </r>
  <r>
    <x v="10"/>
    <s v="Ricardo santos"/>
    <s v="FUNDO MUNICIPAL DE SAUDE - FMS"/>
    <m/>
    <s v="SP"/>
    <x v="11"/>
    <n v="1"/>
    <n v="675"/>
    <m/>
    <x v="11"/>
    <n v="675"/>
    <n v="1"/>
  </r>
  <r>
    <x v="10"/>
    <s v="Michele Rosete"/>
    <s v="FUNDACAO UNIVERSITARIA EVANGELICA"/>
    <m/>
    <s v="GO"/>
    <x v="57"/>
    <n v="5"/>
    <n v="65"/>
    <m/>
    <x v="4"/>
    <n v="325"/>
    <n v="1"/>
  </r>
  <r>
    <x v="10"/>
    <s v="Distribuidores"/>
    <s v="CENTRO OESTE COMÉRCIO E SERVIÇOS EIRELI"/>
    <m/>
    <s v="GO"/>
    <x v="20"/>
    <n v="27"/>
    <n v="390"/>
    <m/>
    <x v="163"/>
    <n v="10530"/>
    <n v="1"/>
  </r>
  <r>
    <x v="10"/>
    <s v="Ricardo santos"/>
    <s v="HOSPITAL UNIVERSITARIO GAFFREE E GUINLE - HUGG"/>
    <m/>
    <s v="RJ"/>
    <x v="20"/>
    <n v="25"/>
    <n v="365"/>
    <m/>
    <x v="164"/>
    <n v="9125"/>
    <n v="1"/>
  </r>
  <r>
    <x v="10"/>
    <s v="Michele Rosete"/>
    <s v="INSTITUTO DE SAUDE - ORGANIZACAO SOCIAL FACERES"/>
    <m/>
    <s v="SP"/>
    <x v="7"/>
    <n v="7"/>
    <n v="45"/>
    <m/>
    <x v="165"/>
    <n v="315"/>
    <n v="1"/>
  </r>
  <r>
    <x v="10"/>
    <s v="Michele Rosete"/>
    <s v="SPDM - ASSOCIACAO PAULISTA PARA O DESENVOLVIMENTO DA MEDICINA"/>
    <m/>
    <s v="SP"/>
    <x v="24"/>
    <n v="1"/>
    <n v="900"/>
    <m/>
    <x v="19"/>
    <n v="900"/>
    <n v="1"/>
  </r>
  <r>
    <x v="10"/>
    <s v="Michele Rosete"/>
    <s v="SPDM - ASSOCIACAO PAULISTA PARA O DESENVOLVIMENTO DA MEDICINA"/>
    <m/>
    <s v="SP"/>
    <x v="11"/>
    <n v="1"/>
    <n v="900"/>
    <m/>
    <x v="19"/>
    <n v="900"/>
    <n v="1"/>
  </r>
  <r>
    <x v="10"/>
    <s v="Michele Rosete"/>
    <s v="SPDM - ASSOCIACAO PAULISTA PARA O DESENVOLVIMENTO DA MEDICINA"/>
    <m/>
    <s v="SP"/>
    <x v="11"/>
    <n v="1"/>
    <n v="900"/>
    <m/>
    <x v="19"/>
    <n v="900"/>
    <n v="1"/>
  </r>
  <r>
    <x v="10"/>
    <s v="Noemia Sattin"/>
    <s v="EMPRESA BRASILEIRA DE SERVICOS HOSPITALARES - EBSERH"/>
    <m/>
    <s v="SC"/>
    <x v="19"/>
    <n v="9"/>
    <n v="75"/>
    <m/>
    <x v="11"/>
    <n v="675"/>
    <n v="1"/>
  </r>
  <r>
    <x v="10"/>
    <s v="Noemia Sattin"/>
    <s v="EMPRESA BRASILEIRA DE SERVICOS HOSPITALARES - EBSERH"/>
    <m/>
    <s v="SC"/>
    <x v="10"/>
    <n v="9"/>
    <n v="75"/>
    <m/>
    <x v="11"/>
    <n v="675"/>
    <n v="1"/>
  </r>
  <r>
    <x v="10"/>
    <s v="Paulo Chiarelli"/>
    <s v="GMEDICA - GESTAO MEDICA COMERCIO E REPRESENTACOES LIMITADA"/>
    <m/>
    <s v="RJ"/>
    <x v="11"/>
    <n v="7"/>
    <n v="775"/>
    <m/>
    <x v="61"/>
    <n v="5425"/>
    <n v="1"/>
  </r>
  <r>
    <x v="10"/>
    <s v="Noemia Sattin"/>
    <s v="FUNDO MUNICIPAL DE SAUDE DE CHAPADAO DO SUL-MS"/>
    <m/>
    <s v="MS"/>
    <x v="33"/>
    <n v="15"/>
    <n v="36"/>
    <m/>
    <x v="166"/>
    <n v="540"/>
    <n v="1"/>
  </r>
  <r>
    <x v="11"/>
    <s v="Michele Rosete"/>
    <s v="FUND SOCIAL RURAL DE COLATINA"/>
    <m/>
    <s v="ES"/>
    <x v="10"/>
    <n v="14"/>
    <n v="75"/>
    <m/>
    <x v="167"/>
    <n v="1050"/>
    <n v="1"/>
  </r>
  <r>
    <x v="11"/>
    <s v="Michele Rosete"/>
    <s v="HOSPMED SERVIçOS MéDICOS EIRELI"/>
    <m/>
    <s v="SP"/>
    <x v="7"/>
    <n v="20"/>
    <n v="54"/>
    <m/>
    <x v="168"/>
    <n v="1080"/>
    <n v="1"/>
  </r>
  <r>
    <x v="11"/>
    <s v="Ricardo santos"/>
    <s v="FUNDO MUNICIPAL DE SAUDE - FMS"/>
    <m/>
    <s v="SP"/>
    <x v="11"/>
    <n v="1"/>
    <n v="675"/>
    <m/>
    <x v="11"/>
    <n v="675"/>
    <n v="1"/>
  </r>
  <r>
    <x v="11"/>
    <s v="Ricardo santos"/>
    <s v="FUNDO MUNICIPAL DE SAUDE - FMS"/>
    <m/>
    <s v="SP"/>
    <x v="11"/>
    <n v="1"/>
    <n v="675"/>
    <m/>
    <x v="11"/>
    <n v="675"/>
    <n v="1"/>
  </r>
  <r>
    <x v="11"/>
    <s v="Noemia Sattin"/>
    <s v="EMPRESA BRASILEIRA DE SERVICOS HOSPITALARES - EBSERH"/>
    <m/>
    <s v="MS"/>
    <x v="19"/>
    <n v="20"/>
    <n v="89.3"/>
    <m/>
    <x v="169"/>
    <n v="1786"/>
    <n v="1"/>
  </r>
  <r>
    <x v="11"/>
    <s v="Ricardo santos"/>
    <s v="MUNICIPIO DE ILHABELA"/>
    <m/>
    <s v="SP"/>
    <x v="6"/>
    <n v="4"/>
    <n v="840"/>
    <m/>
    <x v="170"/>
    <n v="3360"/>
    <n v="1"/>
  </r>
  <r>
    <x v="11"/>
    <s v="Ricardo santos"/>
    <s v="MUNICIPIO DE ILHABELA"/>
    <m/>
    <s v="SP"/>
    <x v="73"/>
    <n v="2"/>
    <n v="562.5"/>
    <m/>
    <x v="152"/>
    <n v="1125"/>
    <n v="1"/>
  </r>
  <r>
    <x v="11"/>
    <s v="Paulo Chiarelli"/>
    <s v="F. DUTRA DA SILVA SOLUCOES DE NEGOCIOS LTDA"/>
    <m/>
    <s v="RJ"/>
    <x v="20"/>
    <n v="30"/>
    <n v="365"/>
    <m/>
    <x v="171"/>
    <n v="10950"/>
    <n v="1"/>
  </r>
  <r>
    <x v="12"/>
    <s v="Ricardo santos"/>
    <s v="UNIVERSIDADE ESTADUAL DO RIO DE JANEIRO"/>
    <m/>
    <s v="RJ"/>
    <x v="6"/>
    <n v="-3"/>
    <n v="533"/>
    <m/>
    <x v="172"/>
    <n v="-1599"/>
    <n v="1"/>
  </r>
  <r>
    <x v="12"/>
    <s v="Distribuidores"/>
    <s v="ACE DISTRIBUIDORA LTDA"/>
    <m/>
    <s v="GO"/>
    <x v="10"/>
    <n v="22"/>
    <n v="64"/>
    <m/>
    <x v="173"/>
    <n v="1408"/>
    <n v="1"/>
  </r>
  <r>
    <x v="12"/>
    <s v="Distribuidores"/>
    <s v="ACE DISTRIBUIDORA LTDA"/>
    <m/>
    <s v="GO"/>
    <x v="74"/>
    <n v="10"/>
    <n v="275"/>
    <m/>
    <x v="174"/>
    <n v="2750"/>
    <n v="1"/>
  </r>
  <r>
    <x v="12"/>
    <s v="Distribuidores"/>
    <s v="ACE DISTRIBUIDORA LTDA"/>
    <m/>
    <s v="GO"/>
    <x v="11"/>
    <n v="16"/>
    <n v="680"/>
    <m/>
    <x v="175"/>
    <n v="10880"/>
    <n v="1"/>
  </r>
  <r>
    <x v="12"/>
    <s v="Ricardo santos"/>
    <s v="UNIVERSIDADE ESTADUAL DO RIO DE JANEIRO"/>
    <m/>
    <s v="RJ"/>
    <x v="75"/>
    <n v="3"/>
    <n v="533"/>
    <m/>
    <x v="6"/>
    <n v="1599"/>
    <n v="1"/>
  </r>
  <r>
    <x v="12"/>
    <s v="Felipe Curi"/>
    <s v="FUNDO ESTADUAL DE SAUDE DO ESTADO DA BAHIA"/>
    <m/>
    <s v="BA"/>
    <x v="38"/>
    <n v="40"/>
    <n v="560"/>
    <m/>
    <x v="176"/>
    <n v="22400"/>
    <n v="1"/>
  </r>
  <r>
    <x v="12"/>
    <s v="Felipe Curi"/>
    <s v="EMPRESA BRASILEIRA DE SERVICOS HOSPITALARES - EBSERH"/>
    <m/>
    <s v="PI"/>
    <x v="40"/>
    <n v="10"/>
    <n v="85"/>
    <m/>
    <x v="73"/>
    <n v="850"/>
    <n v="1"/>
  </r>
  <r>
    <x v="13"/>
    <s v="Michele Rosete"/>
    <s v="INSTITUTO DE RESPONSABILIDADE SOCIAL SíRIO LIBANêS"/>
    <m/>
    <s v="SP"/>
    <x v="50"/>
    <n v="3"/>
    <n v="300"/>
    <m/>
    <x v="19"/>
    <n v="900"/>
    <n v="1"/>
  </r>
  <r>
    <x v="13"/>
    <s v="Ricardo santos"/>
    <s v="FUNDO MUNICIPAL DE SAUDE - FMS"/>
    <m/>
    <s v="SP"/>
    <x v="11"/>
    <n v="1"/>
    <n v="675"/>
    <m/>
    <x v="11"/>
    <n v="675"/>
    <n v="1"/>
  </r>
  <r>
    <x v="13"/>
    <s v="Paulo Chiarelli"/>
    <s v="FORMA MEDICAL COMERCIO DE PRODUTOS HOSPITALARES LTDA"/>
    <m/>
    <s v="RJ"/>
    <x v="57"/>
    <n v="125"/>
    <n v="65"/>
    <m/>
    <x v="177"/>
    <n v="8125"/>
    <n v="1"/>
  </r>
  <r>
    <x v="14"/>
    <s v="Felipe Curi"/>
    <s v="EMPRESA BRASILEIRA DE SERVICOS HOSPITALARES - EBSERH"/>
    <m/>
    <s v="PI"/>
    <x v="40"/>
    <n v="30"/>
    <n v="85"/>
    <m/>
    <x v="178"/>
    <n v="2550"/>
    <n v="1"/>
  </r>
  <r>
    <x v="14"/>
    <s v="Ricardo santos"/>
    <s v="SECRETARIA DE ESTADO DA SAUDE"/>
    <m/>
    <s v="SP"/>
    <x v="29"/>
    <n v="12"/>
    <n v="470"/>
    <m/>
    <x v="179"/>
    <n v="5640"/>
    <n v="1"/>
  </r>
  <r>
    <x v="14"/>
    <s v="Ricardo santos"/>
    <s v="FAMESP FUNDAçãO PARA O DESENVOLVIMENTO MéDICO HOSPITALAR"/>
    <m/>
    <s v="SP"/>
    <x v="18"/>
    <n v="1"/>
    <n v="55"/>
    <m/>
    <x v="180"/>
    <n v="55"/>
    <n v="1"/>
  </r>
  <r>
    <x v="14"/>
    <s v="Noemia Sattin"/>
    <s v="FUNDO MUNICIPAL DE SAUDE DE RIO QUENTE"/>
    <m/>
    <s v="GO"/>
    <x v="14"/>
    <n v="3"/>
    <n v="70"/>
    <m/>
    <x v="181"/>
    <n v="210"/>
    <n v="1"/>
  </r>
  <r>
    <x v="14"/>
    <s v="Noemia Sattin"/>
    <s v="FUNDO MUNICIPAL DE SAUDE DE RIO QUENTE"/>
    <m/>
    <s v="GO"/>
    <x v="7"/>
    <n v="15"/>
    <n v="50"/>
    <m/>
    <x v="90"/>
    <n v="750"/>
    <n v="1"/>
  </r>
  <r>
    <x v="14"/>
    <s v="Paulo Chiarelli"/>
    <s v="TREMED MATERIAIS E EQUIPAMENTOS HOSPITALARES LTDA"/>
    <m/>
    <s v="MG"/>
    <x v="6"/>
    <n v="4"/>
    <n v="625"/>
    <m/>
    <x v="103"/>
    <n v="2500"/>
    <n v="1"/>
  </r>
  <r>
    <x v="14"/>
    <s v="Paulo Chiarelli"/>
    <s v="TREMED MATERIAIS E EQUIPAMENTOS HOSPITALARES LTDA"/>
    <m/>
    <s v="MG"/>
    <x v="76"/>
    <n v="4"/>
    <n v="625"/>
    <m/>
    <x v="103"/>
    <n v="2500"/>
    <n v="1"/>
  </r>
  <r>
    <x v="14"/>
    <s v="Distribuidores"/>
    <s v="PLANTAO COMERCIO E REPR. EIRELI"/>
    <m/>
    <s v="DF"/>
    <x v="11"/>
    <n v="7"/>
    <n v="775"/>
    <m/>
    <x v="61"/>
    <n v="5425"/>
    <n v="1"/>
  </r>
  <r>
    <x v="14"/>
    <s v="Noemia Sattin"/>
    <s v="MUNICIPIO DE PORTO ALEGRE"/>
    <m/>
    <s v="RS"/>
    <x v="7"/>
    <n v="60"/>
    <n v="39"/>
    <m/>
    <x v="182"/>
    <n v="2340"/>
    <n v="1"/>
  </r>
  <r>
    <x v="14"/>
    <s v="Distribuidores"/>
    <s v="ACE DISTRIBUIDORA LTDA"/>
    <m/>
    <s v="GO"/>
    <x v="57"/>
    <n v="10"/>
    <n v="52"/>
    <m/>
    <x v="83"/>
    <n v="520"/>
    <n v="1"/>
  </r>
  <r>
    <x v="14"/>
    <s v="Distribuidores"/>
    <s v="ACE DISTRIBUIDORA LTDA"/>
    <m/>
    <s v="GO"/>
    <x v="77"/>
    <n v="10"/>
    <n v="68"/>
    <m/>
    <x v="183"/>
    <n v="680"/>
    <n v="1"/>
  </r>
  <r>
    <x v="14"/>
    <s v="Distribuidores"/>
    <s v="ACE DISTRIBUIDORA LTDA"/>
    <m/>
    <s v="GO"/>
    <x v="78"/>
    <n v="3"/>
    <n v="390"/>
    <m/>
    <x v="57"/>
    <n v="1170"/>
    <n v="1"/>
  </r>
  <r>
    <x v="14"/>
    <s v="Distribuidores"/>
    <s v="ACE DISTRIBUIDORA LTDA"/>
    <m/>
    <s v="GO"/>
    <x v="20"/>
    <n v="10"/>
    <n v="365"/>
    <m/>
    <x v="184"/>
    <n v="3650"/>
    <n v="1"/>
  </r>
  <r>
    <x v="14"/>
    <s v="Noemia Sattin"/>
    <s v="EMPRESA BRASILEIRA DE SERVICOS HOSPITALARES - EBSERH"/>
    <m/>
    <s v="GO"/>
    <x v="43"/>
    <n v="2"/>
    <n v="385"/>
    <m/>
    <x v="185"/>
    <n v="770"/>
    <n v="1"/>
  </r>
  <r>
    <x v="15"/>
    <s v="Distribuidores"/>
    <s v="CENTRO OESTE COMÉRCIO E SERVIÇOS EIRELI"/>
    <m/>
    <s v="GO"/>
    <x v="1"/>
    <n v="55"/>
    <n v="275"/>
    <m/>
    <x v="186"/>
    <n v="15125"/>
    <n v="1"/>
  </r>
  <r>
    <x v="15"/>
    <s v="Ricardo santos"/>
    <s v="SPDM - ASSOCIAçãO PAULISTA P/ O DESENVOLVIMENTO DA MEDICINA"/>
    <m/>
    <s v="SP"/>
    <x v="3"/>
    <n v="2"/>
    <n v="180"/>
    <m/>
    <x v="52"/>
    <n v="360"/>
    <n v="1"/>
  </r>
  <r>
    <x v="15"/>
    <s v="Ricardo santos"/>
    <s v="SPDM - ASSOCIAçãO PAULISTA P/ O DESENVOLVIMENTO DA MEDICINA"/>
    <m/>
    <s v="SP"/>
    <x v="2"/>
    <n v="1"/>
    <n v="150"/>
    <m/>
    <x v="18"/>
    <n v="150"/>
    <n v="1"/>
  </r>
  <r>
    <x v="15"/>
    <s v="Distribuidores"/>
    <s v="LACMED PRODUTOS MEDICO-HOSPITALARES LTDA"/>
    <m/>
    <s v="MS"/>
    <x v="79"/>
    <n v="5"/>
    <n v="335"/>
    <m/>
    <x v="69"/>
    <n v="1675"/>
    <n v="1"/>
  </r>
  <r>
    <x v="15"/>
    <s v="Distribuidores"/>
    <s v="LACMED PRODUTOS MEDICO-HOSPITALARES LTDA"/>
    <m/>
    <s v="MS"/>
    <x v="54"/>
    <n v="10"/>
    <n v="335"/>
    <m/>
    <x v="155"/>
    <n v="3350"/>
    <n v="1"/>
  </r>
  <r>
    <x v="15"/>
    <s v="Distribuidores"/>
    <s v="LACMED PRODUTOS MEDICO-HOSPITALARES LTDA"/>
    <m/>
    <s v="MS"/>
    <x v="53"/>
    <n v="15"/>
    <n v="335"/>
    <m/>
    <x v="187"/>
    <n v="5025"/>
    <n v="1"/>
  </r>
  <r>
    <x v="15"/>
    <s v="Distribuidores"/>
    <s v="LACMED PRODUTOS MEDICO-HOSPITALARES LTDA"/>
    <m/>
    <s v="MS"/>
    <x v="11"/>
    <n v="10"/>
    <n v="680"/>
    <m/>
    <x v="99"/>
    <n v="6800"/>
    <n v="1"/>
  </r>
  <r>
    <x v="15"/>
    <s v="Ricardo santos"/>
    <s v="SPDM - ASSOCIAçãO PAULISTA P/ O DESENVOLVIMENTO DA MEDICINA"/>
    <m/>
    <s v="SP"/>
    <x v="11"/>
    <n v="1"/>
    <n v="715"/>
    <m/>
    <x v="34"/>
    <n v="715"/>
    <n v="1"/>
  </r>
  <r>
    <x v="15"/>
    <s v="Ricardo santos"/>
    <s v="EMPRESA PUBLICA DE SAUDE DO RIO DE JANEIRO S/A - RIOSAUDE"/>
    <m/>
    <s v="RJ"/>
    <x v="14"/>
    <n v="40"/>
    <n v="60"/>
    <m/>
    <x v="188"/>
    <n v="2400"/>
    <n v="1"/>
  </r>
  <r>
    <x v="15"/>
    <s v="Ricardo santos"/>
    <s v="EMPRESA PUBLICA DE SAUDE DO RIO DE JANEIRO S/A - RIOSAUDE"/>
    <m/>
    <s v="RJ"/>
    <x v="14"/>
    <n v="10"/>
    <n v="60"/>
    <m/>
    <x v="189"/>
    <n v="600"/>
    <n v="1"/>
  </r>
  <r>
    <x v="15"/>
    <s v="Felipe Curi"/>
    <s v="INSTITUTO DE SAUDE E GESTAO HOSPITALAR"/>
    <m/>
    <s v="CE"/>
    <x v="2"/>
    <n v="1"/>
    <n v="110"/>
    <m/>
    <x v="2"/>
    <n v="110"/>
    <n v="1"/>
  </r>
  <r>
    <x v="15"/>
    <s v="Felipe Curi"/>
    <s v="INSTITUTO DE SAUDE E GESTAO HOSPITALAR"/>
    <m/>
    <s v="CE"/>
    <x v="64"/>
    <n v="1"/>
    <n v="170"/>
    <m/>
    <x v="130"/>
    <n v="170"/>
    <n v="1"/>
  </r>
  <r>
    <x v="15"/>
    <s v="Felipe Curi"/>
    <s v="INSTITUTO DE SAUDE E GESTAO HOSPITALAR"/>
    <m/>
    <s v="CE"/>
    <x v="2"/>
    <n v="1"/>
    <n v="110"/>
    <m/>
    <x v="2"/>
    <n v="110"/>
    <n v="1"/>
  </r>
  <r>
    <x v="15"/>
    <s v="Felipe Curi"/>
    <s v="INSTITUTO DE SAUDE E GESTAO HOSPITALAR"/>
    <m/>
    <s v="CE"/>
    <x v="64"/>
    <n v="1"/>
    <n v="170"/>
    <m/>
    <x v="130"/>
    <n v="170"/>
    <n v="1"/>
  </r>
  <r>
    <x v="15"/>
    <s v="Distribuidores"/>
    <s v="ACE DISTRIBUIDORA LTDA"/>
    <m/>
    <s v="GO"/>
    <x v="80"/>
    <n v="15"/>
    <n v="100"/>
    <m/>
    <x v="190"/>
    <n v="1500"/>
    <n v="1"/>
  </r>
  <r>
    <x v="15"/>
    <s v="Distribuidores"/>
    <s v="ACE DISTRIBUIDORA LTDA"/>
    <m/>
    <s v="GO"/>
    <x v="20"/>
    <n v="10"/>
    <n v="365"/>
    <m/>
    <x v="184"/>
    <n v="3650"/>
    <n v="1"/>
  </r>
  <r>
    <x v="16"/>
    <s v="Noemia Sattin"/>
    <s v="FUNDO ESTADUAL DE SAUDE"/>
    <m/>
    <s v="SC"/>
    <x v="28"/>
    <n v="1"/>
    <n v="590"/>
    <m/>
    <x v="29"/>
    <n v="590"/>
    <n v="1"/>
  </r>
  <r>
    <x v="16"/>
    <s v="Noemia Sattin"/>
    <s v="INSTITUTO DE PREVIDENCIA DOS SERVIDORES DO ESTADO MG"/>
    <m/>
    <s v="MG"/>
    <x v="20"/>
    <n v="6"/>
    <n v="361.75"/>
    <m/>
    <x v="92"/>
    <n v="2170.5"/>
    <n v="1"/>
  </r>
  <r>
    <x v="16"/>
    <s v="Noemia Sattin"/>
    <s v="EMPRESA BRASILEIRA DE SERVICOS HOSPITALARES - EBSERH"/>
    <m/>
    <s v="SC"/>
    <x v="81"/>
    <n v="2"/>
    <n v="200"/>
    <m/>
    <x v="111"/>
    <n v="400"/>
    <n v="1"/>
  </r>
  <r>
    <x v="16"/>
    <s v="Noemia Sattin"/>
    <s v="EMPRESA BRASILEIRA DE SERVICOS HOSPITALARES - EBSERH"/>
    <m/>
    <s v="SC"/>
    <x v="80"/>
    <n v="2"/>
    <n v="200"/>
    <m/>
    <x v="111"/>
    <n v="400"/>
    <n v="1"/>
  </r>
  <r>
    <x v="16"/>
    <s v="Ricardo santos"/>
    <s v="MUNICIPIO DE PAULINIA"/>
    <m/>
    <s v="SP"/>
    <x v="82"/>
    <n v="2"/>
    <n v="570"/>
    <m/>
    <x v="191"/>
    <n v="1140"/>
    <n v="1"/>
  </r>
  <r>
    <x v="16"/>
    <s v="Ricardo santos"/>
    <s v="FUNDO MUNICIPAL DE SAUDE - FMS"/>
    <m/>
    <s v="SP"/>
    <x v="11"/>
    <n v="1"/>
    <n v="675"/>
    <m/>
    <x v="11"/>
    <n v="675"/>
    <n v="1"/>
  </r>
  <r>
    <x v="16"/>
    <s v="Juliana Kluge"/>
    <s v="MAGNUS MED COMERCIO DE PRODUTOS HOSPITALARES E MEDICAMENTOS LTDA"/>
    <m/>
    <s v="PR"/>
    <x v="5"/>
    <n v="20"/>
    <n v="52"/>
    <m/>
    <x v="118"/>
    <n v="1040"/>
    <n v="1"/>
  </r>
  <r>
    <x v="16"/>
    <s v="Juliana Kluge"/>
    <s v="MAGNUS MED COMERCIO DE PRODUTOS HOSPITALARES E MEDICAMENTOS LTDA"/>
    <m/>
    <s v="PR"/>
    <x v="7"/>
    <n v="280"/>
    <n v="40"/>
    <m/>
    <x v="192"/>
    <n v="11200"/>
    <n v="1"/>
  </r>
  <r>
    <x v="16"/>
    <s v="Juliana Kluge"/>
    <s v="MAGNUS MED COMERCIO DE PRODUTOS HOSPITALARES E MEDICAMENTOS LTDA"/>
    <m/>
    <s v="PR"/>
    <x v="83"/>
    <n v="2"/>
    <n v="535"/>
    <m/>
    <x v="148"/>
    <n v="1070"/>
    <n v="1"/>
  </r>
  <r>
    <x v="16"/>
    <s v="Juliana Kluge"/>
    <s v="MAGNUS MED COMERCIO DE PRODUTOS HOSPITALARES E MEDICAMENTOS LTDA"/>
    <m/>
    <s v="PR"/>
    <x v="84"/>
    <n v="1"/>
    <n v="535"/>
    <m/>
    <x v="98"/>
    <n v="535"/>
    <n v="1"/>
  </r>
  <r>
    <x v="16"/>
    <s v="Juliana Kluge"/>
    <s v="MAGNUS MED COMERCIO DE PRODUTOS HOSPITALARES E MEDICAMENTOS LTDA"/>
    <m/>
    <s v="PR"/>
    <x v="85"/>
    <n v="5"/>
    <n v="535"/>
    <m/>
    <x v="193"/>
    <n v="2675"/>
    <n v="1"/>
  </r>
  <r>
    <x v="16"/>
    <s v="Juliana Kluge"/>
    <s v="MAGNUS MED COMERCIO DE PRODUTOS HOSPITALARES E MEDICAMENTOS LTDA"/>
    <m/>
    <s v="PR"/>
    <x v="86"/>
    <n v="2"/>
    <n v="535"/>
    <m/>
    <x v="148"/>
    <n v="1070"/>
    <n v="1"/>
  </r>
  <r>
    <x v="16"/>
    <s v="Juliana Kluge"/>
    <s v="MAGNUS MED COMERCIO DE PRODUTOS HOSPITALARES E MEDICAMENTOS LTDA"/>
    <m/>
    <s v="PR"/>
    <x v="29"/>
    <n v="2"/>
    <n v="399"/>
    <m/>
    <x v="194"/>
    <n v="798"/>
    <n v="1"/>
  </r>
  <r>
    <x v="16"/>
    <s v="Felipe Curi"/>
    <s v="INSTITUTO DE SAUDE E GESTAO HOSPITALAR"/>
    <m/>
    <s v="CE"/>
    <x v="2"/>
    <n v="1"/>
    <n v="110"/>
    <m/>
    <x v="2"/>
    <n v="110"/>
    <n v="1"/>
  </r>
  <r>
    <x v="16"/>
    <s v="Felipe Curi"/>
    <s v="INSTITUTO DE SAUDE E GESTAO HOSPITALAR"/>
    <m/>
    <s v="CE"/>
    <x v="64"/>
    <n v="1"/>
    <n v="170"/>
    <m/>
    <x v="130"/>
    <n v="170"/>
    <n v="1"/>
  </r>
  <r>
    <x v="16"/>
    <s v="Felipe Curi"/>
    <s v="INSTITUTO DE SAUDE E GESTAO HOSPITALAR"/>
    <m/>
    <s v="CE"/>
    <x v="2"/>
    <n v="1"/>
    <n v="110"/>
    <m/>
    <x v="2"/>
    <n v="110"/>
    <n v="1"/>
  </r>
  <r>
    <x v="16"/>
    <s v="Felipe Curi"/>
    <s v="INSTITUTO DE SAUDE E GESTAO HOSPITALAR"/>
    <m/>
    <s v="CE"/>
    <x v="64"/>
    <n v="1"/>
    <n v="170"/>
    <m/>
    <x v="130"/>
    <n v="170"/>
    <n v="1"/>
  </r>
  <r>
    <x v="16"/>
    <s v="Felipe Curi"/>
    <s v="INSTITUTO DE SAUDE E GESTAO HOSPITALAR"/>
    <m/>
    <s v="CE"/>
    <x v="2"/>
    <n v="1"/>
    <n v="110"/>
    <m/>
    <x v="2"/>
    <n v="110"/>
    <n v="1"/>
  </r>
  <r>
    <x v="16"/>
    <s v="Felipe Curi"/>
    <s v="INSTITUTO DE SAUDE E GESTAO HOSPITALAR"/>
    <m/>
    <s v="CE"/>
    <x v="64"/>
    <n v="1"/>
    <n v="170"/>
    <m/>
    <x v="130"/>
    <n v="170"/>
    <n v="1"/>
  </r>
  <r>
    <x v="16"/>
    <s v="Felipe Curi"/>
    <s v="EMPRESA BRASILEIRA DE SERVICOS HOSPITALARES - EBSERH"/>
    <m/>
    <s v="PE"/>
    <x v="46"/>
    <n v="10"/>
    <n v="580"/>
    <m/>
    <x v="161"/>
    <n v="5800"/>
    <n v="1"/>
  </r>
  <r>
    <x v="16"/>
    <s v="Noemia Sattin"/>
    <s v="DISTRITO FEDERAL SECRETARIA DE SAUDE"/>
    <m/>
    <s v="DF"/>
    <x v="10"/>
    <n v="566"/>
    <n v="64"/>
    <m/>
    <x v="195"/>
    <n v="36224"/>
    <n v="1"/>
  </r>
  <r>
    <x v="16"/>
    <s v="Felipe Curi"/>
    <s v="SECRETARIA DA SAUDE DO ESTADO DO CEARA"/>
    <m/>
    <s v="CE"/>
    <x v="87"/>
    <n v="6"/>
    <n v="475"/>
    <m/>
    <x v="91"/>
    <n v="2850"/>
    <n v="1"/>
  </r>
  <r>
    <x v="16"/>
    <s v="Noemia Sattin"/>
    <s v="FUNDACAO HOSPITALAR DE JANAUBA"/>
    <m/>
    <s v="MG"/>
    <x v="46"/>
    <n v="3"/>
    <n v="841.06"/>
    <m/>
    <x v="196"/>
    <n v="2523.1799999999998"/>
    <n v="1"/>
  </r>
  <r>
    <x v="16"/>
    <s v="Felipe Curi"/>
    <s v="HOSPITAL REGIONAL DO AGRESTE DR. WALDEMIRO FERREIRA"/>
    <m/>
    <s v="PE"/>
    <x v="87"/>
    <n v="1"/>
    <n v="578"/>
    <m/>
    <x v="197"/>
    <n v="578"/>
    <n v="1"/>
  </r>
  <r>
    <x v="16"/>
    <s v="Ricardo santos"/>
    <s v="INSTITUTO DE ASSISTENCIA MEDICA AO SERVIDOR PUBLICO ESTADUAL"/>
    <m/>
    <s v="SP"/>
    <x v="87"/>
    <n v="2"/>
    <n v="580"/>
    <m/>
    <x v="198"/>
    <n v="1160"/>
    <n v="1"/>
  </r>
  <r>
    <x v="16"/>
    <s v="Felipe Curi"/>
    <s v="EMPRESA BRASILEIRA DE SERVICOS HOSPITALARES - EBSERH"/>
    <m/>
    <s v="PE"/>
    <x v="46"/>
    <n v="2"/>
    <n v="600"/>
    <m/>
    <x v="199"/>
    <n v="1200"/>
    <n v="1"/>
  </r>
  <r>
    <x v="17"/>
    <s v="Juliana Kluge"/>
    <s v="TECNOMEDICAL PRODUTOS MEDICOS LTDA"/>
    <m/>
    <s v="PR"/>
    <x v="46"/>
    <n v="6"/>
    <n v="530"/>
    <m/>
    <x v="200"/>
    <n v="3180"/>
    <n v="1"/>
  </r>
  <r>
    <x v="17"/>
    <s v="Distribuidores"/>
    <s v="MED-ONE PRODUTOS MéDICOS LTDA-EPP"/>
    <m/>
    <s v="SP"/>
    <x v="54"/>
    <n v="10"/>
    <n v="335"/>
    <m/>
    <x v="155"/>
    <n v="3350"/>
    <n v="1"/>
  </r>
  <r>
    <x v="17"/>
    <s v="Distribuidores"/>
    <s v="MED-ONE PRODUTOS MéDICOS LTDA-EPP"/>
    <m/>
    <s v="SP"/>
    <x v="0"/>
    <n v="100"/>
    <n v="48"/>
    <m/>
    <x v="201"/>
    <n v="4800"/>
    <n v="1"/>
  </r>
  <r>
    <x v="17"/>
    <s v="Felipe Curi"/>
    <s v="SECRETARIA DE ESTADO DA SAUDE"/>
    <m/>
    <s v="AP"/>
    <x v="33"/>
    <n v="500"/>
    <n v="41.8"/>
    <m/>
    <x v="202"/>
    <n v="20900"/>
    <n v="1"/>
  </r>
  <r>
    <x v="17"/>
    <s v="Felipe Curi"/>
    <s v="SECRETARIA DE ESTADO DE SAúDE"/>
    <m/>
    <s v="RR"/>
    <x v="34"/>
    <n v="100"/>
    <n v="298"/>
    <m/>
    <x v="203"/>
    <n v="29800"/>
    <n v="1"/>
  </r>
  <r>
    <x v="17"/>
    <s v="Ricardo santos"/>
    <s v="SECRETARIA DE ESTADO DA SAUDE"/>
    <m/>
    <s v="SP"/>
    <x v="88"/>
    <n v="7"/>
    <n v="590"/>
    <m/>
    <x v="204"/>
    <n v="4130"/>
    <n v="1"/>
  </r>
  <r>
    <x v="17"/>
    <s v="Distribuidores"/>
    <s v="VITAL CIRURGICA - COMERCIO DE ARTIGOS MEDICOS E ORTOPEDICOS"/>
    <m/>
    <s v="RN"/>
    <x v="54"/>
    <n v="5"/>
    <n v="335"/>
    <m/>
    <x v="69"/>
    <n v="1675"/>
    <n v="1"/>
  </r>
  <r>
    <x v="17"/>
    <s v="Distribuidores"/>
    <s v="VITAL CIRURGICA - COMERCIO DE ARTIGOS MEDICOS E ORTOPEDICOS"/>
    <m/>
    <s v="RN"/>
    <x v="0"/>
    <n v="70"/>
    <n v="48"/>
    <m/>
    <x v="170"/>
    <n v="3360"/>
    <n v="1"/>
  </r>
  <r>
    <x v="17"/>
    <s v="Ricardo santos"/>
    <s v="FAMESP FUNDAçãO PARA O DESENVOLVIMENTO MéDICO HOSPITALAR"/>
    <m/>
    <s v="SP"/>
    <x v="11"/>
    <n v="1"/>
    <n v="750"/>
    <m/>
    <x v="90"/>
    <n v="750"/>
    <n v="1"/>
  </r>
  <r>
    <x v="17"/>
    <s v="Distribuidores"/>
    <s v="UROGASTRO - MEDICINA ESPECIALIZADA"/>
    <m/>
    <s v="RO"/>
    <x v="89"/>
    <n v="10"/>
    <n v="115"/>
    <m/>
    <x v="205"/>
    <n v="1150"/>
    <n v="1"/>
  </r>
  <r>
    <x v="17"/>
    <s v="Michele Rosete"/>
    <s v="HOSPITAL NOSSA SENHORA DAS GRACAS"/>
    <m/>
    <s v="SC"/>
    <x v="77"/>
    <n v="2"/>
    <n v="125"/>
    <m/>
    <x v="206"/>
    <n v="250"/>
    <n v="1"/>
  </r>
  <r>
    <x v="17"/>
    <s v="Noemia Sattin"/>
    <s v="FUNDACAO HOSPITALAR DE JANAUBA"/>
    <m/>
    <s v="MG"/>
    <x v="43"/>
    <n v="10"/>
    <n v="524.96"/>
    <m/>
    <x v="207"/>
    <n v="5249.6"/>
    <n v="1"/>
  </r>
  <r>
    <x v="17"/>
    <s v="Noemia Sattin"/>
    <s v="FUNDAÇÃO DE SAUDE SAPUCAIA DO SUL"/>
    <m/>
    <s v="RS"/>
    <x v="20"/>
    <n v="1"/>
    <n v="460"/>
    <m/>
    <x v="208"/>
    <n v="460"/>
    <n v="1"/>
  </r>
  <r>
    <x v="17"/>
    <s v="Michele Rosete"/>
    <s v="INSTITUTO DE RESPONSABILIDADE SOCIAL SíRIO LIBANêS"/>
    <m/>
    <s v="SP"/>
    <x v="4"/>
    <n v="15"/>
    <n v="65"/>
    <m/>
    <x v="209"/>
    <n v="975"/>
    <n v="1"/>
  </r>
  <r>
    <x v="17"/>
    <s v="Ricardo santos"/>
    <s v="MUNICIPIO DE SANTA GERTRUDES"/>
    <m/>
    <s v="SP"/>
    <x v="7"/>
    <n v="10"/>
    <n v="45"/>
    <m/>
    <x v="125"/>
    <n v="450"/>
    <n v="1"/>
  </r>
  <r>
    <x v="17"/>
    <s v="Noemia Sattin"/>
    <s v="COMANDO DA AERONAUTICA"/>
    <m/>
    <s v="SC"/>
    <x v="7"/>
    <n v="2"/>
    <n v="91"/>
    <m/>
    <x v="210"/>
    <n v="182"/>
    <n v="1"/>
  </r>
  <r>
    <x v="17"/>
    <s v="Felipe Curi"/>
    <s v="INSTITUTO DE SAUDE E GESTAO HOSPITALAR"/>
    <m/>
    <s v="CE"/>
    <x v="64"/>
    <n v="1"/>
    <n v="170"/>
    <m/>
    <x v="130"/>
    <n v="170"/>
    <n v="1"/>
  </r>
  <r>
    <x v="17"/>
    <s v="Felipe Curi"/>
    <s v="INSTITUTO DE SAUDE E GESTAO HOSPITALAR"/>
    <m/>
    <s v="CE"/>
    <x v="64"/>
    <n v="1"/>
    <n v="170"/>
    <m/>
    <x v="130"/>
    <n v="170"/>
    <n v="1"/>
  </r>
  <r>
    <x v="18"/>
    <s v="Ricardo santos"/>
    <s v="MUNICIPIO DE QUELUZ"/>
    <m/>
    <s v="SP"/>
    <x v="7"/>
    <n v="5"/>
    <n v="55"/>
    <m/>
    <x v="211"/>
    <n v="275"/>
    <n v="1"/>
  </r>
  <r>
    <x v="18"/>
    <s v="Ricardo santos"/>
    <s v="MUNICIPIO DE QUELUZ"/>
    <m/>
    <s v="SP"/>
    <x v="33"/>
    <n v="5"/>
    <n v="52"/>
    <m/>
    <x v="85"/>
    <n v="260"/>
    <n v="1"/>
  </r>
  <r>
    <x v="18"/>
    <s v="Michele Rosete"/>
    <s v="HOSPITAL NOSSA SENHORA DAS GRACAS"/>
    <m/>
    <s v="SC"/>
    <x v="14"/>
    <n v="10"/>
    <n v="65"/>
    <m/>
    <x v="5"/>
    <n v="650"/>
    <n v="1"/>
  </r>
  <r>
    <x v="18"/>
    <s v="Noemia Sattin"/>
    <s v="FUNDO MUNICIPAL DE SAUDE"/>
    <m/>
    <s v="GO"/>
    <x v="0"/>
    <n v="100"/>
    <n v="53"/>
    <m/>
    <x v="124"/>
    <n v="5300"/>
    <n v="1"/>
  </r>
  <r>
    <x v="18"/>
    <s v="Felipe Curi"/>
    <s v="EMPRESA BRASILEIRA DE SERVICOS HOSPITALARES - EBSERH"/>
    <m/>
    <s v="AM"/>
    <x v="90"/>
    <n v="3"/>
    <n v="1180"/>
    <m/>
    <x v="212"/>
    <n v="3540"/>
    <n v="1"/>
  </r>
  <r>
    <x v="18"/>
    <s v="Michele Rosete"/>
    <s v="INSTITUTO NACIONAL DE DESENVOLVIMENTO SOCIAL E HUMANO - INDS"/>
    <m/>
    <s v="PA"/>
    <x v="11"/>
    <n v="1"/>
    <n v="950"/>
    <m/>
    <x v="105"/>
    <n v="950"/>
    <n v="1"/>
  </r>
  <r>
    <x v="18"/>
    <s v="Juliana Kluge"/>
    <s v="ANGULAR PRODUTOS PARA SAúDE LTDA-ME"/>
    <m/>
    <s v="PR"/>
    <x v="88"/>
    <n v="2"/>
    <n v="225"/>
    <m/>
    <x v="125"/>
    <n v="450"/>
    <n v="1"/>
  </r>
  <r>
    <x v="18"/>
    <s v="Juliana Kluge"/>
    <s v="ANGULAR PRODUTOS PARA SAúDE LTDA-ME"/>
    <m/>
    <s v="PR"/>
    <x v="6"/>
    <n v="1"/>
    <n v="225"/>
    <m/>
    <x v="151"/>
    <n v="225"/>
    <n v="1"/>
  </r>
  <r>
    <x v="18"/>
    <s v="Juliana Kluge"/>
    <s v="ANGULAR PRODUTOS PARA SAúDE LTDA-ME"/>
    <m/>
    <s v="PR"/>
    <x v="91"/>
    <n v="2"/>
    <n v="225"/>
    <m/>
    <x v="125"/>
    <n v="450"/>
    <n v="1"/>
  </r>
  <r>
    <x v="18"/>
    <s v="Juliana Kluge"/>
    <s v="ANGULAR PRODUTOS PARA SAúDE LTDA-ME"/>
    <m/>
    <s v="PR"/>
    <x v="57"/>
    <n v="20"/>
    <n v="52"/>
    <m/>
    <x v="118"/>
    <n v="1040"/>
    <n v="1"/>
  </r>
  <r>
    <x v="18"/>
    <s v="Juliana Kluge"/>
    <s v="ANGULAR PRODUTOS PARA SAúDE LTDA-ME"/>
    <m/>
    <s v="PR"/>
    <x v="9"/>
    <n v="50"/>
    <n v="85"/>
    <m/>
    <x v="213"/>
    <n v="4250"/>
    <n v="1"/>
  </r>
  <r>
    <x v="18"/>
    <s v="Felipe Curi"/>
    <s v="HOSPITAL GERAL DE FORTALEZA"/>
    <m/>
    <s v="CE"/>
    <x v="36"/>
    <n v="60"/>
    <n v="400"/>
    <m/>
    <x v="214"/>
    <n v="24000"/>
    <n v="1"/>
  </r>
  <r>
    <x v="18"/>
    <s v="Michele Rosete"/>
    <s v="INSTITUTO SOCIAL MAIS SAUDE"/>
    <m/>
    <s v="PA"/>
    <x v="5"/>
    <n v="30"/>
    <n v="65"/>
    <m/>
    <x v="215"/>
    <n v="1950"/>
    <n v="1"/>
  </r>
  <r>
    <x v="18"/>
    <s v="Michele Rosete"/>
    <s v="INSTITUTO SOCIAL MAIS SAUDE"/>
    <m/>
    <s v="PA"/>
    <x v="14"/>
    <n v="40"/>
    <n v="65"/>
    <m/>
    <x v="216"/>
    <n v="2600"/>
    <n v="1"/>
  </r>
  <r>
    <x v="18"/>
    <s v="Felipe Curi"/>
    <s v="HOSPITAL GERAL DE FORTALEZA"/>
    <m/>
    <s v="CE"/>
    <x v="36"/>
    <n v="40"/>
    <n v="400"/>
    <m/>
    <x v="217"/>
    <n v="16000"/>
    <n v="1"/>
  </r>
  <r>
    <x v="18"/>
    <s v="Michele Rosete"/>
    <s v="CONSORCIO INTERMUNICIPAL DE SAUDE DO VALE DO RIBEIRA E LITORAL SUL"/>
    <m/>
    <s v="SP"/>
    <x v="0"/>
    <n v="1"/>
    <n v="120"/>
    <m/>
    <x v="0"/>
    <n v="120"/>
    <n v="1"/>
  </r>
  <r>
    <x v="18"/>
    <s v="Michele Rosete"/>
    <s v="CONSORCIO INTERMUNICIPAL DE SAUDE DO VALE DO RIBEIRA E LITORAL SUL"/>
    <m/>
    <s v="SP"/>
    <x v="1"/>
    <n v="1"/>
    <n v="350"/>
    <m/>
    <x v="1"/>
    <n v="350"/>
    <n v="1"/>
  </r>
  <r>
    <x v="18"/>
    <s v="Michele Rosete"/>
    <s v="CONSORCIO INTERMUNICIPAL DE SAUDE DO VALE DO RIBEIRA E LITORAL SUL"/>
    <m/>
    <s v="SP"/>
    <x v="2"/>
    <n v="2"/>
    <n v="110"/>
    <m/>
    <x v="218"/>
    <n v="220"/>
    <n v="1"/>
  </r>
  <r>
    <x v="18"/>
    <s v="Ricardo santos"/>
    <s v="HOSPITAL FEDERAL DA LAGOA"/>
    <m/>
    <s v="RJ"/>
    <x v="92"/>
    <n v="1"/>
    <n v="1200"/>
    <m/>
    <x v="199"/>
    <n v="1200"/>
    <n v="1"/>
  </r>
  <r>
    <x v="18"/>
    <s v="Ricardo santos"/>
    <s v="HOSPITAL FEDERAL DA LAGOA"/>
    <m/>
    <s v="RJ"/>
    <x v="93"/>
    <n v="1"/>
    <n v="1200"/>
    <m/>
    <x v="199"/>
    <n v="1200"/>
    <n v="1"/>
  </r>
  <r>
    <x v="19"/>
    <s v="Ricardo santos"/>
    <s v="FUNDO MUNICIPAL DE SAUDE - FMS"/>
    <m/>
    <s v="SP"/>
    <x v="11"/>
    <n v="1"/>
    <n v="675"/>
    <m/>
    <x v="11"/>
    <n v="675"/>
    <n v="1"/>
  </r>
  <r>
    <x v="19"/>
    <s v="Ricardo santos"/>
    <s v="FUNDO MUNICIPAL DE SAUDE - FMS"/>
    <m/>
    <s v="SP"/>
    <x v="11"/>
    <n v="1"/>
    <n v="675"/>
    <m/>
    <x v="11"/>
    <n v="675"/>
    <n v="1"/>
  </r>
  <r>
    <x v="19"/>
    <s v="Ricardo santos"/>
    <s v="SPDM - ASSOCIAçãO PAULISTA P/ O DESENVOLVIMENTO DA MEDICINA"/>
    <m/>
    <s v="SP"/>
    <x v="3"/>
    <n v="1"/>
    <n v="180"/>
    <m/>
    <x v="51"/>
    <n v="180"/>
    <n v="1"/>
  </r>
  <r>
    <x v="19"/>
    <s v="Ricardo santos"/>
    <s v="SPDM - ASSOCIAçãO PAULISTA P/ O DESENVOLVIMENTO DA MEDICINA"/>
    <m/>
    <s v="SP"/>
    <x v="3"/>
    <n v="1"/>
    <n v="180"/>
    <m/>
    <x v="51"/>
    <n v="180"/>
    <n v="1"/>
  </r>
  <r>
    <x v="19"/>
    <s v="Ricardo santos"/>
    <s v="SPDM - ASSOCIAçãO PAULISTA P/ O DESENVOLVIMENTO DA MEDICINA"/>
    <m/>
    <s v="SP"/>
    <x v="2"/>
    <n v="1"/>
    <n v="150"/>
    <m/>
    <x v="18"/>
    <n v="150"/>
    <n v="1"/>
  </r>
  <r>
    <x v="19"/>
    <s v="Ricardo santos"/>
    <s v="SPDM - ASSOCIACAO PAULISTA PARA O DESENVOLVIMENTO DA MEDICINA"/>
    <m/>
    <s v="SP"/>
    <x v="11"/>
    <n v="1"/>
    <n v="715"/>
    <m/>
    <x v="34"/>
    <n v="715"/>
    <n v="1"/>
  </r>
  <r>
    <x v="19"/>
    <s v="Michele Rosete"/>
    <s v="CONSORCIO INTERMUNICIPAL DE SAUDE DO VALE DO RIBEIRA E LITORAL SUL"/>
    <m/>
    <s v="SP"/>
    <x v="17"/>
    <n v="1"/>
    <n v="150"/>
    <m/>
    <x v="18"/>
    <n v="150"/>
    <n v="1"/>
  </r>
  <r>
    <x v="19"/>
    <s v="Michele Rosete"/>
    <s v="CONSORCIO INTERMUNICIPAL DE SAUDE DO VALE DO RIBEIRA E LITORAL SUL"/>
    <m/>
    <s v="SP"/>
    <x v="0"/>
    <n v="1"/>
    <n v="120"/>
    <m/>
    <x v="0"/>
    <n v="120"/>
    <n v="1"/>
  </r>
  <r>
    <x v="19"/>
    <s v="Michele Rosete"/>
    <s v="CONSORCIO INTERMUNICIPAL DE SAUDE DO VALE DO RIBEIRA E LITORAL SUL"/>
    <m/>
    <s v="SP"/>
    <x v="2"/>
    <n v="1"/>
    <n v="110"/>
    <m/>
    <x v="2"/>
    <n v="110"/>
    <n v="1"/>
  </r>
  <r>
    <x v="19"/>
    <s v="Michele Rosete"/>
    <s v="CONSORCIO INTERMUNICIPAL DE SAUDE DO VALE DO RIBEIRA E LITORAL SUL"/>
    <m/>
    <s v="SP"/>
    <x v="2"/>
    <n v="1"/>
    <n v="110"/>
    <m/>
    <x v="2"/>
    <n v="110"/>
    <n v="1"/>
  </r>
  <r>
    <x v="19"/>
    <s v="Ricardo santos"/>
    <s v="FUNDO MUNICIPAL DE SAUDE - FMS"/>
    <m/>
    <s v="SP"/>
    <x v="11"/>
    <n v="1"/>
    <n v="675"/>
    <m/>
    <x v="11"/>
    <n v="675"/>
    <n v="1"/>
  </r>
  <r>
    <x v="19"/>
    <s v="Ricardo santos"/>
    <s v="FUNDO MUNICIPAL DE SAUDE - FMS"/>
    <m/>
    <s v="SP"/>
    <x v="11"/>
    <n v="1"/>
    <n v="675"/>
    <m/>
    <x v="11"/>
    <n v="675"/>
    <n v="1"/>
  </r>
  <r>
    <x v="19"/>
    <s v="Ricardo santos"/>
    <s v="SPDM - ASSOCIAçãO PAULISTA P/ O DESENVOLVIMENTO DA MEDICINA"/>
    <m/>
    <s v="SP"/>
    <x v="3"/>
    <n v="1"/>
    <n v="180"/>
    <m/>
    <x v="51"/>
    <n v="180"/>
    <n v="1"/>
  </r>
  <r>
    <x v="19"/>
    <s v="Michele Rosete"/>
    <s v="CONSORCIO INTERMUNICIPAL DE SAUDE DO VALE DO RIBEIRA E LITORAL SUL"/>
    <m/>
    <s v="SP"/>
    <x v="3"/>
    <n v="2"/>
    <n v="120"/>
    <m/>
    <x v="3"/>
    <n v="240"/>
    <n v="1"/>
  </r>
  <r>
    <x v="19"/>
    <s v="Michele Rosete"/>
    <s v="CONSORCIO INTERMUNICIPAL DE SAUDE DO VALE DO RIBEIRA E LITORAL SUL"/>
    <m/>
    <s v="SP"/>
    <x v="1"/>
    <n v="1"/>
    <n v="350"/>
    <m/>
    <x v="1"/>
    <n v="350"/>
    <n v="1"/>
  </r>
  <r>
    <x v="19"/>
    <s v="Michele Rosete"/>
    <s v="CONSORCIO INTERMUNICIPAL DE SAUDE DO VALE DO RIBEIRA E LITORAL SUL"/>
    <m/>
    <s v="SP"/>
    <x v="2"/>
    <n v="1"/>
    <n v="110"/>
    <m/>
    <x v="2"/>
    <n v="110"/>
    <n v="1"/>
  </r>
  <r>
    <x v="19"/>
    <s v="Ricardo santos"/>
    <s v="SPDM - ASSOCIAçãO PAULISTA P/ O DESENVOLVIMENTO DA MEDICINA"/>
    <m/>
    <s v="SP"/>
    <x v="3"/>
    <n v="1"/>
    <n v="180"/>
    <m/>
    <x v="51"/>
    <n v="180"/>
    <n v="1"/>
  </r>
  <r>
    <x v="19"/>
    <s v="Ricardo santos"/>
    <s v="SPDM - ASSOCIAçãO PAULISTA P/ O DESENVOLVIMENTO DA MEDICINA"/>
    <m/>
    <s v="SP"/>
    <x v="2"/>
    <n v="1"/>
    <n v="150"/>
    <m/>
    <x v="18"/>
    <n v="150"/>
    <n v="1"/>
  </r>
  <r>
    <x v="19"/>
    <s v="Felipe Curi"/>
    <s v="EMPRESA BRASILEIRA DE SERVICOS HOSPITALARES - EBSERH"/>
    <m/>
    <s v="BA"/>
    <x v="80"/>
    <n v="100"/>
    <n v="75"/>
    <m/>
    <x v="219"/>
    <n v="7500"/>
    <n v="1"/>
  </r>
  <r>
    <x v="19"/>
    <s v="Michele Rosete"/>
    <s v="INSTITUTO DE DESENVOLVIMENTO, ENSINO E ASSISTENCIA A SAUDE -"/>
    <m/>
    <s v="SP"/>
    <x v="7"/>
    <n v="20"/>
    <n v="42.5"/>
    <m/>
    <x v="73"/>
    <n v="850"/>
    <n v="1"/>
  </r>
  <r>
    <x v="19"/>
    <s v="Distribuidores"/>
    <s v="SAFE MEDICAL-PRODUTOS HOSPITALARES LTDA"/>
    <m/>
    <s v="MS"/>
    <x v="43"/>
    <n v="11"/>
    <n v="480"/>
    <m/>
    <x v="220"/>
    <n v="5280"/>
    <n v="1"/>
  </r>
  <r>
    <x v="20"/>
    <s v="Ricardo santos"/>
    <s v="SPDM - ASSOCIAçãO PAULISTA P/ O DESENVOLVIMENTO DA MEDICINA"/>
    <m/>
    <s v="SP"/>
    <x v="3"/>
    <n v="1"/>
    <n v="180"/>
    <m/>
    <x v="51"/>
    <n v="180"/>
    <n v="1"/>
  </r>
  <r>
    <x v="20"/>
    <s v="Ricardo santos"/>
    <s v="SPDM - ASSOCIAçãO PAULISTA P/ O DESENVOLVIMENTO DA MEDICINA"/>
    <m/>
    <s v="SP"/>
    <x v="2"/>
    <n v="1"/>
    <n v="150"/>
    <m/>
    <x v="18"/>
    <n v="150"/>
    <n v="1"/>
  </r>
  <r>
    <x v="20"/>
    <s v="Felipe Curi"/>
    <s v="INSTITUTO DE SAUDE E GESTAO HOSPITALAR"/>
    <m/>
    <s v="CE"/>
    <x v="2"/>
    <n v="1"/>
    <n v="110"/>
    <m/>
    <x v="2"/>
    <n v="11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Felipe Curi"/>
    <s v="INSTITUTO DE SAUDE E GESTAO HOSPITALAR"/>
    <m/>
    <s v="CE"/>
    <x v="2"/>
    <n v="1"/>
    <n v="110"/>
    <m/>
    <x v="2"/>
    <n v="11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Felipe Curi"/>
    <s v="INSTITUTO DE SAUDE E GESTAO HOSPITALAR"/>
    <m/>
    <s v="CE"/>
    <x v="2"/>
    <n v="1"/>
    <n v="110"/>
    <m/>
    <x v="2"/>
    <n v="11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Felipe Curi"/>
    <s v="INSTITUTO DE SAUDE E GESTAO HOSPITALAR"/>
    <m/>
    <s v="CE"/>
    <x v="2"/>
    <n v="1"/>
    <n v="110"/>
    <m/>
    <x v="2"/>
    <n v="11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Felipe Curi"/>
    <s v="INSTITUTO DE SAUDE E GESTAO HOSPITALAR"/>
    <m/>
    <s v="CE"/>
    <x v="2"/>
    <n v="1"/>
    <n v="110"/>
    <m/>
    <x v="2"/>
    <n v="11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Ricardo santos"/>
    <s v="UNIVERSIDADE DE SAO PAULO"/>
    <m/>
    <s v="SP"/>
    <x v="11"/>
    <n v="4"/>
    <n v="780"/>
    <m/>
    <x v="221"/>
    <n v="3120"/>
    <n v="1"/>
  </r>
  <r>
    <x v="20"/>
    <s v="Ricardo santos"/>
    <s v="MUNICIPIO DE QUELUZ"/>
    <m/>
    <s v="SP"/>
    <x v="7"/>
    <n v="5"/>
    <n v="55"/>
    <m/>
    <x v="211"/>
    <n v="275"/>
    <n v="1"/>
  </r>
  <r>
    <x v="20"/>
    <s v="Michele Rosete"/>
    <s v="INSTITUTO NACIONAL DE PESQUISA E GESTAO EM SAUDE - INSAUDE"/>
    <m/>
    <s v="RS"/>
    <x v="20"/>
    <n v="8"/>
    <n v="480"/>
    <m/>
    <x v="53"/>
    <n v="3840"/>
    <n v="1"/>
  </r>
  <r>
    <x v="20"/>
    <s v="Distribuidores"/>
    <s v="LWM MATERIAIS MEDICOS E CIRURGICOS LTDA"/>
    <m/>
    <s v="SE"/>
    <x v="24"/>
    <n v="2"/>
    <n v="680"/>
    <m/>
    <x v="222"/>
    <n v="1360"/>
    <n v="1"/>
  </r>
  <r>
    <x v="20"/>
    <s v="Distribuidores"/>
    <s v="LWM MATERIAIS MEDICOS E CIRURGICOS LTDA"/>
    <m/>
    <s v="SE"/>
    <x v="11"/>
    <n v="3"/>
    <n v="680"/>
    <m/>
    <x v="223"/>
    <n v="2040"/>
    <n v="1"/>
  </r>
  <r>
    <x v="20"/>
    <s v="Distribuidores"/>
    <s v="LWM MATERIAIS MEDICOS E CIRURGICOS LTDA"/>
    <m/>
    <s v="SE"/>
    <x v="47"/>
    <n v="20"/>
    <n v="335"/>
    <m/>
    <x v="224"/>
    <n v="6700"/>
    <n v="1"/>
  </r>
  <r>
    <x v="20"/>
    <s v="Felipe Curi"/>
    <s v="INSTITUTO DE SAUDE E GESTAO HOSPITALAR"/>
    <m/>
    <s v="CE"/>
    <x v="64"/>
    <n v="3"/>
    <n v="170"/>
    <m/>
    <x v="225"/>
    <n v="510"/>
    <n v="1"/>
  </r>
  <r>
    <x v="20"/>
    <s v="Michele Rosete"/>
    <s v="CONSORCIO INTERMUNICIPAL DE SAUDE DO VALE DO RIBEIRA E LITORAL SUL"/>
    <m/>
    <s v="SP"/>
    <x v="1"/>
    <n v="1"/>
    <n v="350"/>
    <m/>
    <x v="1"/>
    <n v="350"/>
    <n v="1"/>
  </r>
  <r>
    <x v="20"/>
    <s v="Michele Rosete"/>
    <s v="CONSORCIO INTERMUNICIPAL DE SAUDE DO VALE DO RIBEIRA E LITORAL SUL"/>
    <m/>
    <s v="SP"/>
    <x v="2"/>
    <n v="2"/>
    <n v="110"/>
    <m/>
    <x v="218"/>
    <n v="220"/>
    <n v="1"/>
  </r>
  <r>
    <x v="20"/>
    <s v="Ricardo santos"/>
    <s v="FUNDO MUNICIPAL DE SAUDE - FMS"/>
    <m/>
    <s v="SP"/>
    <x v="11"/>
    <n v="1"/>
    <n v="675"/>
    <m/>
    <x v="11"/>
    <n v="675"/>
    <n v="1"/>
  </r>
  <r>
    <x v="20"/>
    <s v="Ricardo santos"/>
    <s v="FUNDO MUNICIPAL DE SAUDE - FMS"/>
    <m/>
    <s v="SP"/>
    <x v="11"/>
    <n v="1"/>
    <n v="675"/>
    <m/>
    <x v="11"/>
    <n v="675"/>
    <n v="1"/>
  </r>
  <r>
    <x v="20"/>
    <s v="Ricardo santos"/>
    <s v="FUNDO MUNICIPAL DE SAUDE - FMS"/>
    <m/>
    <s v="SP"/>
    <x v="11"/>
    <n v="1"/>
    <n v="675"/>
    <m/>
    <x v="11"/>
    <n v="675"/>
    <n v="1"/>
  </r>
  <r>
    <x v="20"/>
    <s v="Ricardo santos"/>
    <s v="INSTITUTO DE ASSISTENCIA MEDICA AO SERVIDOR PUBLICO ESTADUAL"/>
    <m/>
    <s v="SP"/>
    <x v="65"/>
    <n v="90"/>
    <n v="58"/>
    <m/>
    <x v="226"/>
    <n v="5220"/>
    <n v="1"/>
  </r>
  <r>
    <x v="20"/>
    <s v="Noemia Sattin"/>
    <s v="MUNICIPIO DE PARACATU"/>
    <m/>
    <s v="MG"/>
    <x v="94"/>
    <n v="100"/>
    <n v="92"/>
    <m/>
    <x v="227"/>
    <n v="9200"/>
    <n v="1"/>
  </r>
  <r>
    <x v="20"/>
    <s v="Noemia Sattin"/>
    <s v="MUNICIPIO DE PARACATU"/>
    <m/>
    <s v="MG"/>
    <x v="9"/>
    <n v="150"/>
    <n v="92"/>
    <m/>
    <x v="228"/>
    <n v="13800"/>
    <n v="1"/>
  </r>
  <r>
    <x v="20"/>
    <s v="Ricardo santos"/>
    <s v="INSTITUTO DE ASSISTENCIA MEDICA AO SERVIDOR PUBLICO ESTADUAL"/>
    <m/>
    <s v="SP"/>
    <x v="95"/>
    <n v="7"/>
    <n v="490"/>
    <m/>
    <x v="229"/>
    <n v="343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Felipe Curi"/>
    <s v="INSTITUTO DE SAUDE E GESTAO HOSPITALAR"/>
    <m/>
    <s v="CE"/>
    <x v="64"/>
    <n v="1"/>
    <n v="170"/>
    <m/>
    <x v="130"/>
    <n v="170"/>
    <n v="1"/>
  </r>
  <r>
    <x v="20"/>
    <s v="Ricardo santos"/>
    <s v="HOSPITAL DAS CLINICAS DA FACULDADE DE MEDICINA DA U S P"/>
    <m/>
    <s v="SP"/>
    <x v="95"/>
    <n v="22"/>
    <n v="600"/>
    <m/>
    <x v="230"/>
    <n v="13200"/>
    <n v="1"/>
  </r>
  <r>
    <x v="20"/>
    <s v="Felipe Curi"/>
    <s v="INSTITUTO DE SAUDE E GESTAO HOSPITALAR"/>
    <m/>
    <s v="CE"/>
    <x v="64"/>
    <n v="2"/>
    <n v="170"/>
    <m/>
    <x v="131"/>
    <n v="340"/>
    <n v="1"/>
  </r>
  <r>
    <x v="20"/>
    <s v="Felipe Curi"/>
    <s v="INSTITUTO DE SAUDE E GESTAO HOSPITALAR"/>
    <m/>
    <s v="CE"/>
    <x v="64"/>
    <n v="2"/>
    <n v="170"/>
    <m/>
    <x v="131"/>
    <n v="340"/>
    <n v="1"/>
  </r>
  <r>
    <x v="20"/>
    <s v="Felipe Curi"/>
    <s v="INSTITUTO DE SAUDE E GESTAO HOSPITALAR"/>
    <m/>
    <s v="CE"/>
    <x v="64"/>
    <n v="2"/>
    <n v="170"/>
    <m/>
    <x v="131"/>
    <n v="340"/>
    <n v="1"/>
  </r>
  <r>
    <x v="21"/>
    <s v="Distribuidores"/>
    <s v="MED-ONE PRODUTOS MéDICOS LTDA-EPP"/>
    <m/>
    <s v="SP"/>
    <x v="96"/>
    <n v="20"/>
    <n v="130"/>
    <m/>
    <x v="216"/>
    <n v="2600"/>
    <n v="1"/>
  </r>
  <r>
    <x v="21"/>
    <s v="Felipe Curi"/>
    <s v="FUNDO ESTADUAL DE SAúDE"/>
    <m/>
    <s v="RO"/>
    <x v="63"/>
    <n v="120"/>
    <n v="90"/>
    <m/>
    <x v="100"/>
    <n v="10800"/>
    <n v="1"/>
  </r>
  <r>
    <x v="21"/>
    <s v="Distribuidores"/>
    <s v="MEDCOM MEDICAMENTOS E MATERIAIS HOSPITALARES LTDA"/>
    <m/>
    <s v="SP"/>
    <x v="7"/>
    <n v="14"/>
    <n v="49"/>
    <m/>
    <x v="231"/>
    <n v="686"/>
    <n v="1"/>
  </r>
  <r>
    <x v="21"/>
    <s v="Distribuidores"/>
    <s v="MEDCOM MEDICAMENTOS E MATERIAIS HOSPITALARES LTDA"/>
    <m/>
    <s v="SP"/>
    <x v="14"/>
    <n v="19"/>
    <n v="65"/>
    <m/>
    <x v="232"/>
    <n v="1235"/>
    <n v="1"/>
  </r>
  <r>
    <x v="21"/>
    <s v="Distribuidores"/>
    <s v="MEDCOM MEDICAMENTOS E MATERIAIS HOSPITALARES LTDA"/>
    <m/>
    <s v="SP"/>
    <x v="4"/>
    <n v="21"/>
    <n v="65"/>
    <m/>
    <x v="233"/>
    <n v="1365"/>
    <n v="1"/>
  </r>
  <r>
    <x v="21"/>
    <s v="Distribuidores"/>
    <s v="MEDCOM MEDICAMENTOS E MATERIAIS HOSPITALARES LTDA"/>
    <m/>
    <s v="SP"/>
    <x v="5"/>
    <n v="30"/>
    <n v="65"/>
    <m/>
    <x v="215"/>
    <n v="1950"/>
    <n v="1"/>
  </r>
  <r>
    <x v="21"/>
    <s v="Noemia Sattin"/>
    <s v="MUNICIPIO DE PORTO ALEGRE"/>
    <m/>
    <s v="RS"/>
    <x v="7"/>
    <n v="20"/>
    <n v="39"/>
    <m/>
    <x v="234"/>
    <n v="780"/>
    <n v="1"/>
  </r>
  <r>
    <x v="21"/>
    <s v="Noemia Sattin"/>
    <s v="FUNDAÇÃO DE SAUDE SAPUCAIA DO SUL"/>
    <m/>
    <s v="RS"/>
    <x v="14"/>
    <n v="10"/>
    <n v="87.5"/>
    <m/>
    <x v="235"/>
    <n v="875"/>
    <n v="1"/>
  </r>
  <r>
    <x v="21"/>
    <s v="Distribuidores"/>
    <s v="CIRúRGICA RIBEIRãO PRETO LTDA ME"/>
    <m/>
    <s v="SP"/>
    <x v="57"/>
    <n v="20"/>
    <n v="52"/>
    <m/>
    <x v="118"/>
    <n v="1040"/>
    <n v="1"/>
  </r>
  <r>
    <x v="21"/>
    <s v="Distribuidores"/>
    <s v="CIRúRGICA RIBEIRãO PRETO LTDA ME"/>
    <m/>
    <s v="SP"/>
    <x v="7"/>
    <n v="50"/>
    <n v="40"/>
    <m/>
    <x v="236"/>
    <n v="2000"/>
    <n v="1"/>
  </r>
  <r>
    <x v="21"/>
    <s v="Distribuidores"/>
    <s v="CIRúRGICA RIBEIRãO PRETO LTDA ME"/>
    <m/>
    <s v="SP"/>
    <x v="97"/>
    <n v="150"/>
    <n v="53"/>
    <m/>
    <x v="237"/>
    <n v="7950"/>
    <n v="1"/>
  </r>
  <r>
    <x v="21"/>
    <s v="Michele Rosete"/>
    <s v="INSTITUTO ACQUA - ACAO, CIDADANIA, QUALIDADE URBANA E AMBIEN"/>
    <m/>
    <s v="MA"/>
    <x v="14"/>
    <n v="6"/>
    <n v="60"/>
    <m/>
    <x v="52"/>
    <n v="360"/>
    <n v="1"/>
  </r>
  <r>
    <x v="21"/>
    <s v="Michele Rosete"/>
    <s v="INSTITUTO ACQUA - ACAO, CIDADANIA, QUALIDADE URBANA E AMBIEN"/>
    <m/>
    <s v="MA"/>
    <x v="11"/>
    <n v="3"/>
    <n v="950"/>
    <m/>
    <x v="91"/>
    <n v="2850"/>
    <n v="1"/>
  </r>
  <r>
    <x v="21"/>
    <s v="Michele Rosete"/>
    <s v="IRMANDADE DA SANTA CASA DE MISERICORDIA DE SAO BERNARDO DO CAMPO"/>
    <m/>
    <s v="SP"/>
    <x v="31"/>
    <n v="6"/>
    <n v="350"/>
    <m/>
    <x v="238"/>
    <n v="2100"/>
    <n v="1"/>
  </r>
  <r>
    <x v="21"/>
    <s v="Michele Rosete"/>
    <s v="IRMANDADE DA SANTA CASA DE MISERICORDIA DE SAO BERNARDO DO CAMPO"/>
    <m/>
    <s v="SP"/>
    <x v="20"/>
    <n v="10"/>
    <n v="470"/>
    <m/>
    <x v="239"/>
    <n v="4700"/>
    <n v="1"/>
  </r>
  <r>
    <x v="21"/>
    <s v="Felipe Curi"/>
    <s v="INSTITUTO DE SAUDE E GESTAO HOSPITALAR"/>
    <m/>
    <s v="CE"/>
    <x v="2"/>
    <n v="1"/>
    <n v="110"/>
    <m/>
    <x v="2"/>
    <n v="110"/>
    <n v="1"/>
  </r>
  <r>
    <x v="21"/>
    <s v="Felipe Curi"/>
    <s v="INSTITUTO DE SAUDE E GESTAO HOSPITALAR"/>
    <m/>
    <s v="CE"/>
    <x v="2"/>
    <n v="1"/>
    <n v="110"/>
    <m/>
    <x v="2"/>
    <n v="110"/>
    <n v="1"/>
  </r>
  <r>
    <x v="21"/>
    <s v="Felipe Curi"/>
    <s v="INSTITUTO DE SAUDE E GESTAO HOSPITALAR"/>
    <m/>
    <s v="CE"/>
    <x v="2"/>
    <n v="1"/>
    <n v="110"/>
    <m/>
    <x v="2"/>
    <n v="110"/>
    <n v="1"/>
  </r>
  <r>
    <x v="21"/>
    <s v="Felipe Curi"/>
    <s v="INSTITUTO DE SAUDE E GESTAO HOSPITALAR"/>
    <m/>
    <s v="CE"/>
    <x v="2"/>
    <n v="1"/>
    <n v="110"/>
    <m/>
    <x v="2"/>
    <n v="110"/>
    <n v="1"/>
  </r>
  <r>
    <x v="21"/>
    <s v="Felipe Curi"/>
    <s v="INSTITUTO DE SAUDE E GESTAO HOSPITALAR"/>
    <m/>
    <s v="CE"/>
    <x v="64"/>
    <n v="1"/>
    <n v="170"/>
    <m/>
    <x v="130"/>
    <n v="170"/>
    <n v="1"/>
  </r>
  <r>
    <x v="21"/>
    <s v="Felipe Curi"/>
    <s v="INSTITUTO DE SAUDE E GESTAO HOSPITALAR"/>
    <m/>
    <s v="CE"/>
    <x v="28"/>
    <n v="1"/>
    <n v="705"/>
    <m/>
    <x v="132"/>
    <n v="705"/>
    <n v="1"/>
  </r>
  <r>
    <x v="21"/>
    <s v="Ricardo santos"/>
    <s v="UNIVERSIDADE ESTADUAL DO RIO DE JANEIRO"/>
    <m/>
    <s v="RJ"/>
    <x v="85"/>
    <n v="3"/>
    <n v="533"/>
    <m/>
    <x v="6"/>
    <n v="1599"/>
    <n v="1"/>
  </r>
  <r>
    <x v="21"/>
    <s v="Noemia Sattin"/>
    <s v="FUNDO MUNICIPAL DE SAUDE DE BETIM"/>
    <m/>
    <s v="MG"/>
    <x v="45"/>
    <n v="1"/>
    <n v="750"/>
    <m/>
    <x v="90"/>
    <n v="750"/>
    <n v="1"/>
  </r>
  <r>
    <x v="21"/>
    <s v="Noemia Sattin"/>
    <s v="FUNDO MUNICIPAL DE SAUDE DE BETIM"/>
    <m/>
    <s v="MG"/>
    <x v="87"/>
    <n v="3"/>
    <n v="750"/>
    <m/>
    <x v="240"/>
    <n v="2250"/>
    <n v="1"/>
  </r>
  <r>
    <x v="21"/>
    <s v="Felipe Curi"/>
    <s v="INSTITUTO DE SAUDE E GESTAO HOSPITALAR"/>
    <m/>
    <s v="CE"/>
    <x v="2"/>
    <n v="1"/>
    <n v="110"/>
    <m/>
    <x v="2"/>
    <n v="110"/>
    <n v="1"/>
  </r>
  <r>
    <x v="21"/>
    <s v="Felipe Curi"/>
    <s v="INSTITUTO DE SAUDE E GESTAO HOSPITALAR"/>
    <m/>
    <s v="CE"/>
    <x v="64"/>
    <n v="1"/>
    <n v="170"/>
    <m/>
    <x v="130"/>
    <n v="170"/>
    <n v="1"/>
  </r>
  <r>
    <x v="21"/>
    <s v="Felipe Curi"/>
    <s v="INSTITUTO DE SAUDE E GESTAO HOSPITALAR"/>
    <m/>
    <s v="CE"/>
    <x v="2"/>
    <n v="1"/>
    <n v="110"/>
    <m/>
    <x v="2"/>
    <n v="110"/>
    <n v="1"/>
  </r>
  <r>
    <x v="21"/>
    <s v="Felipe Curi"/>
    <s v="INSTITUTO DE SAUDE E GESTAO HOSPITALAR"/>
    <m/>
    <s v="CE"/>
    <x v="64"/>
    <n v="1"/>
    <n v="170"/>
    <m/>
    <x v="130"/>
    <n v="170"/>
    <n v="1"/>
  </r>
  <r>
    <x v="22"/>
    <s v="Distribuidores"/>
    <s v="UNIMED DE SAO CARLOS - COOPERATIVA DE TRABALHO MEDICO"/>
    <m/>
    <s v="SP"/>
    <x v="25"/>
    <n v="10"/>
    <n v="395"/>
    <m/>
    <x v="28"/>
    <n v="3950"/>
    <n v="1"/>
  </r>
  <r>
    <x v="22"/>
    <s v="Juliana Kluge"/>
    <s v="UNIDADE DE TERAPIA RENAL DE PATO BRANCO LTDA"/>
    <m/>
    <s v="PR"/>
    <x v="10"/>
    <n v="5"/>
    <n v="83"/>
    <m/>
    <x v="241"/>
    <n v="415"/>
    <n v="1"/>
  </r>
  <r>
    <x v="22"/>
    <s v="Juliana Kluge"/>
    <s v="UNIDADE DE TERAPIA RENAL DE PATO BRANCO LTDA"/>
    <m/>
    <s v="PR"/>
    <x v="94"/>
    <n v="5"/>
    <n v="83"/>
    <m/>
    <x v="241"/>
    <n v="415"/>
    <n v="1"/>
  </r>
  <r>
    <x v="22"/>
    <s v="Ricardo santos"/>
    <s v="FUNDACAO DE DESENVOLVIMENTO DA UNICAMP FUNCAMP"/>
    <m/>
    <s v="SP"/>
    <x v="11"/>
    <n v="4"/>
    <n v="650"/>
    <m/>
    <x v="216"/>
    <n v="2600"/>
    <n v="1"/>
  </r>
  <r>
    <x v="22"/>
    <s v="Ricardo santos"/>
    <s v="HOSPITAL CENTRAL DO EXERCITO"/>
    <m/>
    <s v="RJ"/>
    <x v="43"/>
    <n v="15"/>
    <n v="390"/>
    <m/>
    <x v="242"/>
    <n v="5850"/>
    <n v="1"/>
  </r>
  <r>
    <x v="22"/>
    <s v="Ricardo santos"/>
    <s v="REDE MUNICIPAL DR. MARIO GATTI DE URG. E EMERG. HOSPITALAR"/>
    <m/>
    <s v="SP"/>
    <x v="78"/>
    <n v="2"/>
    <n v="450"/>
    <m/>
    <x v="19"/>
    <n v="900"/>
    <n v="1"/>
  </r>
  <r>
    <x v="22"/>
    <s v="Felipe Curi"/>
    <s v="FUNDO ESTADUAL DE SAúDE"/>
    <m/>
    <s v="RO"/>
    <x v="6"/>
    <n v="16"/>
    <n v="617"/>
    <m/>
    <x v="243"/>
    <n v="9872"/>
    <n v="1"/>
  </r>
  <r>
    <x v="22"/>
    <s v="Felipe Curi"/>
    <s v="FUNDO ESTADUAL DE SAúDE"/>
    <m/>
    <s v="RO"/>
    <x v="98"/>
    <n v="35"/>
    <n v="606"/>
    <m/>
    <x v="244"/>
    <n v="21210"/>
    <n v="1"/>
  </r>
  <r>
    <x v="22"/>
    <s v="Felipe Curi"/>
    <s v="FUNDO ESTADUAL DE SAúDE"/>
    <m/>
    <s v="RO"/>
    <x v="76"/>
    <n v="26"/>
    <n v="628"/>
    <m/>
    <x v="245"/>
    <n v="16328"/>
    <n v="1"/>
  </r>
  <r>
    <x v="22"/>
    <s v="Felipe Curi"/>
    <s v="FUNDO ESTADUAL DE SAúDE"/>
    <m/>
    <s v="RO"/>
    <x v="91"/>
    <n v="16"/>
    <n v="622"/>
    <m/>
    <x v="246"/>
    <n v="9952"/>
    <n v="1"/>
  </r>
  <r>
    <x v="22"/>
    <s v="Felipe Curi"/>
    <s v="FUNDO ESTADUAL DE SAúDE"/>
    <m/>
    <s v="RO"/>
    <x v="73"/>
    <n v="25"/>
    <n v="612"/>
    <m/>
    <x v="247"/>
    <n v="15300"/>
    <n v="1"/>
  </r>
  <r>
    <x v="22"/>
    <s v="Felipe Curi"/>
    <s v="FUNDO ESTADUAL DE SAúDE"/>
    <m/>
    <s v="RO"/>
    <x v="84"/>
    <n v="20"/>
    <n v="617"/>
    <m/>
    <x v="248"/>
    <n v="12340"/>
    <n v="1"/>
  </r>
  <r>
    <x v="22"/>
    <s v="Felipe Curi"/>
    <s v="FUNDO ESTADUAL DE SAúDE"/>
    <m/>
    <s v="RO"/>
    <x v="99"/>
    <n v="20"/>
    <n v="594"/>
    <m/>
    <x v="249"/>
    <n v="11880"/>
    <n v="1"/>
  </r>
  <r>
    <x v="22"/>
    <s v="Felipe Curi"/>
    <s v="FUNDO ESTADUAL DE SAúDE"/>
    <m/>
    <s v="RO"/>
    <x v="85"/>
    <n v="25"/>
    <n v="600"/>
    <m/>
    <x v="76"/>
    <n v="15000"/>
    <n v="1"/>
  </r>
  <r>
    <x v="22"/>
    <s v="Felipe Curi"/>
    <s v="FUNDO ESTADUAL DE SAúDE"/>
    <m/>
    <s v="RO"/>
    <x v="23"/>
    <n v="20"/>
    <n v="588"/>
    <m/>
    <x v="128"/>
    <n v="11760"/>
    <n v="1"/>
  </r>
  <r>
    <x v="23"/>
    <s v="Noemia Sattin"/>
    <s v="FUNDO ESTADUAL DE SAUDE DO PARANA - FUNSAUDE"/>
    <m/>
    <s v="PR"/>
    <x v="5"/>
    <n v="12"/>
    <n v="54"/>
    <m/>
    <x v="250"/>
    <n v="648"/>
    <n v="1"/>
  </r>
  <r>
    <x v="23"/>
    <s v="Michele Rosete"/>
    <s v="HOSPITAL CEPOG LTDA"/>
    <m/>
    <s v="SP"/>
    <x v="20"/>
    <n v="2"/>
    <n v="480"/>
    <m/>
    <x v="251"/>
    <n v="960"/>
    <n v="1"/>
  </r>
  <r>
    <x v="23"/>
    <s v="Michele Rosete"/>
    <s v="INSTITUTO ACQUA - ACAO, CIDADANIA, QUALIDADE URBANA E AMBIEN"/>
    <m/>
    <s v="ES"/>
    <x v="10"/>
    <n v="2"/>
    <n v="85"/>
    <m/>
    <x v="130"/>
    <n v="170"/>
    <n v="1"/>
  </r>
  <r>
    <x v="23"/>
    <s v="Felipe Curi"/>
    <s v="EMPRESA BRASILEIRA DE SERVICOS HOSPITALARES - EBSERH"/>
    <m/>
    <s v="SE"/>
    <x v="57"/>
    <n v="60"/>
    <n v="60"/>
    <m/>
    <x v="252"/>
    <n v="3600"/>
    <n v="1"/>
  </r>
  <r>
    <x v="23"/>
    <s v="Ricardo santos"/>
    <s v="HOSPITAL UNIVERSITARIO GAFFREE E GUINLE - HUGG"/>
    <m/>
    <s v="RJ"/>
    <x v="57"/>
    <n v="20"/>
    <n v="52"/>
    <m/>
    <x v="118"/>
    <n v="1040"/>
    <n v="1"/>
  </r>
  <r>
    <x v="23"/>
    <s v="Michele Rosete"/>
    <s v="CONSORCIO INTERMUNICIPAL DE SAUDE DO VALE DO RIBEIRA E LITORAL SUL"/>
    <m/>
    <s v="SP"/>
    <x v="3"/>
    <n v="1"/>
    <n v="120"/>
    <m/>
    <x v="0"/>
    <n v="120"/>
    <n v="1"/>
  </r>
  <r>
    <x v="23"/>
    <s v="Michele Rosete"/>
    <s v="CONSORCIO INTERMUNICIPAL DE SAUDE DO VALE DO RIBEIRA E LITORAL SUL"/>
    <m/>
    <s v="SP"/>
    <x v="1"/>
    <n v="1"/>
    <n v="350"/>
    <m/>
    <x v="1"/>
    <n v="350"/>
    <n v="1"/>
  </r>
  <r>
    <x v="23"/>
    <s v="Michele Rosete"/>
    <s v="CONSORCIO INTERMUNICIPAL DE SAUDE DO VALE DO RIBEIRA E LITORAL SUL"/>
    <m/>
    <s v="SP"/>
    <x v="2"/>
    <n v="1"/>
    <n v="110"/>
    <m/>
    <x v="2"/>
    <n v="110"/>
    <n v="1"/>
  </r>
  <r>
    <x v="23"/>
    <s v="Ricardo santos"/>
    <s v="FUNDO MUNICIPAL DE SAUDE - FMS"/>
    <m/>
    <s v="SP"/>
    <x v="11"/>
    <n v="1"/>
    <n v="675"/>
    <m/>
    <x v="11"/>
    <n v="675"/>
    <n v="1"/>
  </r>
  <r>
    <x v="23"/>
    <s v="Ricardo santos"/>
    <s v="FUNDO MUNICIPAL DE SAUDE - FMS"/>
    <m/>
    <s v="SP"/>
    <x v="11"/>
    <n v="1"/>
    <n v="675"/>
    <m/>
    <x v="11"/>
    <n v="675"/>
    <n v="1"/>
  </r>
  <r>
    <x v="23"/>
    <s v="Ricardo santos"/>
    <s v="FUNDO MUNICIPAL DE SAUDE - FMS"/>
    <m/>
    <s v="SP"/>
    <x v="11"/>
    <n v="1"/>
    <n v="675"/>
    <m/>
    <x v="11"/>
    <n v="675"/>
    <n v="1"/>
  </r>
  <r>
    <x v="23"/>
    <s v="Ricardo santos"/>
    <s v="FUNDO MUNICIPAL DE SAUDE - FMS"/>
    <m/>
    <s v="SP"/>
    <x v="11"/>
    <n v="1"/>
    <n v="675"/>
    <m/>
    <x v="11"/>
    <n v="675"/>
    <n v="1"/>
  </r>
  <r>
    <x v="23"/>
    <s v="Michele Rosete"/>
    <s v="CONSORCIO INTERMUNICIPAL DE SAUDE DO VALE DO RIBEIRA E LITORAL SUL"/>
    <m/>
    <s v="SP"/>
    <x v="17"/>
    <n v="1"/>
    <n v="150"/>
    <m/>
    <x v="18"/>
    <n v="150"/>
    <n v="1"/>
  </r>
  <r>
    <x v="23"/>
    <s v="Michele Rosete"/>
    <s v="CONSORCIO INTERMUNICIPAL DE SAUDE DO VALE DO RIBEIRA E LITORAL SUL"/>
    <m/>
    <s v="SP"/>
    <x v="0"/>
    <n v="1"/>
    <n v="120"/>
    <m/>
    <x v="0"/>
    <n v="120"/>
    <n v="1"/>
  </r>
  <r>
    <x v="23"/>
    <s v="Michele Rosete"/>
    <s v="CONSORCIO INTERMUNICIPAL DE SAUDE DO VALE DO RIBEIRA E LITORAL SUL"/>
    <m/>
    <s v="SP"/>
    <x v="2"/>
    <n v="1"/>
    <n v="110"/>
    <m/>
    <x v="2"/>
    <n v="110"/>
    <n v="1"/>
  </r>
  <r>
    <x v="23"/>
    <s v="Michele Rosete"/>
    <s v="CONSORCIO INTERMUNICIPAL DE SAUDE DO VALE DO RIBEIRA E LITORAL SUL"/>
    <m/>
    <s v="SP"/>
    <x v="3"/>
    <n v="1"/>
    <n v="120"/>
    <m/>
    <x v="0"/>
    <n v="120"/>
    <n v="1"/>
  </r>
  <r>
    <x v="23"/>
    <s v="Michele Rosete"/>
    <s v="CONSORCIO INTERMUNICIPAL DE SAUDE DO VALE DO RIBEIRA E LITORAL SUL"/>
    <m/>
    <s v="SP"/>
    <x v="1"/>
    <n v="1"/>
    <n v="350"/>
    <m/>
    <x v="1"/>
    <n v="350"/>
    <n v="1"/>
  </r>
  <r>
    <x v="23"/>
    <s v="Michele Rosete"/>
    <s v="CONSORCIO INTERMUNICIPAL DE SAUDE DO VALE DO RIBEIRA E LITORAL SUL"/>
    <m/>
    <s v="SP"/>
    <x v="2"/>
    <n v="1"/>
    <n v="110"/>
    <m/>
    <x v="2"/>
    <n v="110"/>
    <n v="1"/>
  </r>
  <r>
    <x v="23"/>
    <s v="Noemia Sattin"/>
    <s v="UNIVERSIDADE ESTADUAL DE LONDRINA"/>
    <m/>
    <s v="PR"/>
    <x v="94"/>
    <n v="50"/>
    <n v="70"/>
    <m/>
    <x v="136"/>
    <n v="3500"/>
    <n v="1"/>
  </r>
  <r>
    <x v="23"/>
    <s v="Noemia Sattin"/>
    <s v="UNIVERSIDADE ESTADUAL DE LONDRINA"/>
    <m/>
    <s v="PR"/>
    <x v="9"/>
    <n v="142"/>
    <n v="70"/>
    <m/>
    <x v="253"/>
    <n v="9940"/>
    <n v="1"/>
  </r>
  <r>
    <x v="23"/>
    <s v="Ricardo santos"/>
    <s v="SPDM - ASSOCIAçãO PAULISTA P/ O DESENVOLVIMENTO DA MEDICINA"/>
    <m/>
    <s v="SP"/>
    <x v="3"/>
    <n v="1"/>
    <n v="180"/>
    <m/>
    <x v="51"/>
    <n v="180"/>
    <n v="1"/>
  </r>
  <r>
    <x v="23"/>
    <s v="Ricardo santos"/>
    <s v="SPDM - ASSOCIAçãO PAULISTA P/ O DESENVOLVIMENTO DA MEDICINA"/>
    <m/>
    <s v="SP"/>
    <x v="36"/>
    <n v="1"/>
    <n v="650"/>
    <m/>
    <x v="5"/>
    <n v="650"/>
    <n v="1"/>
  </r>
  <r>
    <x v="23"/>
    <s v="Noemia Sattin"/>
    <s v="HOSPITAL MUNICIPAL SAO JOSE"/>
    <m/>
    <s v="SC"/>
    <x v="20"/>
    <n v="5"/>
    <n v="476"/>
    <m/>
    <x v="254"/>
    <n v="2380"/>
    <n v="1"/>
  </r>
  <r>
    <x v="23"/>
    <s v="Ricardo santos"/>
    <s v="SPDM - ASSOCIAçãO PAULISTA P/ O DESENVOLVIMENTO DA MEDICINA"/>
    <m/>
    <s v="SP"/>
    <x v="56"/>
    <n v="1"/>
    <n v="72"/>
    <m/>
    <x v="88"/>
    <n v="72"/>
    <n v="1"/>
  </r>
  <r>
    <x v="23"/>
    <s v="Ricardo santos"/>
    <s v="SPDM - ASSOCIAçãO PAULISTA P/ O DESENVOLVIMENTO DA MEDICINA"/>
    <m/>
    <s v="SP"/>
    <x v="3"/>
    <n v="1"/>
    <n v="180"/>
    <m/>
    <x v="51"/>
    <n v="180"/>
    <n v="1"/>
  </r>
  <r>
    <x v="23"/>
    <s v="Ricardo santos"/>
    <s v="SPDM - ASSOCIAçãO PAULISTA P/ O DESENVOLVIMENTO DA MEDICINA"/>
    <m/>
    <s v="SP"/>
    <x v="2"/>
    <n v="2"/>
    <n v="150"/>
    <m/>
    <x v="56"/>
    <n v="300"/>
    <n v="1"/>
  </r>
  <r>
    <x v="23"/>
    <s v="Ricardo santos"/>
    <s v="SPDM - ASSOCIAçãO PAULISTA P/ O DESENVOLVIMENTO DA MEDICINA"/>
    <m/>
    <s v="SP"/>
    <x v="36"/>
    <n v="1"/>
    <n v="650"/>
    <m/>
    <x v="5"/>
    <n v="650"/>
    <n v="1"/>
  </r>
  <r>
    <x v="23"/>
    <s v="Noemia Sattin"/>
    <s v="MUNICIPIO DE CASTRO"/>
    <m/>
    <s v="PR"/>
    <x v="6"/>
    <n v="4"/>
    <n v="535"/>
    <m/>
    <x v="255"/>
    <n v="2140"/>
    <n v="1"/>
  </r>
  <r>
    <x v="23"/>
    <s v="Michele Rosete"/>
    <s v="CONSORCIO INTERMUNICIPAL DE SAUDE DO VALE DO RIBEIRA E LITORAL SUL"/>
    <m/>
    <s v="SP"/>
    <x v="17"/>
    <n v="1"/>
    <n v="150"/>
    <m/>
    <x v="18"/>
    <n v="150"/>
    <n v="1"/>
  </r>
  <r>
    <x v="23"/>
    <s v="Michele Rosete"/>
    <s v="CONSORCIO INTERMUNICIPAL DE SAUDE DO VALE DO RIBEIRA E LITORAL SUL"/>
    <m/>
    <s v="SP"/>
    <x v="3"/>
    <n v="1"/>
    <n v="120"/>
    <m/>
    <x v="0"/>
    <n v="120"/>
    <n v="1"/>
  </r>
  <r>
    <x v="23"/>
    <s v="Michele Rosete"/>
    <s v="CONSORCIO INTERMUNICIPAL DE SAUDE DO VALE DO RIBEIRA E LITORAL SUL"/>
    <m/>
    <s v="SP"/>
    <x v="2"/>
    <n v="2"/>
    <n v="110"/>
    <m/>
    <x v="218"/>
    <n v="220"/>
    <n v="1"/>
  </r>
  <r>
    <x v="23"/>
    <s v="Ricardo santos"/>
    <s v="SERVICO AUTONOMO HOSPITALAR"/>
    <m/>
    <s v="RJ"/>
    <x v="46"/>
    <n v="3"/>
    <n v="600"/>
    <m/>
    <x v="43"/>
    <n v="1800"/>
    <n v="1"/>
  </r>
  <r>
    <x v="23"/>
    <s v="Juliana Kluge"/>
    <s v="ANGULAR PRODUTOS PARA SAúDE LTDA-ME"/>
    <m/>
    <s v="PR"/>
    <x v="19"/>
    <n v="80"/>
    <n v="64"/>
    <m/>
    <x v="256"/>
    <n v="5120"/>
    <n v="1"/>
  </r>
  <r>
    <x v="23"/>
    <s v="Juliana Kluge"/>
    <s v="ANGULAR PRODUTOS PARA SAúDE LTDA-ME"/>
    <m/>
    <s v="PR"/>
    <x v="6"/>
    <n v="1"/>
    <n v="225"/>
    <m/>
    <x v="151"/>
    <n v="225"/>
    <n v="1"/>
  </r>
  <r>
    <x v="23"/>
    <s v="Distribuidores"/>
    <s v="COMERCIAL PABLOS LTDA."/>
    <m/>
    <s v="SP"/>
    <x v="7"/>
    <n v="110"/>
    <n v="49"/>
    <m/>
    <x v="257"/>
    <n v="5390"/>
    <n v="1"/>
  </r>
  <r>
    <x v="24"/>
    <s v="Michele Rosete"/>
    <s v="CONSORCIO INTERMUNICIPAL DE SAUDE DO VALE DO RIBEIRA E LITORAL SUL"/>
    <m/>
    <s v="SP"/>
    <x v="2"/>
    <n v="1"/>
    <n v="110"/>
    <m/>
    <x v="2"/>
    <n v="110"/>
    <n v="1"/>
  </r>
  <r>
    <x v="24"/>
    <s v="Michele Rosete"/>
    <s v="CONSORCIO INTERMUNICIPAL DE SAUDE DO VALE DO RIBEIRA E LITORAL SUL"/>
    <m/>
    <s v="SP"/>
    <x v="2"/>
    <n v="1"/>
    <n v="110"/>
    <m/>
    <x v="2"/>
    <n v="110"/>
    <n v="1"/>
  </r>
  <r>
    <x v="24"/>
    <s v="Juliana Kluge"/>
    <s v="UNIDADE DE TERAPIA RENAL DE PATO BRANCO LTDA"/>
    <m/>
    <s v="PR"/>
    <x v="37"/>
    <n v="2"/>
    <n v="679"/>
    <m/>
    <x v="258"/>
    <n v="1358"/>
    <n v="1"/>
  </r>
  <r>
    <x v="24"/>
    <s v="Juliana Kluge"/>
    <s v="UNIDADE DE TERAPIA RENAL DE PATO BRANCO LTDA"/>
    <m/>
    <s v="PR"/>
    <x v="38"/>
    <n v="2"/>
    <n v="679"/>
    <m/>
    <x v="258"/>
    <n v="1358"/>
    <n v="1"/>
  </r>
  <r>
    <x v="24"/>
    <s v="Felipe Curi"/>
    <s v="EMPRESA BRASILEIRA DE SERVICOS HOSPITALARES - EBSERH"/>
    <m/>
    <s v="CE"/>
    <x v="10"/>
    <n v="56"/>
    <n v="64"/>
    <m/>
    <x v="259"/>
    <n v="3584"/>
    <n v="1"/>
  </r>
  <r>
    <x v="24"/>
    <s v="Michele Rosete"/>
    <s v="CONSORCIO INTERMUNICIPAL DE SAUDE DO VALE DO RIBEIRA E LITORAL SUL"/>
    <m/>
    <s v="SP"/>
    <x v="17"/>
    <n v="1"/>
    <n v="150"/>
    <m/>
    <x v="18"/>
    <n v="150"/>
    <n v="1"/>
  </r>
  <r>
    <x v="24"/>
    <s v="Michele Rosete"/>
    <s v="CONSORCIO INTERMUNICIPAL DE SAUDE DO VALE DO RIBEIRA E LITORAL SUL"/>
    <m/>
    <s v="SP"/>
    <x v="3"/>
    <n v="1"/>
    <n v="120"/>
    <m/>
    <x v="0"/>
    <n v="120"/>
    <n v="1"/>
  </r>
  <r>
    <x v="24"/>
    <s v="Michele Rosete"/>
    <s v="CONSORCIO INTERMUNICIPAL DE SAUDE DO VALE DO RIBEIRA E LITORAL SUL"/>
    <m/>
    <s v="SP"/>
    <x v="2"/>
    <n v="2"/>
    <n v="110"/>
    <m/>
    <x v="218"/>
    <n v="220"/>
    <n v="1"/>
  </r>
  <r>
    <x v="24"/>
    <s v="Michele Rosete"/>
    <s v="CONSORCIO INTERMUNICIPAL DE SAUDE DO VALE DO RIBEIRA E LITORAL SUL"/>
    <m/>
    <s v="SP"/>
    <x v="0"/>
    <n v="1"/>
    <n v="120"/>
    <m/>
    <x v="0"/>
    <n v="120"/>
    <n v="1"/>
  </r>
  <r>
    <x v="24"/>
    <s v="Michele Rosete"/>
    <s v="CONSORCIO INTERMUNICIPAL DE SAUDE DO VALE DO RIBEIRA E LITORAL SUL"/>
    <m/>
    <s v="SP"/>
    <x v="1"/>
    <n v="1"/>
    <n v="350"/>
    <m/>
    <x v="1"/>
    <n v="350"/>
    <n v="1"/>
  </r>
  <r>
    <x v="24"/>
    <s v="Michele Rosete"/>
    <s v="CONSORCIO INTERMUNICIPAL DE SAUDE DO VALE DO RIBEIRA E LITORAL SUL"/>
    <m/>
    <s v="SP"/>
    <x v="2"/>
    <n v="2"/>
    <n v="110"/>
    <m/>
    <x v="218"/>
    <n v="220"/>
    <n v="1"/>
  </r>
  <r>
    <x v="24"/>
    <s v="Michele Rosete"/>
    <s v="CONSORCIO INTERMUNICIPAL DE SAUDE DO VALE DO RIBEIRA E LITORAL SUL"/>
    <m/>
    <s v="SP"/>
    <x v="0"/>
    <n v="1"/>
    <n v="120"/>
    <m/>
    <x v="0"/>
    <n v="120"/>
    <n v="1"/>
  </r>
  <r>
    <x v="24"/>
    <s v="Michele Rosete"/>
    <s v="CONSORCIO INTERMUNICIPAL DE SAUDE DO VALE DO RIBEIRA E LITORAL SUL"/>
    <m/>
    <s v="SP"/>
    <x v="2"/>
    <n v="1"/>
    <n v="110"/>
    <m/>
    <x v="2"/>
    <n v="110"/>
    <n v="1"/>
  </r>
  <r>
    <x v="24"/>
    <s v="Michele Rosete"/>
    <s v="CONSORCIO INTERMUNICIPAL DE SAUDE DO VALE DO RIBEIRA E LITORAL SUL"/>
    <m/>
    <s v="SP"/>
    <x v="0"/>
    <n v="1"/>
    <n v="120"/>
    <m/>
    <x v="0"/>
    <n v="120"/>
    <n v="1"/>
  </r>
  <r>
    <x v="24"/>
    <s v="Michele Rosete"/>
    <s v="CONSORCIO INTERMUNICIPAL DE SAUDE DO VALE DO RIBEIRA E LITORAL SUL"/>
    <m/>
    <s v="SP"/>
    <x v="1"/>
    <n v="1"/>
    <n v="350"/>
    <m/>
    <x v="1"/>
    <n v="350"/>
    <n v="1"/>
  </r>
  <r>
    <x v="24"/>
    <s v="Michele Rosete"/>
    <s v="CONSORCIO INTERMUNICIPAL DE SAUDE DO VALE DO RIBEIRA E LITORAL SUL"/>
    <m/>
    <s v="SP"/>
    <x v="2"/>
    <n v="1"/>
    <n v="110"/>
    <m/>
    <x v="2"/>
    <n v="110"/>
    <n v="1"/>
  </r>
  <r>
    <x v="24"/>
    <s v="Felipe Curi"/>
    <s v="INSTITUTO DE SAUDE E GESTAO HOSPITALAR"/>
    <m/>
    <s v="CE"/>
    <x v="2"/>
    <n v="1"/>
    <n v="110"/>
    <m/>
    <x v="2"/>
    <n v="110"/>
    <n v="1"/>
  </r>
  <r>
    <x v="24"/>
    <s v="Felipe Curi"/>
    <s v="INSTITUTO DE SAUDE E GESTAO HOSPITALAR"/>
    <m/>
    <s v="CE"/>
    <x v="28"/>
    <n v="1"/>
    <n v="705"/>
    <m/>
    <x v="132"/>
    <n v="705"/>
    <n v="1"/>
  </r>
  <r>
    <x v="24"/>
    <s v="Ricardo santos"/>
    <s v="FUNDO MUNICIPAL DE SAUDE - FMS"/>
    <m/>
    <s v="SP"/>
    <x v="11"/>
    <n v="1"/>
    <n v="675"/>
    <m/>
    <x v="11"/>
    <n v="675"/>
    <n v="1"/>
  </r>
  <r>
    <x v="24"/>
    <s v="Noemia Sattin"/>
    <s v="EMPRESA BRASILEIRA DE SERVICOS HOSPITALARES - EBSERH"/>
    <m/>
    <s v="MS"/>
    <x v="68"/>
    <n v="20"/>
    <n v="239.95"/>
    <m/>
    <x v="260"/>
    <n v="4799"/>
    <n v="1"/>
  </r>
  <r>
    <x v="24"/>
    <s v="Noemia Sattin"/>
    <s v="EMPRESA BRASILEIRA DE SERVICOS HOSPITALARES - EBSERH"/>
    <m/>
    <s v="MS"/>
    <x v="57"/>
    <n v="25"/>
    <n v="51.95"/>
    <m/>
    <x v="261"/>
    <n v="1298.75"/>
    <n v="1"/>
  </r>
  <r>
    <x v="24"/>
    <s v="Michele Rosete"/>
    <s v="INSTITUTO ACQUA - ACAO, CIDADANIA, QUALIDADE URBANA E AMBIENTAL"/>
    <m/>
    <s v="PA"/>
    <x v="35"/>
    <n v="5"/>
    <n v="330"/>
    <m/>
    <x v="262"/>
    <n v="1650"/>
    <n v="1"/>
  </r>
  <r>
    <x v="24"/>
    <s v="Michele Rosete"/>
    <s v="INSTITUTO ACQUA - ACAO, CIDADANIA, QUALIDADE URBANA E AMBIENTAL"/>
    <m/>
    <s v="PA"/>
    <x v="7"/>
    <n v="70"/>
    <n v="42.5"/>
    <m/>
    <x v="263"/>
    <n v="2975"/>
    <n v="1"/>
  </r>
  <r>
    <x v="24"/>
    <s v="Michele Rosete"/>
    <s v="INSTITUTO ACQUA - ACAO, CIDADANIA, QUALIDADE URBANA E AMBIENTAL"/>
    <m/>
    <s v="PA"/>
    <x v="81"/>
    <n v="5"/>
    <n v="75"/>
    <m/>
    <x v="20"/>
    <n v="375"/>
    <n v="1"/>
  </r>
  <r>
    <x v="24"/>
    <s v="Noemia Sattin"/>
    <s v="EMPRESA BRASILEIRA DE SERVICOS HOSPITALARES - EBSERH"/>
    <m/>
    <s v="SC"/>
    <x v="81"/>
    <n v="2"/>
    <n v="200"/>
    <m/>
    <x v="111"/>
    <n v="400"/>
    <n v="1"/>
  </r>
  <r>
    <x v="24"/>
    <s v="Ricardo santos"/>
    <s v="FAMESP FUNDAçãO PARA O DESENVOLVIMENTO MéDICO HOSPITALAR"/>
    <m/>
    <s v="SP"/>
    <x v="11"/>
    <n v="1"/>
    <n v="750"/>
    <m/>
    <x v="90"/>
    <n v="750"/>
    <n v="1"/>
  </r>
  <r>
    <x v="25"/>
    <s v="Noemia Sattin"/>
    <s v="EMPRESA BRASILEIRA DE SERVICOS HOSPITALARES - EBSERH"/>
    <m/>
    <s v="SC"/>
    <x v="3"/>
    <n v="15"/>
    <n v="55"/>
    <m/>
    <x v="39"/>
    <n v="825"/>
    <n v="1"/>
  </r>
  <r>
    <x v="25"/>
    <s v="Noemia Sattin"/>
    <s v="EMPRESA BRASILEIRA DE SERVICOS HOSPITALARES - EBSERH"/>
    <m/>
    <s v="SC"/>
    <x v="1"/>
    <n v="5"/>
    <n v="297"/>
    <m/>
    <x v="102"/>
    <n v="1485"/>
    <n v="1"/>
  </r>
  <r>
    <x v="25"/>
    <s v="Michele Rosete"/>
    <s v="INSTITUTO SOCRATES GUANAES - ISG"/>
    <m/>
    <s v="SP"/>
    <x v="100"/>
    <n v="1"/>
    <n v="900"/>
    <m/>
    <x v="19"/>
    <n v="900"/>
    <n v="1"/>
  </r>
  <r>
    <x v="25"/>
    <s v="Ricardo santos"/>
    <s v="SPDM - ASSOCIACAO PAULISTA PARA O DESENVOLVIMENTO DA MEDICINA"/>
    <m/>
    <s v="SP"/>
    <x v="11"/>
    <n v="1"/>
    <n v="715"/>
    <m/>
    <x v="34"/>
    <n v="715"/>
    <n v="1"/>
  </r>
  <r>
    <x v="25"/>
    <s v="Felipe Curi"/>
    <s v="FUNDO ESTADUAL DE SAUDE DO ESTADO DA BAHIA"/>
    <m/>
    <s v="BA"/>
    <x v="2"/>
    <n v="150"/>
    <n v="69"/>
    <m/>
    <x v="264"/>
    <n v="10350"/>
    <n v="1"/>
  </r>
  <r>
    <x v="25"/>
    <s v="Distribuidores"/>
    <s v="HOSPITAL SAO JOSE LTDA"/>
    <m/>
    <s v="MG"/>
    <x v="11"/>
    <n v="3"/>
    <n v="1380"/>
    <m/>
    <x v="265"/>
    <n v="4140"/>
    <n v="1"/>
  </r>
  <r>
    <x v="25"/>
    <s v="Michele Rosete"/>
    <s v="ASSOCIACAO FILANTROPICA NOVA ESPERANCA"/>
    <m/>
    <s v="RJ"/>
    <x v="57"/>
    <n v="25"/>
    <n v="65"/>
    <m/>
    <x v="266"/>
    <n v="1625"/>
    <n v="1"/>
  </r>
  <r>
    <x v="25"/>
    <s v="Ricardo santos"/>
    <s v="SPDM - ASSOCIACAO PAULISTA PARA O DESENVOLVIMENTO DA MEDICINA"/>
    <m/>
    <s v="MG"/>
    <x v="20"/>
    <n v="2"/>
    <n v="420"/>
    <m/>
    <x v="267"/>
    <n v="840"/>
    <n v="1"/>
  </r>
  <r>
    <x v="25"/>
    <s v="MELINA BASSO"/>
    <s v="QB COMERCIO LTDA"/>
    <m/>
    <s v="GO"/>
    <x v="65"/>
    <n v="5"/>
    <n v="68"/>
    <m/>
    <x v="131"/>
    <n v="340"/>
    <n v="1"/>
  </r>
  <r>
    <x v="25"/>
    <s v="MELINA BASSO"/>
    <s v="QB COMERCIO LTDA"/>
    <m/>
    <s v="GO"/>
    <x v="22"/>
    <n v="1"/>
    <n v="625"/>
    <m/>
    <x v="268"/>
    <n v="625"/>
    <n v="1"/>
  </r>
  <r>
    <x v="25"/>
    <s v="MELINA BASSO"/>
    <s v="QB COMERCIO LTDA"/>
    <m/>
    <s v="GO"/>
    <x v="11"/>
    <n v="6"/>
    <n v="680"/>
    <m/>
    <x v="121"/>
    <n v="4080"/>
    <n v="1"/>
  </r>
  <r>
    <x v="25"/>
    <s v="Noemia Sattin"/>
    <s v="MUNICIPIO DE PARACATU"/>
    <m/>
    <s v="MG"/>
    <x v="37"/>
    <n v="15"/>
    <n v="910"/>
    <m/>
    <x v="269"/>
    <n v="13650"/>
    <n v="1"/>
  </r>
  <r>
    <x v="25"/>
    <s v="Noemia Sattin"/>
    <s v="MUNICIPIO DE PARACATU"/>
    <m/>
    <s v="MG"/>
    <x v="37"/>
    <n v="25"/>
    <n v="970"/>
    <m/>
    <x v="270"/>
    <n v="24250"/>
    <n v="1"/>
  </r>
  <r>
    <x v="25"/>
    <s v="Noemia Sattin"/>
    <s v="MUNICIPIO DE PARACATU"/>
    <m/>
    <s v="MG"/>
    <x v="38"/>
    <n v="15"/>
    <n v="730"/>
    <m/>
    <x v="171"/>
    <n v="10950"/>
    <n v="1"/>
  </r>
  <r>
    <x v="25"/>
    <s v="Noemia Sattin"/>
    <s v="MUNICIPIO DE PARACATU"/>
    <m/>
    <s v="MG"/>
    <x v="39"/>
    <n v="5"/>
    <n v="730"/>
    <m/>
    <x v="184"/>
    <n v="3650"/>
    <n v="1"/>
  </r>
  <r>
    <x v="25"/>
    <s v="Noemia Sattin"/>
    <s v="MUNICIPIO DE PARACATU"/>
    <m/>
    <s v="MG"/>
    <x v="94"/>
    <n v="40"/>
    <n v="92"/>
    <m/>
    <x v="271"/>
    <n v="3680"/>
    <n v="1"/>
  </r>
  <r>
    <x v="25"/>
    <s v="Noemia Sattin"/>
    <s v="MUNICIPIO DE PARACATU"/>
    <m/>
    <s v="MG"/>
    <x v="9"/>
    <n v="40"/>
    <n v="92"/>
    <m/>
    <x v="271"/>
    <n v="3680"/>
    <n v="1"/>
  </r>
  <r>
    <x v="26"/>
    <s v="Ricardo santos"/>
    <s v="FUNDO MUNICIPAL DE SAUDE - FMS"/>
    <m/>
    <s v="SP"/>
    <x v="11"/>
    <n v="1"/>
    <n v="675"/>
    <m/>
    <x v="11"/>
    <n v="675"/>
    <n v="1"/>
  </r>
  <r>
    <x v="26"/>
    <s v="Ricardo santos"/>
    <s v="EMPRESA BRASILEIRA DE SERVICOS HOSPITALARES - EBSERH"/>
    <m/>
    <s v="ES"/>
    <x v="11"/>
    <n v="2"/>
    <n v="1000"/>
    <m/>
    <x v="236"/>
    <n v="2000"/>
    <n v="1"/>
  </r>
  <r>
    <x v="26"/>
    <s v="Ricardo santos"/>
    <s v="SECRETARIA DE ESTADO DA SAUDE"/>
    <m/>
    <s v="ES"/>
    <x v="7"/>
    <n v="40"/>
    <n v="31.2"/>
    <m/>
    <x v="272"/>
    <n v="1248"/>
    <n v="1"/>
  </r>
  <r>
    <x v="26"/>
    <s v="Ricardo santos"/>
    <s v="MUNICIPIO DE PIRANGI"/>
    <m/>
    <s v="SP"/>
    <x v="14"/>
    <n v="2"/>
    <n v="93"/>
    <m/>
    <x v="273"/>
    <n v="186"/>
    <n v="1"/>
  </r>
  <r>
    <x v="26"/>
    <s v="Ricardo santos"/>
    <s v="MUNICIPIO DE PIRANGI"/>
    <m/>
    <s v="SP"/>
    <x v="7"/>
    <n v="6"/>
    <n v="52"/>
    <m/>
    <x v="274"/>
    <n v="312"/>
    <n v="1"/>
  </r>
  <r>
    <x v="26"/>
    <s v="Ricardo santos"/>
    <s v="FUNDO MUNICIPAL DE SAUDE - FMS"/>
    <m/>
    <s v="SP"/>
    <x v="11"/>
    <n v="1"/>
    <n v="675"/>
    <m/>
    <x v="11"/>
    <n v="675"/>
    <n v="1"/>
  </r>
  <r>
    <x v="26"/>
    <s v="Felipe Curi"/>
    <s v="FUNDO ESTADUAL DE SAUDE DO ESTADO DA BAHIA"/>
    <m/>
    <s v="BA"/>
    <x v="37"/>
    <n v="13"/>
    <n v="560"/>
    <m/>
    <x v="275"/>
    <n v="7280"/>
    <n v="1"/>
  </r>
  <r>
    <x v="26"/>
    <s v="Felipe Curi"/>
    <s v="FUNDO ESTADUAL DE SAUDE DO ESTADO DA BAHIA"/>
    <m/>
    <s v="BA"/>
    <x v="38"/>
    <n v="13"/>
    <n v="560"/>
    <m/>
    <x v="275"/>
    <n v="7280"/>
    <n v="1"/>
  </r>
  <r>
    <x v="26"/>
    <s v="Felipe Curi"/>
    <s v="FUNDO ESTADUAL DE SAUDE DO ESTADO DA BAHIA"/>
    <m/>
    <s v="BA"/>
    <x v="39"/>
    <n v="4"/>
    <n v="560"/>
    <m/>
    <x v="276"/>
    <n v="2240"/>
    <n v="1"/>
  </r>
  <r>
    <x v="26"/>
    <s v="Felipe Curi"/>
    <s v="FUNDO ESTADUAL DE SAUDE DO ESTADO DA BAHIA"/>
    <m/>
    <s v="BA"/>
    <x v="90"/>
    <n v="10"/>
    <n v="560"/>
    <m/>
    <x v="277"/>
    <n v="5600"/>
    <n v="1"/>
  </r>
  <r>
    <x v="26"/>
    <s v="Ricardo santos"/>
    <s v="MUNICIPIO DO RIO DE JANEIRO"/>
    <m/>
    <s v="RJ"/>
    <x v="57"/>
    <n v="524"/>
    <n v="49.9"/>
    <m/>
    <x v="278"/>
    <n v="26147.599999999999"/>
    <n v="1"/>
  </r>
  <r>
    <x v="26"/>
    <s v="Ricardo santos"/>
    <s v="FUNDO MUNICIPAL DE SAUDE - FMS"/>
    <m/>
    <s v="SP"/>
    <x v="11"/>
    <n v="1"/>
    <n v="675"/>
    <m/>
    <x v="11"/>
    <n v="675"/>
    <n v="1"/>
  </r>
  <r>
    <x v="26"/>
    <s v="Ricardo santos"/>
    <s v="FUNDO MUNICIPAL DE SAUDE - FMS"/>
    <m/>
    <s v="SP"/>
    <x v="11"/>
    <n v="1"/>
    <n v="675"/>
    <m/>
    <x v="11"/>
    <n v="675"/>
    <n v="1"/>
  </r>
  <r>
    <x v="26"/>
    <s v="Ricardo santos"/>
    <s v="FUNDO MUNICIPAL DE SAUDE - FMS"/>
    <m/>
    <s v="SP"/>
    <x v="11"/>
    <n v="1"/>
    <n v="675"/>
    <m/>
    <x v="11"/>
    <n v="675"/>
    <n v="1"/>
  </r>
  <r>
    <x v="26"/>
    <s v="Felipe Curi"/>
    <s v="EMPRESA BRASILEIRA DE SERVICOS HOSPITALARES - EBSERH"/>
    <m/>
    <s v="PE"/>
    <x v="57"/>
    <n v="150"/>
    <n v="43"/>
    <m/>
    <x v="279"/>
    <n v="6450"/>
    <n v="1"/>
  </r>
  <r>
    <x v="27"/>
    <s v="Ricardo santos"/>
    <s v="SECRETARIA DO ESTADO DA SAUDE"/>
    <m/>
    <s v="SP"/>
    <x v="29"/>
    <n v="2"/>
    <n v="450"/>
    <m/>
    <x v="19"/>
    <n v="900"/>
    <n v="1"/>
  </r>
  <r>
    <x v="27"/>
    <s v="Felipe Curi"/>
    <s v="FUNDO ESTADUAL DE SAUDE DO ESTADO DA BAHIA"/>
    <m/>
    <s v="BA"/>
    <x v="19"/>
    <n v="20"/>
    <n v="64"/>
    <m/>
    <x v="41"/>
    <n v="1280"/>
    <n v="1"/>
  </r>
  <r>
    <x v="27"/>
    <s v="Juliana Kluge"/>
    <s v="ANGULAR PRODUTOS PARA SAúDE LTDA-ME"/>
    <m/>
    <s v="PR"/>
    <x v="100"/>
    <n v="4"/>
    <n v="600"/>
    <m/>
    <x v="188"/>
    <n v="2400"/>
    <n v="1"/>
  </r>
  <r>
    <x v="27"/>
    <s v="Juliana Kluge"/>
    <s v="ANGULAR PRODUTOS PARA SAúDE LTDA-ME"/>
    <m/>
    <s v="PR"/>
    <x v="14"/>
    <n v="50"/>
    <n v="52"/>
    <m/>
    <x v="216"/>
    <n v="2600"/>
    <n v="1"/>
  </r>
  <r>
    <x v="27"/>
    <s v="Juliana Kluge"/>
    <s v="ANGULAR PRODUTOS PARA SAúDE LTDA-ME"/>
    <m/>
    <s v="PR"/>
    <x v="6"/>
    <n v="1"/>
    <n v="225"/>
    <m/>
    <x v="151"/>
    <n v="225"/>
    <n v="1"/>
  </r>
  <r>
    <x v="27"/>
    <s v="Juliana Kluge"/>
    <s v="ANGULAR PRODUTOS PARA SAúDE LTDA-ME"/>
    <m/>
    <s v="PR"/>
    <x v="101"/>
    <n v="4"/>
    <n v="225"/>
    <m/>
    <x v="19"/>
    <n v="900"/>
    <n v="1"/>
  </r>
  <r>
    <x v="28"/>
    <s v="Ricardo santos"/>
    <s v="FUNDO MUNICIPAL DE SAUDE - FMS"/>
    <m/>
    <s v="SP"/>
    <x v="11"/>
    <n v="1"/>
    <n v="675"/>
    <m/>
    <x v="11"/>
    <n v="675"/>
    <n v="1"/>
  </r>
  <r>
    <x v="28"/>
    <s v="MELINA BASSO"/>
    <s v="NEO MEDICAL COMERCIAL HOSPITALAR LTDA"/>
    <m/>
    <s v="SP"/>
    <x v="0"/>
    <n v="3"/>
    <n v="49"/>
    <m/>
    <x v="280"/>
    <n v="147"/>
    <n v="1"/>
  </r>
  <r>
    <x v="28"/>
    <s v="Distribuidores"/>
    <s v="ACE DISTRIBUIDORA LTDA"/>
    <m/>
    <s v="GO"/>
    <x v="8"/>
    <n v="3"/>
    <n v="225"/>
    <m/>
    <x v="11"/>
    <n v="675"/>
    <n v="1"/>
  </r>
  <r>
    <x v="28"/>
    <s v="Distribuidores"/>
    <s v="ACE DISTRIBUIDORA LTDA"/>
    <m/>
    <s v="GO"/>
    <x v="10"/>
    <n v="12"/>
    <n v="64"/>
    <m/>
    <x v="281"/>
    <n v="768"/>
    <n v="1"/>
  </r>
  <r>
    <x v="28"/>
    <s v="Distribuidores"/>
    <s v="ACE DISTRIBUIDORA LTDA"/>
    <m/>
    <s v="GO"/>
    <x v="68"/>
    <n v="5"/>
    <n v="225"/>
    <m/>
    <x v="152"/>
    <n v="1125"/>
    <n v="1"/>
  </r>
  <r>
    <x v="28"/>
    <s v="Distribuidores"/>
    <s v="ACE DISTRIBUIDORA LTDA"/>
    <m/>
    <s v="GO"/>
    <x v="69"/>
    <n v="5"/>
    <n v="225"/>
    <m/>
    <x v="152"/>
    <n v="1125"/>
    <n v="1"/>
  </r>
  <r>
    <x v="28"/>
    <s v="Distribuidores"/>
    <s v="ACE DISTRIBUIDORA LTDA"/>
    <m/>
    <s v="GO"/>
    <x v="35"/>
    <n v="6"/>
    <n v="225"/>
    <m/>
    <x v="27"/>
    <n v="1350"/>
    <n v="1"/>
  </r>
  <r>
    <x v="28"/>
    <s v="Michele Rosete"/>
    <s v="FUNDACAO DE ASSISTENCIA ESTUDO E PESQUISA DE UBERLANDIA"/>
    <m/>
    <s v="MG"/>
    <x v="20"/>
    <n v="2"/>
    <n v="470"/>
    <m/>
    <x v="282"/>
    <n v="940"/>
    <n v="1"/>
  </r>
  <r>
    <x v="28"/>
    <s v="Distribuidores"/>
    <s v="MED-ONE PRODUTOS MéDICOS LTDA-EPP"/>
    <m/>
    <s v="SP"/>
    <x v="56"/>
    <n v="15"/>
    <n v="67"/>
    <m/>
    <x v="283"/>
    <n v="1005"/>
    <n v="1"/>
  </r>
  <r>
    <x v="28"/>
    <s v="Distribuidores"/>
    <s v="MED-ONE PRODUTOS MéDICOS LTDA-EPP"/>
    <m/>
    <s v="SP"/>
    <x v="0"/>
    <n v="50"/>
    <n v="48"/>
    <m/>
    <x v="188"/>
    <n v="2400"/>
    <n v="1"/>
  </r>
  <r>
    <x v="28"/>
    <s v="Distribuidores"/>
    <s v="MED-ONE PRODUTOS MéDICOS LTDA-EPP"/>
    <m/>
    <s v="SP"/>
    <x v="3"/>
    <n v="100"/>
    <n v="48"/>
    <m/>
    <x v="201"/>
    <n v="4800"/>
    <n v="1"/>
  </r>
  <r>
    <x v="28"/>
    <s v="Distribuidores"/>
    <s v="MED-ONE PRODUTOS MéDICOS LTDA-EPP"/>
    <m/>
    <s v="SP"/>
    <x v="1"/>
    <n v="50"/>
    <n v="275"/>
    <m/>
    <x v="74"/>
    <n v="13750"/>
    <n v="1"/>
  </r>
  <r>
    <x v="28"/>
    <s v="Distribuidores"/>
    <s v="MED-ONE PRODUTOS MéDICOS LTDA-EPP"/>
    <m/>
    <s v="SP"/>
    <x v="47"/>
    <n v="50"/>
    <n v="335"/>
    <m/>
    <x v="77"/>
    <n v="16750"/>
    <n v="1"/>
  </r>
  <r>
    <x v="28"/>
    <s v="Distribuidores"/>
    <s v="MED-ONE PRODUTOS MéDICOS LTDA-EPP"/>
    <m/>
    <s v="SP"/>
    <x v="53"/>
    <n v="50"/>
    <n v="335"/>
    <m/>
    <x v="77"/>
    <n v="16750"/>
    <n v="1"/>
  </r>
  <r>
    <x v="28"/>
    <s v="Distribuidores"/>
    <s v="MED-ONE PRODUTOS MéDICOS LTDA-EPP"/>
    <m/>
    <s v="SP"/>
    <x v="36"/>
    <n v="50"/>
    <n v="375"/>
    <m/>
    <x v="75"/>
    <n v="18750"/>
    <n v="1"/>
  </r>
  <r>
    <x v="28"/>
    <s v="Distribuidores"/>
    <s v="MED-ONE PRODUTOS MéDICOS LTDA-EPP"/>
    <m/>
    <s v="SP"/>
    <x v="54"/>
    <n v="100"/>
    <n v="335"/>
    <m/>
    <x v="284"/>
    <n v="33500"/>
    <n v="1"/>
  </r>
  <r>
    <x v="28"/>
    <s v="Distribuidores"/>
    <s v="MED-ONE PRODUTOS MéDICOS LTDA-EPP"/>
    <m/>
    <s v="SP"/>
    <x v="2"/>
    <n v="500"/>
    <n v="75"/>
    <m/>
    <x v="285"/>
    <n v="37500"/>
    <n v="1"/>
  </r>
  <r>
    <x v="28"/>
    <s v="Ricardo santos"/>
    <s v="FUNDO MUNICIPAL DE SAUDE - FMS"/>
    <m/>
    <s v="SP"/>
    <x v="11"/>
    <n v="1"/>
    <n v="675"/>
    <m/>
    <x v="11"/>
    <n v="675"/>
    <n v="1"/>
  </r>
  <r>
    <x v="29"/>
    <m/>
    <m/>
    <m/>
    <m/>
    <x v="102"/>
    <m/>
    <m/>
    <m/>
    <x v="28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E1D29-CA9D-4811-BBC2-B752CACD384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C54" firstHeaderRow="0" firstDataRow="1" firstDataCol="1" rowPageCount="2" colPageCount="1"/>
  <pivotFields count="14"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axis="axisRow" showAll="0">
      <items count="104">
        <item x="17"/>
        <item x="92"/>
        <item x="93"/>
        <item x="56"/>
        <item x="40"/>
        <item x="37"/>
        <item x="38"/>
        <item x="39"/>
        <item x="90"/>
        <item x="100"/>
        <item x="71"/>
        <item x="35"/>
        <item x="34"/>
        <item x="8"/>
        <item x="68"/>
        <item x="69"/>
        <item x="32"/>
        <item x="30"/>
        <item x="31"/>
        <item x="74"/>
        <item x="12"/>
        <item x="72"/>
        <item x="62"/>
        <item x="42"/>
        <item x="18"/>
        <item x="65"/>
        <item x="63"/>
        <item x="77"/>
        <item x="55"/>
        <item x="13"/>
        <item x="41"/>
        <item x="48"/>
        <item x="49"/>
        <item x="50"/>
        <item x="51"/>
        <item x="3"/>
        <item x="0"/>
        <item x="4"/>
        <item x="5"/>
        <item x="19"/>
        <item x="14"/>
        <item x="10"/>
        <item x="7"/>
        <item x="97"/>
        <item x="70"/>
        <item x="95"/>
        <item x="27"/>
        <item x="88"/>
        <item x="83"/>
        <item x="6"/>
        <item x="21"/>
        <item x="66"/>
        <item x="60"/>
        <item x="98"/>
        <item x="76"/>
        <item x="91"/>
        <item x="22"/>
        <item x="73"/>
        <item x="61"/>
        <item x="84"/>
        <item x="99"/>
        <item x="85"/>
        <item x="82"/>
        <item x="75"/>
        <item x="86"/>
        <item x="23"/>
        <item x="101"/>
        <item x="52"/>
        <item x="96"/>
        <item x="81"/>
        <item x="80"/>
        <item x="1"/>
        <item x="29"/>
        <item x="59"/>
        <item x="43"/>
        <item x="89"/>
        <item x="2"/>
        <item x="25"/>
        <item x="44"/>
        <item x="64"/>
        <item x="15"/>
        <item x="16"/>
        <item x="67"/>
        <item x="28"/>
        <item x="11"/>
        <item x="24"/>
        <item x="20"/>
        <item x="58"/>
        <item x="78"/>
        <item x="36"/>
        <item x="57"/>
        <item x="53"/>
        <item x="79"/>
        <item x="54"/>
        <item x="47"/>
        <item x="94"/>
        <item x="9"/>
        <item x="33"/>
        <item x="45"/>
        <item x="46"/>
        <item x="87"/>
        <item x="26"/>
        <item x="102"/>
        <item t="default"/>
      </items>
    </pivotField>
    <pivotField dataField="1" showAll="0"/>
    <pivotField showAll="0"/>
    <pivotField showAll="0"/>
    <pivotField dataField="1" showAll="0">
      <items count="288">
        <item x="109"/>
        <item x="106"/>
        <item x="50"/>
        <item x="172"/>
        <item x="180"/>
        <item x="88"/>
        <item x="2"/>
        <item x="0"/>
        <item x="280"/>
        <item x="18"/>
        <item x="127"/>
        <item x="130"/>
        <item x="51"/>
        <item x="210"/>
        <item x="273"/>
        <item x="79"/>
        <item x="71"/>
        <item x="36"/>
        <item x="181"/>
        <item x="218"/>
        <item x="151"/>
        <item x="3"/>
        <item x="206"/>
        <item x="85"/>
        <item x="211"/>
        <item x="56"/>
        <item x="274"/>
        <item x="165"/>
        <item x="84"/>
        <item x="4"/>
        <item x="131"/>
        <item x="1"/>
        <item x="21"/>
        <item x="52"/>
        <item x="38"/>
        <item x="20"/>
        <item x="15"/>
        <item x="133"/>
        <item x="111"/>
        <item x="241"/>
        <item x="22"/>
        <item x="125"/>
        <item x="134"/>
        <item x="208"/>
        <item x="141"/>
        <item x="225"/>
        <item x="83"/>
        <item x="98"/>
        <item x="166"/>
        <item x="123"/>
        <item x="197"/>
        <item x="162"/>
        <item x="29"/>
        <item x="189"/>
        <item x="8"/>
        <item x="268"/>
        <item x="86"/>
        <item x="250"/>
        <item x="5"/>
        <item x="11"/>
        <item x="183"/>
        <item x="231"/>
        <item x="132"/>
        <item x="34"/>
        <item x="90"/>
        <item x="160"/>
        <item x="281"/>
        <item x="185"/>
        <item x="234"/>
        <item x="194"/>
        <item x="10"/>
        <item x="39"/>
        <item x="24"/>
        <item x="267"/>
        <item x="73"/>
        <item x="235"/>
        <item x="19"/>
        <item x="282"/>
        <item x="105"/>
        <item x="251"/>
        <item x="209"/>
        <item x="283"/>
        <item x="9"/>
        <item x="118"/>
        <item x="167"/>
        <item x="148"/>
        <item x="168"/>
        <item x="152"/>
        <item x="191"/>
        <item x="205"/>
        <item x="198"/>
        <item x="57"/>
        <item x="199"/>
        <item x="232"/>
        <item x="272"/>
        <item x="40"/>
        <item x="41"/>
        <item x="87"/>
        <item x="261"/>
        <item x="64"/>
        <item x="27"/>
        <item x="258"/>
        <item x="222"/>
        <item x="233"/>
        <item x="42"/>
        <item x="117"/>
        <item x="173"/>
        <item x="68"/>
        <item x="135"/>
        <item x="102"/>
        <item x="58"/>
        <item x="190"/>
        <item x="147"/>
        <item x="6"/>
        <item x="266"/>
        <item x="262"/>
        <item x="25"/>
        <item x="69"/>
        <item x="119"/>
        <item x="65"/>
        <item x="169"/>
        <item x="43"/>
        <item x="44"/>
        <item x="104"/>
        <item x="54"/>
        <item x="215"/>
        <item x="153"/>
        <item x="236"/>
        <item x="223"/>
        <item x="238"/>
        <item x="255"/>
        <item x="120"/>
        <item x="92"/>
        <item x="276"/>
        <item x="240"/>
        <item x="182"/>
        <item x="254"/>
        <item x="188"/>
        <item x="45"/>
        <item x="158"/>
        <item x="103"/>
        <item x="122"/>
        <item x="196"/>
        <item x="178"/>
        <item x="107"/>
        <item x="216"/>
        <item x="59"/>
        <item x="193"/>
        <item x="81"/>
        <item x="174"/>
        <item x="115"/>
        <item x="67"/>
        <item x="91"/>
        <item x="138"/>
        <item x="154"/>
        <item x="263"/>
        <item x="32"/>
        <item x="221"/>
        <item x="66"/>
        <item x="200"/>
        <item x="48"/>
        <item x="155"/>
        <item x="170"/>
        <item x="26"/>
        <item x="229"/>
        <item x="46"/>
        <item x="136"/>
        <item x="212"/>
        <item x="259"/>
        <item x="252"/>
        <item x="142"/>
        <item x="184"/>
        <item x="271"/>
        <item x="89"/>
        <item x="146"/>
        <item x="97"/>
        <item x="53"/>
        <item x="63"/>
        <item x="28"/>
        <item x="33"/>
        <item x="156"/>
        <item x="121"/>
        <item x="204"/>
        <item x="265"/>
        <item x="157"/>
        <item x="60"/>
        <item x="213"/>
        <item x="47"/>
        <item x="16"/>
        <item x="37"/>
        <item x="116"/>
        <item x="239"/>
        <item x="62"/>
        <item x="260"/>
        <item x="201"/>
        <item x="93"/>
        <item x="7"/>
        <item x="187"/>
        <item x="94"/>
        <item x="256"/>
        <item x="14"/>
        <item x="226"/>
        <item x="207"/>
        <item x="49"/>
        <item x="220"/>
        <item x="124"/>
        <item x="257"/>
        <item x="61"/>
        <item x="110"/>
        <item x="277"/>
        <item x="179"/>
        <item x="95"/>
        <item x="161"/>
        <item x="242"/>
        <item x="279"/>
        <item x="224"/>
        <item x="99"/>
        <item x="137"/>
        <item x="275"/>
        <item x="219"/>
        <item x="96"/>
        <item x="237"/>
        <item x="80"/>
        <item x="177"/>
        <item x="31"/>
        <item x="126"/>
        <item x="149"/>
        <item x="35"/>
        <item x="13"/>
        <item x="17"/>
        <item x="145"/>
        <item x="150"/>
        <item x="164"/>
        <item x="227"/>
        <item x="72"/>
        <item x="243"/>
        <item x="253"/>
        <item x="246"/>
        <item x="78"/>
        <item x="23"/>
        <item x="143"/>
        <item x="264"/>
        <item x="163"/>
        <item x="114"/>
        <item x="100"/>
        <item x="175"/>
        <item x="171"/>
        <item x="192"/>
        <item x="128"/>
        <item x="249"/>
        <item x="101"/>
        <item x="248"/>
        <item x="139"/>
        <item x="108"/>
        <item x="30"/>
        <item x="230"/>
        <item x="82"/>
        <item x="70"/>
        <item x="269"/>
        <item x="74"/>
        <item x="228"/>
        <item x="76"/>
        <item x="186"/>
        <item x="247"/>
        <item x="217"/>
        <item x="245"/>
        <item x="77"/>
        <item x="75"/>
        <item x="112"/>
        <item x="202"/>
        <item x="244"/>
        <item x="176"/>
        <item x="12"/>
        <item x="214"/>
        <item x="270"/>
        <item x="278"/>
        <item x="55"/>
        <item x="140"/>
        <item x="144"/>
        <item x="203"/>
        <item x="113"/>
        <item x="284"/>
        <item x="195"/>
        <item x="159"/>
        <item x="285"/>
        <item x="129"/>
        <item x="286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49">
    <i>
      <x/>
    </i>
    <i>
      <x v="3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5"/>
    </i>
    <i>
      <x v="25"/>
    </i>
    <i>
      <x v="35"/>
    </i>
    <i>
      <x v="36"/>
    </i>
    <i>
      <x v="38"/>
    </i>
    <i>
      <x v="39"/>
    </i>
    <i>
      <x v="40"/>
    </i>
    <i>
      <x v="41"/>
    </i>
    <i>
      <x v="42"/>
    </i>
    <i>
      <x v="49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5"/>
    </i>
    <i>
      <x v="66"/>
    </i>
    <i>
      <x v="69"/>
    </i>
    <i>
      <x v="71"/>
    </i>
    <i>
      <x v="72"/>
    </i>
    <i>
      <x v="74"/>
    </i>
    <i>
      <x v="76"/>
    </i>
    <i>
      <x v="77"/>
    </i>
    <i>
      <x v="83"/>
    </i>
    <i>
      <x v="84"/>
    </i>
    <i>
      <x v="86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oma de Quantidade" fld="6" baseField="0" baseItem="0" numFmtId="1"/>
    <dataField name="Soma de Valor Total (R$)" fld="9" baseField="0" baseItem="0"/>
  </dataFields>
  <formats count="3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2"/>
  <sheetViews>
    <sheetView topLeftCell="C1" workbookViewId="0">
      <selection activeCell="I2" sqref="I2"/>
    </sheetView>
  </sheetViews>
  <sheetFormatPr defaultRowHeight="14.4" x14ac:dyDescent="0.3"/>
  <cols>
    <col min="1" max="1" width="18.33203125" style="2" bestFit="1" customWidth="1"/>
    <col min="2" max="2" width="22.6640625" customWidth="1"/>
    <col min="3" max="3" width="66.109375" bestFit="1" customWidth="1"/>
    <col min="4" max="6" width="22.6640625" customWidth="1"/>
    <col min="7" max="7" width="18.6640625" style="3" customWidth="1"/>
    <col min="8" max="8" width="18.6640625" style="13" customWidth="1"/>
    <col min="9" max="9" width="18.6640625" customWidth="1"/>
    <col min="10" max="10" width="18.6640625" style="11" customWidth="1"/>
    <col min="11" max="12" width="18.6640625" customWidth="1"/>
  </cols>
  <sheetData>
    <row r="1" spans="1:12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2" t="s">
        <v>7</v>
      </c>
      <c r="I1" s="1" t="s">
        <v>8</v>
      </c>
      <c r="J1" s="10" t="s">
        <v>9</v>
      </c>
      <c r="K1" s="1" t="s">
        <v>10</v>
      </c>
      <c r="L1" s="1" t="s">
        <v>11</v>
      </c>
    </row>
    <row r="2" spans="1:12" x14ac:dyDescent="0.3">
      <c r="A2" s="2">
        <v>45839</v>
      </c>
      <c r="B2" t="s">
        <v>12</v>
      </c>
      <c r="C2" t="s">
        <v>13</v>
      </c>
      <c r="E2" t="s">
        <v>14</v>
      </c>
      <c r="F2" t="s">
        <v>15</v>
      </c>
      <c r="G2">
        <v>1</v>
      </c>
      <c r="H2">
        <v>120</v>
      </c>
      <c r="I2" s="4"/>
      <c r="J2" s="11">
        <f t="shared" ref="J2:J65" si="0">G2*H2</f>
        <v>120</v>
      </c>
      <c r="K2" s="4">
        <f t="shared" ref="K2:K65" si="1">(H2-I2)*G2</f>
        <v>120</v>
      </c>
      <c r="L2" s="5">
        <f t="shared" ref="L2:L65" si="2">IF(H2&gt;0,(H2-I2)/H2,0)</f>
        <v>1</v>
      </c>
    </row>
    <row r="3" spans="1:12" x14ac:dyDescent="0.3">
      <c r="A3" s="2">
        <v>45839</v>
      </c>
      <c r="B3" t="s">
        <v>12</v>
      </c>
      <c r="C3" t="s">
        <v>13</v>
      </c>
      <c r="E3" t="s">
        <v>14</v>
      </c>
      <c r="F3" t="s">
        <v>16</v>
      </c>
      <c r="G3">
        <v>1</v>
      </c>
      <c r="H3">
        <v>350</v>
      </c>
      <c r="I3" s="4"/>
      <c r="J3" s="11">
        <f t="shared" si="0"/>
        <v>350</v>
      </c>
      <c r="K3" s="4">
        <f t="shared" si="1"/>
        <v>350</v>
      </c>
      <c r="L3" s="5">
        <f t="shared" si="2"/>
        <v>1</v>
      </c>
    </row>
    <row r="4" spans="1:12" x14ac:dyDescent="0.3">
      <c r="A4" s="2">
        <v>45839</v>
      </c>
      <c r="B4" t="s">
        <v>12</v>
      </c>
      <c r="C4" t="s">
        <v>13</v>
      </c>
      <c r="E4" t="s">
        <v>14</v>
      </c>
      <c r="F4" t="s">
        <v>17</v>
      </c>
      <c r="G4">
        <v>1</v>
      </c>
      <c r="H4">
        <v>110</v>
      </c>
      <c r="I4" s="4"/>
      <c r="J4" s="11">
        <f t="shared" si="0"/>
        <v>110</v>
      </c>
      <c r="K4" s="4">
        <f t="shared" si="1"/>
        <v>110</v>
      </c>
      <c r="L4" s="5">
        <f t="shared" si="2"/>
        <v>1</v>
      </c>
    </row>
    <row r="5" spans="1:12" x14ac:dyDescent="0.3">
      <c r="A5" s="2">
        <v>45839</v>
      </c>
      <c r="B5" t="s">
        <v>12</v>
      </c>
      <c r="C5" t="s">
        <v>13</v>
      </c>
      <c r="E5" t="s">
        <v>14</v>
      </c>
      <c r="F5" t="s">
        <v>18</v>
      </c>
      <c r="G5">
        <v>1</v>
      </c>
      <c r="H5">
        <v>120</v>
      </c>
      <c r="I5" s="4"/>
      <c r="J5" s="11">
        <f t="shared" si="0"/>
        <v>120</v>
      </c>
      <c r="K5" s="4">
        <f t="shared" si="1"/>
        <v>120</v>
      </c>
      <c r="L5" s="5">
        <f t="shared" si="2"/>
        <v>1</v>
      </c>
    </row>
    <row r="6" spans="1:12" x14ac:dyDescent="0.3">
      <c r="A6" s="2">
        <v>45839</v>
      </c>
      <c r="B6" t="s">
        <v>12</v>
      </c>
      <c r="C6" t="s">
        <v>13</v>
      </c>
      <c r="E6" t="s">
        <v>14</v>
      </c>
      <c r="F6" t="s">
        <v>16</v>
      </c>
      <c r="G6">
        <v>1</v>
      </c>
      <c r="H6">
        <v>350</v>
      </c>
      <c r="I6" s="4"/>
      <c r="J6" s="11">
        <f t="shared" si="0"/>
        <v>350</v>
      </c>
      <c r="K6" s="4">
        <f t="shared" si="1"/>
        <v>350</v>
      </c>
      <c r="L6" s="5">
        <f t="shared" si="2"/>
        <v>1</v>
      </c>
    </row>
    <row r="7" spans="1:12" x14ac:dyDescent="0.3">
      <c r="A7" s="2">
        <v>45839</v>
      </c>
      <c r="B7" t="s">
        <v>12</v>
      </c>
      <c r="C7" t="s">
        <v>13</v>
      </c>
      <c r="E7" t="s">
        <v>14</v>
      </c>
      <c r="F7" t="s">
        <v>17</v>
      </c>
      <c r="G7">
        <v>1</v>
      </c>
      <c r="H7">
        <v>110</v>
      </c>
      <c r="I7" s="4"/>
      <c r="J7" s="11">
        <f t="shared" si="0"/>
        <v>110</v>
      </c>
      <c r="K7" s="4">
        <f t="shared" si="1"/>
        <v>110</v>
      </c>
      <c r="L7" s="5">
        <f t="shared" si="2"/>
        <v>1</v>
      </c>
    </row>
    <row r="8" spans="1:12" x14ac:dyDescent="0.3">
      <c r="A8" s="2">
        <v>45839</v>
      </c>
      <c r="B8" t="s">
        <v>12</v>
      </c>
      <c r="C8" t="s">
        <v>13</v>
      </c>
      <c r="E8" t="s">
        <v>14</v>
      </c>
      <c r="F8" t="s">
        <v>15</v>
      </c>
      <c r="G8">
        <v>1</v>
      </c>
      <c r="H8">
        <v>120</v>
      </c>
      <c r="I8" s="4"/>
      <c r="J8" s="11">
        <f t="shared" si="0"/>
        <v>120</v>
      </c>
      <c r="K8" s="4">
        <f t="shared" si="1"/>
        <v>120</v>
      </c>
      <c r="L8" s="5">
        <f t="shared" si="2"/>
        <v>1</v>
      </c>
    </row>
    <row r="9" spans="1:12" x14ac:dyDescent="0.3">
      <c r="A9" s="2">
        <v>45839</v>
      </c>
      <c r="B9" t="s">
        <v>12</v>
      </c>
      <c r="C9" t="s">
        <v>13</v>
      </c>
      <c r="E9" t="s">
        <v>14</v>
      </c>
      <c r="F9" t="s">
        <v>17</v>
      </c>
      <c r="G9">
        <v>1</v>
      </c>
      <c r="H9">
        <v>110</v>
      </c>
      <c r="I9" s="4"/>
      <c r="J9" s="11">
        <f t="shared" si="0"/>
        <v>110</v>
      </c>
      <c r="K9" s="4">
        <f t="shared" si="1"/>
        <v>110</v>
      </c>
      <c r="L9" s="5">
        <f t="shared" si="2"/>
        <v>1</v>
      </c>
    </row>
    <row r="10" spans="1:12" x14ac:dyDescent="0.3">
      <c r="A10" s="2">
        <v>45839</v>
      </c>
      <c r="B10" t="s">
        <v>12</v>
      </c>
      <c r="C10" t="s">
        <v>13</v>
      </c>
      <c r="E10" t="s">
        <v>14</v>
      </c>
      <c r="F10" t="s">
        <v>16</v>
      </c>
      <c r="G10">
        <v>1</v>
      </c>
      <c r="H10">
        <v>350</v>
      </c>
      <c r="I10" s="4"/>
      <c r="J10" s="11">
        <f t="shared" si="0"/>
        <v>350</v>
      </c>
      <c r="K10" s="4">
        <f t="shared" si="1"/>
        <v>350</v>
      </c>
      <c r="L10" s="5">
        <f t="shared" si="2"/>
        <v>1</v>
      </c>
    </row>
    <row r="11" spans="1:12" x14ac:dyDescent="0.3">
      <c r="A11" s="2">
        <v>45839</v>
      </c>
      <c r="B11" t="s">
        <v>12</v>
      </c>
      <c r="C11" t="s">
        <v>13</v>
      </c>
      <c r="E11" t="s">
        <v>14</v>
      </c>
      <c r="F11" t="s">
        <v>17</v>
      </c>
      <c r="G11">
        <v>1</v>
      </c>
      <c r="H11">
        <v>110</v>
      </c>
      <c r="I11" s="4"/>
      <c r="J11" s="11">
        <f t="shared" si="0"/>
        <v>110</v>
      </c>
      <c r="K11" s="4">
        <f t="shared" si="1"/>
        <v>110</v>
      </c>
      <c r="L11" s="5">
        <f t="shared" si="2"/>
        <v>1</v>
      </c>
    </row>
    <row r="12" spans="1:12" x14ac:dyDescent="0.3">
      <c r="A12" s="2">
        <v>45839</v>
      </c>
      <c r="B12" t="s">
        <v>12</v>
      </c>
      <c r="C12" t="s">
        <v>13</v>
      </c>
      <c r="E12" t="s">
        <v>14</v>
      </c>
      <c r="F12" t="s">
        <v>18</v>
      </c>
      <c r="G12">
        <v>2</v>
      </c>
      <c r="H12">
        <v>120</v>
      </c>
      <c r="I12" s="4"/>
      <c r="J12" s="11">
        <f t="shared" si="0"/>
        <v>240</v>
      </c>
      <c r="K12" s="4">
        <f t="shared" si="1"/>
        <v>240</v>
      </c>
      <c r="L12" s="5">
        <f t="shared" si="2"/>
        <v>1</v>
      </c>
    </row>
    <row r="13" spans="1:12" x14ac:dyDescent="0.3">
      <c r="A13" s="2">
        <v>45839</v>
      </c>
      <c r="B13" t="s">
        <v>12</v>
      </c>
      <c r="C13" t="s">
        <v>13</v>
      </c>
      <c r="E13" t="s">
        <v>14</v>
      </c>
      <c r="F13" t="s">
        <v>16</v>
      </c>
      <c r="G13">
        <v>1</v>
      </c>
      <c r="H13">
        <v>350</v>
      </c>
      <c r="I13" s="4"/>
      <c r="J13" s="11">
        <f t="shared" si="0"/>
        <v>350</v>
      </c>
      <c r="K13" s="4">
        <f t="shared" si="1"/>
        <v>350</v>
      </c>
      <c r="L13" s="5">
        <f t="shared" si="2"/>
        <v>1</v>
      </c>
    </row>
    <row r="14" spans="1:12" x14ac:dyDescent="0.3">
      <c r="A14" s="2">
        <v>45839</v>
      </c>
      <c r="B14" t="s">
        <v>12</v>
      </c>
      <c r="C14" t="s">
        <v>13</v>
      </c>
      <c r="E14" t="s">
        <v>14</v>
      </c>
      <c r="F14" t="s">
        <v>17</v>
      </c>
      <c r="G14">
        <v>1</v>
      </c>
      <c r="H14">
        <v>110</v>
      </c>
      <c r="I14" s="4"/>
      <c r="J14" s="11">
        <f t="shared" si="0"/>
        <v>110</v>
      </c>
      <c r="K14" s="4">
        <f t="shared" si="1"/>
        <v>110</v>
      </c>
      <c r="L14" s="5">
        <f t="shared" si="2"/>
        <v>1</v>
      </c>
    </row>
    <row r="15" spans="1:12" x14ac:dyDescent="0.3">
      <c r="A15" s="2">
        <v>45839</v>
      </c>
      <c r="B15" t="s">
        <v>12</v>
      </c>
      <c r="C15" t="s">
        <v>19</v>
      </c>
      <c r="E15" t="s">
        <v>14</v>
      </c>
      <c r="F15" t="s">
        <v>20</v>
      </c>
      <c r="G15">
        <v>5</v>
      </c>
      <c r="H15">
        <v>65</v>
      </c>
      <c r="I15" s="4"/>
      <c r="J15" s="11">
        <f t="shared" si="0"/>
        <v>325</v>
      </c>
      <c r="K15" s="4">
        <f t="shared" si="1"/>
        <v>325</v>
      </c>
      <c r="L15" s="5">
        <f t="shared" si="2"/>
        <v>1</v>
      </c>
    </row>
    <row r="16" spans="1:12" x14ac:dyDescent="0.3">
      <c r="A16" s="2">
        <v>45839</v>
      </c>
      <c r="B16" t="s">
        <v>12</v>
      </c>
      <c r="C16" t="s">
        <v>21</v>
      </c>
      <c r="E16" t="s">
        <v>22</v>
      </c>
      <c r="F16" t="s">
        <v>23</v>
      </c>
      <c r="G16">
        <v>10</v>
      </c>
      <c r="H16">
        <v>65</v>
      </c>
      <c r="I16" s="4"/>
      <c r="J16" s="11">
        <f t="shared" si="0"/>
        <v>650</v>
      </c>
      <c r="K16" s="4">
        <f t="shared" si="1"/>
        <v>650</v>
      </c>
      <c r="L16" s="5">
        <f t="shared" si="2"/>
        <v>1</v>
      </c>
    </row>
    <row r="17" spans="1:12" x14ac:dyDescent="0.3">
      <c r="A17" s="2">
        <v>45839</v>
      </c>
      <c r="B17" t="s">
        <v>24</v>
      </c>
      <c r="C17" t="s">
        <v>25</v>
      </c>
      <c r="E17" t="s">
        <v>26</v>
      </c>
      <c r="F17" t="s">
        <v>27</v>
      </c>
      <c r="G17">
        <v>3</v>
      </c>
      <c r="H17">
        <v>533</v>
      </c>
      <c r="I17" s="4"/>
      <c r="J17" s="11">
        <f t="shared" si="0"/>
        <v>1599</v>
      </c>
      <c r="K17" s="4">
        <f t="shared" si="1"/>
        <v>1599</v>
      </c>
      <c r="L17" s="5">
        <f t="shared" si="2"/>
        <v>1</v>
      </c>
    </row>
    <row r="18" spans="1:12" x14ac:dyDescent="0.3">
      <c r="A18" s="2">
        <v>45839</v>
      </c>
      <c r="B18" t="s">
        <v>28</v>
      </c>
      <c r="C18" t="s">
        <v>29</v>
      </c>
      <c r="E18" t="s">
        <v>30</v>
      </c>
      <c r="F18" t="s">
        <v>31</v>
      </c>
      <c r="G18">
        <v>100</v>
      </c>
      <c r="H18">
        <v>50</v>
      </c>
      <c r="I18" s="4"/>
      <c r="J18" s="11">
        <f t="shared" si="0"/>
        <v>5000</v>
      </c>
      <c r="K18" s="4">
        <f t="shared" si="1"/>
        <v>5000</v>
      </c>
      <c r="L18" s="5">
        <f t="shared" si="2"/>
        <v>1</v>
      </c>
    </row>
    <row r="19" spans="1:12" x14ac:dyDescent="0.3">
      <c r="A19" s="2">
        <v>45839</v>
      </c>
      <c r="B19" t="s">
        <v>12</v>
      </c>
      <c r="C19" t="s">
        <v>32</v>
      </c>
      <c r="E19" t="s">
        <v>14</v>
      </c>
      <c r="F19" t="s">
        <v>33</v>
      </c>
      <c r="G19">
        <v>2</v>
      </c>
      <c r="H19">
        <v>310</v>
      </c>
      <c r="I19" s="4"/>
      <c r="J19" s="11">
        <f t="shared" si="0"/>
        <v>620</v>
      </c>
      <c r="K19" s="4">
        <f t="shared" si="1"/>
        <v>620</v>
      </c>
      <c r="L19" s="5">
        <f t="shared" si="2"/>
        <v>1</v>
      </c>
    </row>
    <row r="20" spans="1:12" x14ac:dyDescent="0.3">
      <c r="A20" s="2">
        <v>45839</v>
      </c>
      <c r="B20" t="s">
        <v>28</v>
      </c>
      <c r="C20" t="s">
        <v>34</v>
      </c>
      <c r="E20" t="s">
        <v>35</v>
      </c>
      <c r="F20" t="s">
        <v>36</v>
      </c>
      <c r="G20">
        <v>15</v>
      </c>
      <c r="H20">
        <v>69</v>
      </c>
      <c r="I20" s="4"/>
      <c r="J20" s="11">
        <f t="shared" si="0"/>
        <v>1035</v>
      </c>
      <c r="K20" s="4">
        <f t="shared" si="1"/>
        <v>1035</v>
      </c>
      <c r="L20" s="5">
        <f t="shared" si="2"/>
        <v>1</v>
      </c>
    </row>
    <row r="21" spans="1:12" x14ac:dyDescent="0.3">
      <c r="A21" s="2">
        <v>45839</v>
      </c>
      <c r="B21" t="s">
        <v>37</v>
      </c>
      <c r="C21" t="s">
        <v>38</v>
      </c>
      <c r="E21" t="s">
        <v>39</v>
      </c>
      <c r="F21" t="s">
        <v>40</v>
      </c>
      <c r="G21">
        <v>10</v>
      </c>
      <c r="H21">
        <v>80</v>
      </c>
      <c r="I21" s="4"/>
      <c r="J21" s="11">
        <f t="shared" si="0"/>
        <v>800</v>
      </c>
      <c r="K21" s="4">
        <f t="shared" si="1"/>
        <v>800</v>
      </c>
      <c r="L21" s="5">
        <f t="shared" si="2"/>
        <v>1</v>
      </c>
    </row>
    <row r="22" spans="1:12" x14ac:dyDescent="0.3">
      <c r="A22" s="2">
        <v>45839</v>
      </c>
      <c r="B22" t="s">
        <v>24</v>
      </c>
      <c r="C22" t="s">
        <v>41</v>
      </c>
      <c r="E22" t="s">
        <v>14</v>
      </c>
      <c r="F22" t="s">
        <v>42</v>
      </c>
      <c r="G22">
        <v>1</v>
      </c>
      <c r="H22">
        <v>675</v>
      </c>
      <c r="I22" s="4"/>
      <c r="J22" s="11">
        <f t="shared" si="0"/>
        <v>675</v>
      </c>
      <c r="K22" s="4">
        <f t="shared" si="1"/>
        <v>675</v>
      </c>
      <c r="L22" s="5">
        <f t="shared" si="2"/>
        <v>1</v>
      </c>
    </row>
    <row r="23" spans="1:12" x14ac:dyDescent="0.3">
      <c r="A23" s="2">
        <v>45839</v>
      </c>
      <c r="B23" t="s">
        <v>28</v>
      </c>
      <c r="C23" t="s">
        <v>43</v>
      </c>
      <c r="E23" t="s">
        <v>44</v>
      </c>
      <c r="F23" t="s">
        <v>42</v>
      </c>
      <c r="G23">
        <v>30</v>
      </c>
      <c r="H23">
        <v>775</v>
      </c>
      <c r="I23" s="4"/>
      <c r="J23" s="11">
        <f t="shared" si="0"/>
        <v>23250</v>
      </c>
      <c r="K23" s="4">
        <f t="shared" si="1"/>
        <v>23250</v>
      </c>
      <c r="L23" s="5">
        <f t="shared" si="2"/>
        <v>1</v>
      </c>
    </row>
    <row r="24" spans="1:12" x14ac:dyDescent="0.3">
      <c r="A24" s="2">
        <v>45839</v>
      </c>
      <c r="B24" t="s">
        <v>37</v>
      </c>
      <c r="C24" t="s">
        <v>45</v>
      </c>
      <c r="E24" t="s">
        <v>39</v>
      </c>
      <c r="F24" t="s">
        <v>46</v>
      </c>
      <c r="G24">
        <v>50</v>
      </c>
      <c r="H24">
        <v>174.9</v>
      </c>
      <c r="I24" s="4"/>
      <c r="J24" s="11">
        <f t="shared" si="0"/>
        <v>8745</v>
      </c>
      <c r="K24" s="4">
        <f t="shared" si="1"/>
        <v>8745</v>
      </c>
      <c r="L24" s="5">
        <f t="shared" si="2"/>
        <v>1</v>
      </c>
    </row>
    <row r="25" spans="1:12" x14ac:dyDescent="0.3">
      <c r="A25" s="2">
        <v>45839</v>
      </c>
      <c r="B25" t="s">
        <v>37</v>
      </c>
      <c r="C25" t="s">
        <v>45</v>
      </c>
      <c r="E25" t="s">
        <v>39</v>
      </c>
      <c r="F25" t="s">
        <v>47</v>
      </c>
      <c r="G25">
        <v>30</v>
      </c>
      <c r="H25">
        <v>171.5</v>
      </c>
      <c r="I25" s="4"/>
      <c r="J25" s="11">
        <f t="shared" si="0"/>
        <v>5145</v>
      </c>
      <c r="K25" s="4">
        <f t="shared" si="1"/>
        <v>5145</v>
      </c>
      <c r="L25" s="5">
        <f t="shared" si="2"/>
        <v>1</v>
      </c>
    </row>
    <row r="26" spans="1:12" x14ac:dyDescent="0.3">
      <c r="A26" s="2">
        <v>45839</v>
      </c>
      <c r="B26" t="s">
        <v>28</v>
      </c>
      <c r="C26" t="s">
        <v>48</v>
      </c>
      <c r="E26" t="s">
        <v>49</v>
      </c>
      <c r="F26" t="s">
        <v>50</v>
      </c>
      <c r="G26">
        <v>7</v>
      </c>
      <c r="H26">
        <v>55.35</v>
      </c>
      <c r="I26" s="4"/>
      <c r="J26" s="11">
        <f t="shared" si="0"/>
        <v>387.45</v>
      </c>
      <c r="K26" s="4">
        <f t="shared" si="1"/>
        <v>387.45</v>
      </c>
      <c r="L26" s="5">
        <f t="shared" si="2"/>
        <v>1</v>
      </c>
    </row>
    <row r="27" spans="1:12" x14ac:dyDescent="0.3">
      <c r="A27" s="2">
        <v>45839</v>
      </c>
      <c r="B27" t="s">
        <v>24</v>
      </c>
      <c r="C27" t="s">
        <v>51</v>
      </c>
      <c r="E27" t="s">
        <v>26</v>
      </c>
      <c r="F27" t="s">
        <v>52</v>
      </c>
      <c r="G27">
        <v>60</v>
      </c>
      <c r="H27">
        <v>73.900000000000006</v>
      </c>
      <c r="I27" s="4"/>
      <c r="J27" s="11">
        <f t="shared" si="0"/>
        <v>4434</v>
      </c>
      <c r="K27" s="4">
        <f t="shared" si="1"/>
        <v>4434</v>
      </c>
      <c r="L27" s="5">
        <f t="shared" si="2"/>
        <v>1</v>
      </c>
    </row>
    <row r="28" spans="1:12" x14ac:dyDescent="0.3">
      <c r="A28" s="2">
        <v>45839</v>
      </c>
      <c r="B28" t="s">
        <v>24</v>
      </c>
      <c r="C28" t="s">
        <v>51</v>
      </c>
      <c r="E28" t="s">
        <v>26</v>
      </c>
      <c r="F28" t="s">
        <v>53</v>
      </c>
      <c r="G28">
        <v>120</v>
      </c>
      <c r="H28">
        <v>73</v>
      </c>
      <c r="I28" s="4"/>
      <c r="J28" s="11">
        <f t="shared" si="0"/>
        <v>8760</v>
      </c>
      <c r="K28" s="4">
        <f t="shared" si="1"/>
        <v>8760</v>
      </c>
      <c r="L28" s="5">
        <f t="shared" si="2"/>
        <v>1</v>
      </c>
    </row>
    <row r="29" spans="1:12" x14ac:dyDescent="0.3">
      <c r="A29" s="2">
        <v>45840</v>
      </c>
      <c r="B29" t="s">
        <v>12</v>
      </c>
      <c r="C29" t="s">
        <v>13</v>
      </c>
      <c r="E29" t="s">
        <v>14</v>
      </c>
      <c r="F29" t="s">
        <v>54</v>
      </c>
      <c r="G29">
        <v>1</v>
      </c>
      <c r="H29">
        <v>150</v>
      </c>
      <c r="I29" s="4"/>
      <c r="J29" s="11">
        <f t="shared" si="0"/>
        <v>150</v>
      </c>
      <c r="K29" s="4">
        <f t="shared" si="1"/>
        <v>150</v>
      </c>
      <c r="L29" s="5">
        <f t="shared" si="2"/>
        <v>1</v>
      </c>
    </row>
    <row r="30" spans="1:12" x14ac:dyDescent="0.3">
      <c r="A30" s="2">
        <v>45840</v>
      </c>
      <c r="B30" t="s">
        <v>12</v>
      </c>
      <c r="C30" t="s">
        <v>13</v>
      </c>
      <c r="E30" t="s">
        <v>14</v>
      </c>
      <c r="F30" t="s">
        <v>15</v>
      </c>
      <c r="G30">
        <v>1</v>
      </c>
      <c r="H30">
        <v>120</v>
      </c>
      <c r="I30" s="4"/>
      <c r="J30" s="11">
        <f t="shared" si="0"/>
        <v>120</v>
      </c>
      <c r="K30" s="4">
        <f t="shared" si="1"/>
        <v>120</v>
      </c>
      <c r="L30" s="5">
        <f t="shared" si="2"/>
        <v>1</v>
      </c>
    </row>
    <row r="31" spans="1:12" x14ac:dyDescent="0.3">
      <c r="A31" s="2">
        <v>45840</v>
      </c>
      <c r="B31" t="s">
        <v>12</v>
      </c>
      <c r="C31" t="s">
        <v>13</v>
      </c>
      <c r="E31" t="s">
        <v>14</v>
      </c>
      <c r="F31" t="s">
        <v>17</v>
      </c>
      <c r="G31">
        <v>1</v>
      </c>
      <c r="H31">
        <v>110</v>
      </c>
      <c r="I31" s="4"/>
      <c r="J31" s="11">
        <f t="shared" si="0"/>
        <v>110</v>
      </c>
      <c r="K31" s="4">
        <f t="shared" si="1"/>
        <v>110</v>
      </c>
      <c r="L31" s="5">
        <f t="shared" si="2"/>
        <v>1</v>
      </c>
    </row>
    <row r="32" spans="1:12" x14ac:dyDescent="0.3">
      <c r="A32" s="2">
        <v>45840</v>
      </c>
      <c r="B32" t="s">
        <v>12</v>
      </c>
      <c r="C32" t="s">
        <v>13</v>
      </c>
      <c r="E32" t="s">
        <v>14</v>
      </c>
      <c r="F32" t="s">
        <v>54</v>
      </c>
      <c r="G32">
        <v>1</v>
      </c>
      <c r="H32">
        <v>150</v>
      </c>
      <c r="I32" s="4"/>
      <c r="J32" s="11">
        <f t="shared" si="0"/>
        <v>150</v>
      </c>
      <c r="K32" s="4">
        <f t="shared" si="1"/>
        <v>150</v>
      </c>
      <c r="L32" s="5">
        <f t="shared" si="2"/>
        <v>1</v>
      </c>
    </row>
    <row r="33" spans="1:12" x14ac:dyDescent="0.3">
      <c r="A33" s="2">
        <v>45840</v>
      </c>
      <c r="B33" t="s">
        <v>12</v>
      </c>
      <c r="C33" t="s">
        <v>13</v>
      </c>
      <c r="E33" t="s">
        <v>14</v>
      </c>
      <c r="F33" t="s">
        <v>15</v>
      </c>
      <c r="G33">
        <v>1</v>
      </c>
      <c r="H33">
        <v>120</v>
      </c>
      <c r="I33" s="4"/>
      <c r="J33" s="11">
        <f t="shared" si="0"/>
        <v>120</v>
      </c>
      <c r="K33" s="4">
        <f t="shared" si="1"/>
        <v>120</v>
      </c>
      <c r="L33" s="5">
        <f t="shared" si="2"/>
        <v>1</v>
      </c>
    </row>
    <row r="34" spans="1:12" x14ac:dyDescent="0.3">
      <c r="A34" s="2">
        <v>45840</v>
      </c>
      <c r="B34" t="s">
        <v>12</v>
      </c>
      <c r="C34" t="s">
        <v>13</v>
      </c>
      <c r="E34" t="s">
        <v>14</v>
      </c>
      <c r="F34" t="s">
        <v>17</v>
      </c>
      <c r="G34">
        <v>1</v>
      </c>
      <c r="H34">
        <v>110</v>
      </c>
      <c r="I34" s="4"/>
      <c r="J34" s="11">
        <f t="shared" si="0"/>
        <v>110</v>
      </c>
      <c r="K34" s="4">
        <f t="shared" si="1"/>
        <v>110</v>
      </c>
      <c r="L34" s="5">
        <f t="shared" si="2"/>
        <v>1</v>
      </c>
    </row>
    <row r="35" spans="1:12" x14ac:dyDescent="0.3">
      <c r="A35" s="2">
        <v>45840</v>
      </c>
      <c r="B35" t="s">
        <v>12</v>
      </c>
      <c r="C35" t="s">
        <v>13</v>
      </c>
      <c r="E35" t="s">
        <v>14</v>
      </c>
      <c r="F35" t="s">
        <v>54</v>
      </c>
      <c r="G35">
        <v>1</v>
      </c>
      <c r="H35">
        <v>150</v>
      </c>
      <c r="I35" s="4"/>
      <c r="J35" s="11">
        <f t="shared" si="0"/>
        <v>150</v>
      </c>
      <c r="K35" s="4">
        <f t="shared" si="1"/>
        <v>150</v>
      </c>
      <c r="L35" s="5">
        <f t="shared" si="2"/>
        <v>1</v>
      </c>
    </row>
    <row r="36" spans="1:12" x14ac:dyDescent="0.3">
      <c r="A36" s="2">
        <v>45840</v>
      </c>
      <c r="B36" t="s">
        <v>12</v>
      </c>
      <c r="C36" t="s">
        <v>13</v>
      </c>
      <c r="E36" t="s">
        <v>14</v>
      </c>
      <c r="F36" t="s">
        <v>15</v>
      </c>
      <c r="G36">
        <v>1</v>
      </c>
      <c r="H36">
        <v>120</v>
      </c>
      <c r="I36" s="4"/>
      <c r="J36" s="11">
        <f t="shared" si="0"/>
        <v>120</v>
      </c>
      <c r="K36" s="4">
        <f t="shared" si="1"/>
        <v>120</v>
      </c>
      <c r="L36" s="5">
        <f t="shared" si="2"/>
        <v>1</v>
      </c>
    </row>
    <row r="37" spans="1:12" x14ac:dyDescent="0.3">
      <c r="A37" s="2">
        <v>45840</v>
      </c>
      <c r="B37" t="s">
        <v>12</v>
      </c>
      <c r="C37" t="s">
        <v>13</v>
      </c>
      <c r="E37" t="s">
        <v>14</v>
      </c>
      <c r="F37" t="s">
        <v>17</v>
      </c>
      <c r="G37">
        <v>1</v>
      </c>
      <c r="H37">
        <v>110</v>
      </c>
      <c r="I37" s="4"/>
      <c r="J37" s="11">
        <f t="shared" si="0"/>
        <v>110</v>
      </c>
      <c r="K37" s="4">
        <f t="shared" si="1"/>
        <v>110</v>
      </c>
      <c r="L37" s="5">
        <f t="shared" si="2"/>
        <v>1</v>
      </c>
    </row>
    <row r="38" spans="1:12" x14ac:dyDescent="0.3">
      <c r="A38" s="2">
        <v>45840</v>
      </c>
      <c r="B38" t="s">
        <v>12</v>
      </c>
      <c r="C38" t="s">
        <v>13</v>
      </c>
      <c r="E38" t="s">
        <v>14</v>
      </c>
      <c r="F38" t="s">
        <v>54</v>
      </c>
      <c r="G38">
        <v>1</v>
      </c>
      <c r="H38">
        <v>150</v>
      </c>
      <c r="I38" s="4"/>
      <c r="J38" s="11">
        <f t="shared" si="0"/>
        <v>150</v>
      </c>
      <c r="K38" s="4">
        <f t="shared" si="1"/>
        <v>150</v>
      </c>
      <c r="L38" s="5">
        <f t="shared" si="2"/>
        <v>1</v>
      </c>
    </row>
    <row r="39" spans="1:12" x14ac:dyDescent="0.3">
      <c r="A39" s="2">
        <v>45840</v>
      </c>
      <c r="B39" t="s">
        <v>12</v>
      </c>
      <c r="C39" t="s">
        <v>13</v>
      </c>
      <c r="E39" t="s">
        <v>14</v>
      </c>
      <c r="F39" t="s">
        <v>15</v>
      </c>
      <c r="G39">
        <v>1</v>
      </c>
      <c r="H39">
        <v>120</v>
      </c>
      <c r="I39" s="4"/>
      <c r="J39" s="11">
        <f t="shared" si="0"/>
        <v>120</v>
      </c>
      <c r="K39" s="4">
        <f t="shared" si="1"/>
        <v>120</v>
      </c>
      <c r="L39" s="5">
        <f t="shared" si="2"/>
        <v>1</v>
      </c>
    </row>
    <row r="40" spans="1:12" x14ac:dyDescent="0.3">
      <c r="A40" s="2">
        <v>45840</v>
      </c>
      <c r="B40" t="s">
        <v>12</v>
      </c>
      <c r="C40" t="s">
        <v>13</v>
      </c>
      <c r="E40" t="s">
        <v>14</v>
      </c>
      <c r="F40" t="s">
        <v>17</v>
      </c>
      <c r="G40">
        <v>1</v>
      </c>
      <c r="H40">
        <v>110</v>
      </c>
      <c r="I40" s="4"/>
      <c r="J40" s="11">
        <f t="shared" si="0"/>
        <v>110</v>
      </c>
      <c r="K40" s="4">
        <f t="shared" si="1"/>
        <v>110</v>
      </c>
      <c r="L40" s="5">
        <f t="shared" si="2"/>
        <v>1</v>
      </c>
    </row>
    <row r="41" spans="1:12" x14ac:dyDescent="0.3">
      <c r="A41" s="2">
        <v>45840</v>
      </c>
      <c r="B41" t="s">
        <v>12</v>
      </c>
      <c r="C41" t="s">
        <v>13</v>
      </c>
      <c r="E41" t="s">
        <v>14</v>
      </c>
      <c r="F41" t="s">
        <v>18</v>
      </c>
      <c r="G41">
        <v>1</v>
      </c>
      <c r="H41">
        <v>120</v>
      </c>
      <c r="I41" s="4"/>
      <c r="J41" s="11">
        <f t="shared" si="0"/>
        <v>120</v>
      </c>
      <c r="K41" s="4">
        <f t="shared" si="1"/>
        <v>120</v>
      </c>
      <c r="L41" s="5">
        <f t="shared" si="2"/>
        <v>1</v>
      </c>
    </row>
    <row r="42" spans="1:12" x14ac:dyDescent="0.3">
      <c r="A42" s="2">
        <v>45840</v>
      </c>
      <c r="B42" t="s">
        <v>12</v>
      </c>
      <c r="C42" t="s">
        <v>13</v>
      </c>
      <c r="E42" t="s">
        <v>14</v>
      </c>
      <c r="F42" t="s">
        <v>16</v>
      </c>
      <c r="G42">
        <v>1</v>
      </c>
      <c r="H42">
        <v>350</v>
      </c>
      <c r="I42" s="4"/>
      <c r="J42" s="11">
        <f t="shared" si="0"/>
        <v>350</v>
      </c>
      <c r="K42" s="4">
        <f t="shared" si="1"/>
        <v>350</v>
      </c>
      <c r="L42" s="5">
        <f t="shared" si="2"/>
        <v>1</v>
      </c>
    </row>
    <row r="43" spans="1:12" x14ac:dyDescent="0.3">
      <c r="A43" s="2">
        <v>45840</v>
      </c>
      <c r="B43" t="s">
        <v>12</v>
      </c>
      <c r="C43" t="s">
        <v>13</v>
      </c>
      <c r="E43" t="s">
        <v>14</v>
      </c>
      <c r="F43" t="s">
        <v>17</v>
      </c>
      <c r="G43">
        <v>1</v>
      </c>
      <c r="H43">
        <v>110</v>
      </c>
      <c r="I43" s="4"/>
      <c r="J43" s="11">
        <f t="shared" si="0"/>
        <v>110</v>
      </c>
      <c r="K43" s="4">
        <f t="shared" si="1"/>
        <v>110</v>
      </c>
      <c r="L43" s="5">
        <f t="shared" si="2"/>
        <v>1</v>
      </c>
    </row>
    <row r="44" spans="1:12" x14ac:dyDescent="0.3">
      <c r="A44" s="2">
        <v>45840</v>
      </c>
      <c r="B44" t="s">
        <v>12</v>
      </c>
      <c r="C44" t="s">
        <v>13</v>
      </c>
      <c r="E44" t="s">
        <v>14</v>
      </c>
      <c r="F44" t="s">
        <v>55</v>
      </c>
      <c r="G44">
        <v>1</v>
      </c>
      <c r="H44">
        <v>120</v>
      </c>
      <c r="I44" s="4"/>
      <c r="J44" s="11">
        <f t="shared" si="0"/>
        <v>120</v>
      </c>
      <c r="K44" s="4">
        <f t="shared" si="1"/>
        <v>120</v>
      </c>
      <c r="L44" s="5">
        <f t="shared" si="2"/>
        <v>1</v>
      </c>
    </row>
    <row r="45" spans="1:12" x14ac:dyDescent="0.3">
      <c r="A45" s="2">
        <v>45840</v>
      </c>
      <c r="B45" t="s">
        <v>12</v>
      </c>
      <c r="C45" t="s">
        <v>13</v>
      </c>
      <c r="E45" t="s">
        <v>14</v>
      </c>
      <c r="F45" t="s">
        <v>17</v>
      </c>
      <c r="G45">
        <v>1</v>
      </c>
      <c r="H45">
        <v>110</v>
      </c>
      <c r="I45" s="4"/>
      <c r="J45" s="11">
        <f t="shared" si="0"/>
        <v>110</v>
      </c>
      <c r="K45" s="4">
        <f t="shared" si="1"/>
        <v>110</v>
      </c>
      <c r="L45" s="5">
        <f t="shared" si="2"/>
        <v>1</v>
      </c>
    </row>
    <row r="46" spans="1:12" x14ac:dyDescent="0.3">
      <c r="A46" s="2">
        <v>45840</v>
      </c>
      <c r="B46" t="s">
        <v>12</v>
      </c>
      <c r="C46" t="s">
        <v>13</v>
      </c>
      <c r="E46" t="s">
        <v>14</v>
      </c>
      <c r="F46" t="s">
        <v>16</v>
      </c>
      <c r="G46">
        <v>1</v>
      </c>
      <c r="H46">
        <v>350</v>
      </c>
      <c r="I46" s="4"/>
      <c r="J46" s="11">
        <f t="shared" si="0"/>
        <v>350</v>
      </c>
      <c r="K46" s="4">
        <f t="shared" si="1"/>
        <v>350</v>
      </c>
      <c r="L46" s="5">
        <f t="shared" si="2"/>
        <v>1</v>
      </c>
    </row>
    <row r="47" spans="1:12" x14ac:dyDescent="0.3">
      <c r="A47" s="2">
        <v>45840</v>
      </c>
      <c r="B47" t="s">
        <v>12</v>
      </c>
      <c r="C47" t="s">
        <v>56</v>
      </c>
      <c r="E47" t="s">
        <v>14</v>
      </c>
      <c r="F47" t="s">
        <v>42</v>
      </c>
      <c r="G47">
        <v>1</v>
      </c>
      <c r="H47">
        <v>900</v>
      </c>
      <c r="I47" s="4"/>
      <c r="J47" s="11">
        <f t="shared" si="0"/>
        <v>900</v>
      </c>
      <c r="K47" s="4">
        <f t="shared" si="1"/>
        <v>900</v>
      </c>
      <c r="L47" s="5">
        <f t="shared" si="2"/>
        <v>1</v>
      </c>
    </row>
    <row r="48" spans="1:12" x14ac:dyDescent="0.3">
      <c r="A48" s="2">
        <v>45840</v>
      </c>
      <c r="B48" t="s">
        <v>12</v>
      </c>
      <c r="C48" t="s">
        <v>57</v>
      </c>
      <c r="E48" t="s">
        <v>39</v>
      </c>
      <c r="F48" t="s">
        <v>58</v>
      </c>
      <c r="G48">
        <v>5</v>
      </c>
      <c r="H48">
        <v>75</v>
      </c>
      <c r="I48" s="4"/>
      <c r="J48" s="11">
        <f t="shared" si="0"/>
        <v>375</v>
      </c>
      <c r="K48" s="4">
        <f t="shared" si="1"/>
        <v>375</v>
      </c>
      <c r="L48" s="5">
        <f t="shared" si="2"/>
        <v>1</v>
      </c>
    </row>
    <row r="49" spans="1:12" x14ac:dyDescent="0.3">
      <c r="A49" s="2">
        <v>45840</v>
      </c>
      <c r="B49" t="s">
        <v>59</v>
      </c>
      <c r="C49" t="s">
        <v>60</v>
      </c>
      <c r="E49" t="s">
        <v>44</v>
      </c>
      <c r="F49" t="s">
        <v>23</v>
      </c>
      <c r="G49">
        <v>4</v>
      </c>
      <c r="H49">
        <v>89</v>
      </c>
      <c r="I49" s="4"/>
      <c r="J49" s="11">
        <f t="shared" si="0"/>
        <v>356</v>
      </c>
      <c r="K49" s="4">
        <f t="shared" si="1"/>
        <v>356</v>
      </c>
      <c r="L49" s="5">
        <f t="shared" si="2"/>
        <v>1</v>
      </c>
    </row>
    <row r="50" spans="1:12" x14ac:dyDescent="0.3">
      <c r="A50" s="2">
        <v>45840</v>
      </c>
      <c r="B50" t="s">
        <v>59</v>
      </c>
      <c r="C50" t="s">
        <v>60</v>
      </c>
      <c r="E50" t="s">
        <v>44</v>
      </c>
      <c r="F50" t="s">
        <v>50</v>
      </c>
      <c r="G50">
        <v>4</v>
      </c>
      <c r="H50">
        <v>89</v>
      </c>
      <c r="I50" s="4"/>
      <c r="J50" s="11">
        <f t="shared" si="0"/>
        <v>356</v>
      </c>
      <c r="K50" s="4">
        <f t="shared" si="1"/>
        <v>356</v>
      </c>
      <c r="L50" s="5">
        <f t="shared" si="2"/>
        <v>1</v>
      </c>
    </row>
    <row r="51" spans="1:12" x14ac:dyDescent="0.3">
      <c r="A51" s="2">
        <v>45840</v>
      </c>
      <c r="B51" t="s">
        <v>59</v>
      </c>
      <c r="C51" t="s">
        <v>60</v>
      </c>
      <c r="E51" t="s">
        <v>44</v>
      </c>
      <c r="F51" t="s">
        <v>31</v>
      </c>
      <c r="G51">
        <v>5</v>
      </c>
      <c r="H51">
        <v>89</v>
      </c>
      <c r="I51" s="4"/>
      <c r="J51" s="11">
        <f t="shared" si="0"/>
        <v>445</v>
      </c>
      <c r="K51" s="4">
        <f t="shared" si="1"/>
        <v>445</v>
      </c>
      <c r="L51" s="5">
        <f t="shared" si="2"/>
        <v>1</v>
      </c>
    </row>
    <row r="52" spans="1:12" x14ac:dyDescent="0.3">
      <c r="A52" s="2">
        <v>45840</v>
      </c>
      <c r="B52" t="s">
        <v>37</v>
      </c>
      <c r="C52" t="s">
        <v>61</v>
      </c>
      <c r="E52" t="s">
        <v>62</v>
      </c>
      <c r="F52" t="s">
        <v>63</v>
      </c>
      <c r="G52">
        <v>26</v>
      </c>
      <c r="H52">
        <v>390</v>
      </c>
      <c r="I52" s="4"/>
      <c r="J52" s="11">
        <f t="shared" si="0"/>
        <v>10140</v>
      </c>
      <c r="K52" s="4">
        <f t="shared" si="1"/>
        <v>10140</v>
      </c>
      <c r="L52" s="5">
        <f t="shared" si="2"/>
        <v>1</v>
      </c>
    </row>
    <row r="53" spans="1:12" x14ac:dyDescent="0.3">
      <c r="A53" s="2">
        <v>45840</v>
      </c>
      <c r="B53" t="s">
        <v>37</v>
      </c>
      <c r="C53" t="s">
        <v>48</v>
      </c>
      <c r="E53" t="s">
        <v>64</v>
      </c>
      <c r="F53" t="s">
        <v>65</v>
      </c>
      <c r="G53">
        <v>1</v>
      </c>
      <c r="H53">
        <v>830</v>
      </c>
      <c r="I53" s="4"/>
      <c r="J53" s="11">
        <f t="shared" si="0"/>
        <v>830</v>
      </c>
      <c r="K53" s="4">
        <f t="shared" si="1"/>
        <v>830</v>
      </c>
      <c r="L53" s="5">
        <f t="shared" si="2"/>
        <v>1</v>
      </c>
    </row>
    <row r="54" spans="1:12" x14ac:dyDescent="0.3">
      <c r="A54" s="2">
        <v>45840</v>
      </c>
      <c r="B54" t="s">
        <v>37</v>
      </c>
      <c r="C54" t="s">
        <v>48</v>
      </c>
      <c r="E54" t="s">
        <v>64</v>
      </c>
      <c r="F54" t="s">
        <v>66</v>
      </c>
      <c r="G54">
        <v>2</v>
      </c>
      <c r="H54">
        <v>830</v>
      </c>
      <c r="I54" s="4"/>
      <c r="J54" s="11">
        <f t="shared" si="0"/>
        <v>1660</v>
      </c>
      <c r="K54" s="4">
        <f t="shared" si="1"/>
        <v>1660</v>
      </c>
      <c r="L54" s="5">
        <f t="shared" si="2"/>
        <v>1</v>
      </c>
    </row>
    <row r="55" spans="1:12" x14ac:dyDescent="0.3">
      <c r="A55" s="2">
        <v>45840</v>
      </c>
      <c r="B55" t="s">
        <v>37</v>
      </c>
      <c r="C55" t="s">
        <v>48</v>
      </c>
      <c r="E55" t="s">
        <v>64</v>
      </c>
      <c r="F55" t="s">
        <v>67</v>
      </c>
      <c r="G55">
        <v>2</v>
      </c>
      <c r="H55">
        <v>830</v>
      </c>
      <c r="I55" s="4"/>
      <c r="J55" s="11">
        <f t="shared" si="0"/>
        <v>1660</v>
      </c>
      <c r="K55" s="4">
        <f t="shared" si="1"/>
        <v>1660</v>
      </c>
      <c r="L55" s="5">
        <f t="shared" si="2"/>
        <v>1</v>
      </c>
    </row>
    <row r="56" spans="1:12" x14ac:dyDescent="0.3">
      <c r="A56" s="2">
        <v>45840</v>
      </c>
      <c r="B56" t="s">
        <v>24</v>
      </c>
      <c r="C56" t="s">
        <v>68</v>
      </c>
      <c r="E56" t="s">
        <v>26</v>
      </c>
      <c r="F56" t="s">
        <v>42</v>
      </c>
      <c r="G56">
        <v>5</v>
      </c>
      <c r="H56">
        <v>680</v>
      </c>
      <c r="I56" s="4"/>
      <c r="J56" s="11">
        <f t="shared" si="0"/>
        <v>3400</v>
      </c>
      <c r="K56" s="4">
        <f t="shared" si="1"/>
        <v>3400</v>
      </c>
      <c r="L56" s="5">
        <f t="shared" si="2"/>
        <v>1</v>
      </c>
    </row>
    <row r="57" spans="1:12" x14ac:dyDescent="0.3">
      <c r="A57" s="2">
        <v>45840</v>
      </c>
      <c r="B57" t="s">
        <v>24</v>
      </c>
      <c r="C57" t="s">
        <v>68</v>
      </c>
      <c r="E57" t="s">
        <v>26</v>
      </c>
      <c r="F57" t="s">
        <v>69</v>
      </c>
      <c r="G57">
        <v>5</v>
      </c>
      <c r="H57">
        <v>680</v>
      </c>
      <c r="I57" s="4"/>
      <c r="J57" s="11">
        <f t="shared" si="0"/>
        <v>3400</v>
      </c>
      <c r="K57" s="4">
        <f t="shared" si="1"/>
        <v>3400</v>
      </c>
      <c r="L57" s="5">
        <f t="shared" si="2"/>
        <v>1</v>
      </c>
    </row>
    <row r="58" spans="1:12" x14ac:dyDescent="0.3">
      <c r="A58" s="2">
        <v>45840</v>
      </c>
      <c r="B58" t="s">
        <v>37</v>
      </c>
      <c r="C58" t="s">
        <v>70</v>
      </c>
      <c r="E58" t="s">
        <v>71</v>
      </c>
      <c r="F58" t="s">
        <v>31</v>
      </c>
      <c r="G58">
        <v>27</v>
      </c>
      <c r="H58">
        <v>50</v>
      </c>
      <c r="I58" s="4"/>
      <c r="J58" s="11">
        <f t="shared" si="0"/>
        <v>1350</v>
      </c>
      <c r="K58" s="4">
        <f t="shared" si="1"/>
        <v>1350</v>
      </c>
      <c r="L58" s="5">
        <f t="shared" si="2"/>
        <v>1</v>
      </c>
    </row>
    <row r="59" spans="1:12" x14ac:dyDescent="0.3">
      <c r="A59" s="2">
        <v>45840</v>
      </c>
      <c r="B59" t="s">
        <v>72</v>
      </c>
      <c r="C59" t="s">
        <v>73</v>
      </c>
      <c r="E59" t="s">
        <v>14</v>
      </c>
      <c r="F59" t="s">
        <v>74</v>
      </c>
      <c r="G59">
        <v>10</v>
      </c>
      <c r="H59">
        <v>395</v>
      </c>
      <c r="I59" s="4"/>
      <c r="J59" s="11">
        <f t="shared" si="0"/>
        <v>3950</v>
      </c>
      <c r="K59" s="4">
        <f t="shared" si="1"/>
        <v>3950</v>
      </c>
      <c r="L59" s="5">
        <f t="shared" si="2"/>
        <v>1</v>
      </c>
    </row>
    <row r="60" spans="1:12" x14ac:dyDescent="0.3">
      <c r="A60" s="2">
        <v>45840</v>
      </c>
      <c r="B60" t="s">
        <v>72</v>
      </c>
      <c r="C60" t="s">
        <v>73</v>
      </c>
      <c r="E60" t="s">
        <v>14</v>
      </c>
      <c r="F60" t="s">
        <v>75</v>
      </c>
      <c r="G60">
        <v>2</v>
      </c>
      <c r="H60">
        <v>295</v>
      </c>
      <c r="I60" s="4"/>
      <c r="J60" s="11">
        <f t="shared" si="0"/>
        <v>590</v>
      </c>
      <c r="K60" s="4">
        <f t="shared" si="1"/>
        <v>590</v>
      </c>
      <c r="L60" s="5">
        <f t="shared" si="2"/>
        <v>1</v>
      </c>
    </row>
    <row r="61" spans="1:12" x14ac:dyDescent="0.3">
      <c r="A61" s="2">
        <v>45840</v>
      </c>
      <c r="B61" t="s">
        <v>72</v>
      </c>
      <c r="C61" t="s">
        <v>76</v>
      </c>
      <c r="E61" t="s">
        <v>14</v>
      </c>
      <c r="F61" t="s">
        <v>77</v>
      </c>
      <c r="G61">
        <v>100</v>
      </c>
      <c r="H61">
        <v>130</v>
      </c>
      <c r="I61" s="4"/>
      <c r="J61" s="11">
        <f t="shared" si="0"/>
        <v>13000</v>
      </c>
      <c r="K61" s="4">
        <f t="shared" si="1"/>
        <v>13000</v>
      </c>
      <c r="L61" s="5">
        <f t="shared" si="2"/>
        <v>1</v>
      </c>
    </row>
    <row r="62" spans="1:12" x14ac:dyDescent="0.3">
      <c r="A62" s="2">
        <v>45840</v>
      </c>
      <c r="B62" t="s">
        <v>37</v>
      </c>
      <c r="C62" t="s">
        <v>78</v>
      </c>
      <c r="E62" t="s">
        <v>79</v>
      </c>
      <c r="F62" t="s">
        <v>40</v>
      </c>
      <c r="G62">
        <v>100</v>
      </c>
      <c r="H62">
        <v>81.5</v>
      </c>
      <c r="I62" s="4"/>
      <c r="J62" s="11">
        <f t="shared" si="0"/>
        <v>8150</v>
      </c>
      <c r="K62" s="4">
        <f t="shared" si="1"/>
        <v>8150</v>
      </c>
      <c r="L62" s="5">
        <f t="shared" si="2"/>
        <v>1</v>
      </c>
    </row>
    <row r="63" spans="1:12" x14ac:dyDescent="0.3">
      <c r="A63" s="2">
        <v>45840</v>
      </c>
      <c r="B63" t="s">
        <v>28</v>
      </c>
      <c r="C63" t="s">
        <v>48</v>
      </c>
      <c r="E63" t="s">
        <v>80</v>
      </c>
      <c r="F63" t="s">
        <v>81</v>
      </c>
      <c r="G63">
        <v>5</v>
      </c>
      <c r="H63">
        <v>600</v>
      </c>
      <c r="I63" s="4"/>
      <c r="J63" s="11">
        <f t="shared" si="0"/>
        <v>3000</v>
      </c>
      <c r="K63" s="4">
        <f t="shared" si="1"/>
        <v>3000</v>
      </c>
      <c r="L63" s="5">
        <f t="shared" si="2"/>
        <v>1</v>
      </c>
    </row>
    <row r="64" spans="1:12" x14ac:dyDescent="0.3">
      <c r="A64" s="2">
        <v>45840</v>
      </c>
      <c r="B64" t="s">
        <v>28</v>
      </c>
      <c r="C64" t="s">
        <v>48</v>
      </c>
      <c r="E64" t="s">
        <v>80</v>
      </c>
      <c r="F64" t="s">
        <v>63</v>
      </c>
      <c r="G64">
        <v>10</v>
      </c>
      <c r="H64">
        <v>398</v>
      </c>
      <c r="I64" s="4"/>
      <c r="J64" s="11">
        <f t="shared" si="0"/>
        <v>3980</v>
      </c>
      <c r="K64" s="4">
        <f t="shared" si="1"/>
        <v>3980</v>
      </c>
      <c r="L64" s="5">
        <f t="shared" si="2"/>
        <v>1</v>
      </c>
    </row>
    <row r="65" spans="1:12" x14ac:dyDescent="0.3">
      <c r="A65" s="2">
        <v>45840</v>
      </c>
      <c r="B65" t="s">
        <v>24</v>
      </c>
      <c r="C65" t="s">
        <v>56</v>
      </c>
      <c r="E65" t="s">
        <v>14</v>
      </c>
      <c r="F65" t="s">
        <v>42</v>
      </c>
      <c r="G65">
        <v>1</v>
      </c>
      <c r="H65">
        <v>715</v>
      </c>
      <c r="I65" s="4"/>
      <c r="J65" s="11">
        <f t="shared" si="0"/>
        <v>715</v>
      </c>
      <c r="K65" s="4">
        <f t="shared" si="1"/>
        <v>715</v>
      </c>
      <c r="L65" s="5">
        <f t="shared" si="2"/>
        <v>1</v>
      </c>
    </row>
    <row r="66" spans="1:12" x14ac:dyDescent="0.3">
      <c r="A66" s="2">
        <v>45840</v>
      </c>
      <c r="B66" t="s">
        <v>24</v>
      </c>
      <c r="C66" t="s">
        <v>56</v>
      </c>
      <c r="E66" t="s">
        <v>49</v>
      </c>
      <c r="F66" t="s">
        <v>82</v>
      </c>
      <c r="G66">
        <v>20</v>
      </c>
      <c r="H66">
        <v>425</v>
      </c>
      <c r="I66" s="4"/>
      <c r="J66" s="11">
        <f t="shared" ref="J66:J129" si="3">G66*H66</f>
        <v>8500</v>
      </c>
      <c r="K66" s="4">
        <f t="shared" ref="K66:K129" si="4">(H66-I66)*G66</f>
        <v>8500</v>
      </c>
      <c r="L66" s="5">
        <f t="shared" ref="L66:L129" si="5">IF(H66&gt;0,(H66-I66)/H66,0)</f>
        <v>1</v>
      </c>
    </row>
    <row r="67" spans="1:12" x14ac:dyDescent="0.3">
      <c r="A67" s="2">
        <v>45840</v>
      </c>
      <c r="B67" t="s">
        <v>28</v>
      </c>
      <c r="C67" t="s">
        <v>68</v>
      </c>
      <c r="E67" t="s">
        <v>30</v>
      </c>
      <c r="F67" t="s">
        <v>31</v>
      </c>
      <c r="G67">
        <v>2</v>
      </c>
      <c r="H67">
        <v>100</v>
      </c>
      <c r="I67" s="4"/>
      <c r="J67" s="11">
        <f t="shared" si="3"/>
        <v>200</v>
      </c>
      <c r="K67" s="4">
        <f t="shared" si="4"/>
        <v>200</v>
      </c>
      <c r="L67" s="5">
        <f t="shared" si="5"/>
        <v>1</v>
      </c>
    </row>
    <row r="68" spans="1:12" x14ac:dyDescent="0.3">
      <c r="A68" s="2">
        <v>45840</v>
      </c>
      <c r="B68" t="s">
        <v>28</v>
      </c>
      <c r="C68" t="s">
        <v>83</v>
      </c>
      <c r="E68" t="s">
        <v>44</v>
      </c>
      <c r="F68" t="s">
        <v>23</v>
      </c>
      <c r="G68">
        <v>75</v>
      </c>
      <c r="H68">
        <v>60</v>
      </c>
      <c r="I68" s="4"/>
      <c r="J68" s="11">
        <f t="shared" si="3"/>
        <v>4500</v>
      </c>
      <c r="K68" s="4">
        <f t="shared" si="4"/>
        <v>4500</v>
      </c>
      <c r="L68" s="5">
        <f t="shared" si="5"/>
        <v>1</v>
      </c>
    </row>
    <row r="69" spans="1:12" x14ac:dyDescent="0.3">
      <c r="A69" s="2">
        <v>45840</v>
      </c>
      <c r="B69" t="s">
        <v>72</v>
      </c>
      <c r="C69" t="s">
        <v>84</v>
      </c>
      <c r="E69" t="s">
        <v>85</v>
      </c>
      <c r="F69" t="s">
        <v>63</v>
      </c>
      <c r="G69">
        <v>1</v>
      </c>
      <c r="H69">
        <v>365</v>
      </c>
      <c r="I69" s="4"/>
      <c r="J69" s="11">
        <f t="shared" si="3"/>
        <v>365</v>
      </c>
      <c r="K69" s="4">
        <f t="shared" si="4"/>
        <v>365</v>
      </c>
      <c r="L69" s="5">
        <f t="shared" si="5"/>
        <v>1</v>
      </c>
    </row>
    <row r="70" spans="1:12" x14ac:dyDescent="0.3">
      <c r="A70" s="2">
        <v>45840</v>
      </c>
      <c r="B70" t="s">
        <v>72</v>
      </c>
      <c r="C70" t="s">
        <v>84</v>
      </c>
      <c r="E70" t="s">
        <v>85</v>
      </c>
      <c r="F70" t="s">
        <v>86</v>
      </c>
      <c r="G70">
        <v>3</v>
      </c>
      <c r="H70">
        <v>275</v>
      </c>
      <c r="I70" s="4"/>
      <c r="J70" s="11">
        <f t="shared" si="3"/>
        <v>825</v>
      </c>
      <c r="K70" s="4">
        <f t="shared" si="4"/>
        <v>825</v>
      </c>
      <c r="L70" s="5">
        <f t="shared" si="5"/>
        <v>1</v>
      </c>
    </row>
    <row r="71" spans="1:12" x14ac:dyDescent="0.3">
      <c r="A71" s="2">
        <v>45840</v>
      </c>
      <c r="B71" t="s">
        <v>72</v>
      </c>
      <c r="C71" t="s">
        <v>84</v>
      </c>
      <c r="E71" t="s">
        <v>85</v>
      </c>
      <c r="F71" t="s">
        <v>87</v>
      </c>
      <c r="G71">
        <v>3</v>
      </c>
      <c r="H71">
        <v>275</v>
      </c>
      <c r="I71" s="4"/>
      <c r="J71" s="11">
        <f t="shared" si="3"/>
        <v>825</v>
      </c>
      <c r="K71" s="4">
        <f t="shared" si="4"/>
        <v>825</v>
      </c>
      <c r="L71" s="5">
        <f t="shared" si="5"/>
        <v>1</v>
      </c>
    </row>
    <row r="72" spans="1:12" x14ac:dyDescent="0.3">
      <c r="A72" s="2">
        <v>45840</v>
      </c>
      <c r="B72" t="s">
        <v>72</v>
      </c>
      <c r="C72" t="s">
        <v>84</v>
      </c>
      <c r="E72" t="s">
        <v>85</v>
      </c>
      <c r="F72" t="s">
        <v>17</v>
      </c>
      <c r="G72">
        <v>15</v>
      </c>
      <c r="H72">
        <v>84</v>
      </c>
      <c r="I72" s="4"/>
      <c r="J72" s="11">
        <f t="shared" si="3"/>
        <v>1260</v>
      </c>
      <c r="K72" s="4">
        <f t="shared" si="4"/>
        <v>1260</v>
      </c>
      <c r="L72" s="5">
        <f t="shared" si="5"/>
        <v>1</v>
      </c>
    </row>
    <row r="73" spans="1:12" x14ac:dyDescent="0.3">
      <c r="A73" s="2">
        <v>45840</v>
      </c>
      <c r="B73" t="s">
        <v>72</v>
      </c>
      <c r="C73" t="s">
        <v>84</v>
      </c>
      <c r="E73" t="s">
        <v>85</v>
      </c>
      <c r="F73" t="s">
        <v>40</v>
      </c>
      <c r="G73">
        <v>20</v>
      </c>
      <c r="H73">
        <v>64</v>
      </c>
      <c r="I73" s="4"/>
      <c r="J73" s="11">
        <f t="shared" si="3"/>
        <v>1280</v>
      </c>
      <c r="K73" s="4">
        <f t="shared" si="4"/>
        <v>1280</v>
      </c>
      <c r="L73" s="5">
        <f t="shared" si="5"/>
        <v>1</v>
      </c>
    </row>
    <row r="74" spans="1:12" x14ac:dyDescent="0.3">
      <c r="A74" s="2">
        <v>45840</v>
      </c>
      <c r="B74" t="s">
        <v>72</v>
      </c>
      <c r="C74" t="s">
        <v>84</v>
      </c>
      <c r="E74" t="s">
        <v>85</v>
      </c>
      <c r="F74" t="s">
        <v>88</v>
      </c>
      <c r="G74">
        <v>5</v>
      </c>
      <c r="H74">
        <v>275</v>
      </c>
      <c r="I74" s="4"/>
      <c r="J74" s="11">
        <f t="shared" si="3"/>
        <v>1375</v>
      </c>
      <c r="K74" s="4">
        <f t="shared" si="4"/>
        <v>1375</v>
      </c>
      <c r="L74" s="5">
        <f t="shared" si="5"/>
        <v>1</v>
      </c>
    </row>
    <row r="75" spans="1:12" x14ac:dyDescent="0.3">
      <c r="A75" s="2">
        <v>45840</v>
      </c>
      <c r="B75" t="s">
        <v>72</v>
      </c>
      <c r="C75" t="s">
        <v>84</v>
      </c>
      <c r="E75" t="s">
        <v>85</v>
      </c>
      <c r="F75" t="s">
        <v>89</v>
      </c>
      <c r="G75">
        <v>50</v>
      </c>
      <c r="H75">
        <v>36</v>
      </c>
      <c r="I75" s="4"/>
      <c r="J75" s="11">
        <f t="shared" si="3"/>
        <v>1800</v>
      </c>
      <c r="K75" s="4">
        <f t="shared" si="4"/>
        <v>1800</v>
      </c>
      <c r="L75" s="5">
        <f t="shared" si="5"/>
        <v>1</v>
      </c>
    </row>
    <row r="76" spans="1:12" x14ac:dyDescent="0.3">
      <c r="A76" s="2">
        <v>45840</v>
      </c>
      <c r="B76" t="s">
        <v>72</v>
      </c>
      <c r="C76" t="s">
        <v>84</v>
      </c>
      <c r="E76" t="s">
        <v>85</v>
      </c>
      <c r="F76" t="s">
        <v>90</v>
      </c>
      <c r="G76">
        <v>7</v>
      </c>
      <c r="H76">
        <v>270</v>
      </c>
      <c r="I76" s="4"/>
      <c r="J76" s="11">
        <f t="shared" si="3"/>
        <v>1890</v>
      </c>
      <c r="K76" s="4">
        <f t="shared" si="4"/>
        <v>1890</v>
      </c>
      <c r="L76" s="5">
        <f t="shared" si="5"/>
        <v>1</v>
      </c>
    </row>
    <row r="77" spans="1:12" x14ac:dyDescent="0.3">
      <c r="A77" s="2">
        <v>45840</v>
      </c>
      <c r="B77" t="s">
        <v>72</v>
      </c>
      <c r="C77" t="s">
        <v>84</v>
      </c>
      <c r="E77" t="s">
        <v>85</v>
      </c>
      <c r="F77" t="s">
        <v>91</v>
      </c>
      <c r="G77">
        <v>9</v>
      </c>
      <c r="H77">
        <v>270</v>
      </c>
      <c r="I77" s="4"/>
      <c r="J77" s="11">
        <f t="shared" si="3"/>
        <v>2430</v>
      </c>
      <c r="K77" s="4">
        <f t="shared" si="4"/>
        <v>2430</v>
      </c>
      <c r="L77" s="5">
        <f t="shared" si="5"/>
        <v>1</v>
      </c>
    </row>
    <row r="78" spans="1:12" x14ac:dyDescent="0.3">
      <c r="A78" s="2">
        <v>45840</v>
      </c>
      <c r="B78" t="s">
        <v>72</v>
      </c>
      <c r="C78" t="s">
        <v>84</v>
      </c>
      <c r="E78" t="s">
        <v>85</v>
      </c>
      <c r="F78" t="s">
        <v>92</v>
      </c>
      <c r="G78">
        <v>8</v>
      </c>
      <c r="H78">
        <v>435</v>
      </c>
      <c r="I78" s="4"/>
      <c r="J78" s="11">
        <f t="shared" si="3"/>
        <v>3480</v>
      </c>
      <c r="K78" s="4">
        <f t="shared" si="4"/>
        <v>3480</v>
      </c>
      <c r="L78" s="5">
        <f t="shared" si="5"/>
        <v>1</v>
      </c>
    </row>
    <row r="79" spans="1:12" x14ac:dyDescent="0.3">
      <c r="A79" s="2">
        <v>45840</v>
      </c>
      <c r="B79" t="s">
        <v>72</v>
      </c>
      <c r="C79" t="s">
        <v>84</v>
      </c>
      <c r="E79" t="s">
        <v>85</v>
      </c>
      <c r="F79" t="s">
        <v>31</v>
      </c>
      <c r="G79">
        <v>100</v>
      </c>
      <c r="H79">
        <v>43</v>
      </c>
      <c r="I79" s="4"/>
      <c r="J79" s="11">
        <f t="shared" si="3"/>
        <v>4300</v>
      </c>
      <c r="K79" s="4">
        <f t="shared" si="4"/>
        <v>4300</v>
      </c>
      <c r="L79" s="5">
        <f t="shared" si="5"/>
        <v>1</v>
      </c>
    </row>
    <row r="80" spans="1:12" x14ac:dyDescent="0.3">
      <c r="A80" s="2">
        <v>45840</v>
      </c>
      <c r="B80" t="s">
        <v>12</v>
      </c>
      <c r="C80" t="s">
        <v>93</v>
      </c>
      <c r="E80" t="s">
        <v>14</v>
      </c>
      <c r="F80" t="s">
        <v>94</v>
      </c>
      <c r="G80">
        <v>5</v>
      </c>
      <c r="H80">
        <v>650</v>
      </c>
      <c r="I80" s="4"/>
      <c r="J80" s="11">
        <f t="shared" si="3"/>
        <v>3250</v>
      </c>
      <c r="K80" s="4">
        <f t="shared" si="4"/>
        <v>3250</v>
      </c>
      <c r="L80" s="5">
        <f t="shared" si="5"/>
        <v>1</v>
      </c>
    </row>
    <row r="81" spans="1:12" x14ac:dyDescent="0.3">
      <c r="A81" s="2">
        <v>45840</v>
      </c>
      <c r="B81" t="s">
        <v>12</v>
      </c>
      <c r="C81" t="s">
        <v>93</v>
      </c>
      <c r="E81" t="s">
        <v>14</v>
      </c>
      <c r="F81" t="s">
        <v>95</v>
      </c>
      <c r="G81">
        <v>5</v>
      </c>
      <c r="H81">
        <v>650</v>
      </c>
      <c r="I81" s="4"/>
      <c r="J81" s="11">
        <f t="shared" si="3"/>
        <v>3250</v>
      </c>
      <c r="K81" s="4">
        <f t="shared" si="4"/>
        <v>3250</v>
      </c>
      <c r="L81" s="5">
        <f t="shared" si="5"/>
        <v>1</v>
      </c>
    </row>
    <row r="82" spans="1:12" x14ac:dyDescent="0.3">
      <c r="A82" s="2">
        <v>45840</v>
      </c>
      <c r="B82" t="s">
        <v>12</v>
      </c>
      <c r="C82" t="s">
        <v>93</v>
      </c>
      <c r="E82" t="s">
        <v>14</v>
      </c>
      <c r="F82" t="s">
        <v>96</v>
      </c>
      <c r="G82">
        <v>5</v>
      </c>
      <c r="H82">
        <v>650</v>
      </c>
      <c r="I82" s="4"/>
      <c r="J82" s="11">
        <f t="shared" si="3"/>
        <v>3250</v>
      </c>
      <c r="K82" s="4">
        <f t="shared" si="4"/>
        <v>3250</v>
      </c>
      <c r="L82" s="5">
        <f t="shared" si="5"/>
        <v>1</v>
      </c>
    </row>
    <row r="83" spans="1:12" x14ac:dyDescent="0.3">
      <c r="A83" s="2">
        <v>45840</v>
      </c>
      <c r="B83" t="s">
        <v>97</v>
      </c>
      <c r="C83" t="s">
        <v>98</v>
      </c>
      <c r="E83" t="s">
        <v>26</v>
      </c>
      <c r="F83" t="s">
        <v>42</v>
      </c>
      <c r="G83">
        <v>7</v>
      </c>
      <c r="H83">
        <v>750</v>
      </c>
      <c r="I83" s="4"/>
      <c r="J83" s="11">
        <f t="shared" si="3"/>
        <v>5250</v>
      </c>
      <c r="K83" s="4">
        <f t="shared" si="4"/>
        <v>5250</v>
      </c>
      <c r="L83" s="5">
        <f t="shared" si="5"/>
        <v>1</v>
      </c>
    </row>
    <row r="84" spans="1:12" x14ac:dyDescent="0.3">
      <c r="A84" s="2">
        <v>45840</v>
      </c>
      <c r="B84" t="s">
        <v>37</v>
      </c>
      <c r="C84" t="s">
        <v>99</v>
      </c>
      <c r="E84" t="s">
        <v>79</v>
      </c>
      <c r="F84" t="s">
        <v>100</v>
      </c>
      <c r="G84">
        <v>2</v>
      </c>
      <c r="H84">
        <v>100</v>
      </c>
      <c r="I84" s="4"/>
      <c r="J84" s="11">
        <f t="shared" si="3"/>
        <v>200</v>
      </c>
      <c r="K84" s="4">
        <f t="shared" si="4"/>
        <v>200</v>
      </c>
      <c r="L84" s="5">
        <f t="shared" si="5"/>
        <v>1</v>
      </c>
    </row>
    <row r="85" spans="1:12" x14ac:dyDescent="0.3">
      <c r="A85" s="2">
        <v>45840</v>
      </c>
      <c r="B85" t="s">
        <v>37</v>
      </c>
      <c r="C85" t="s">
        <v>99</v>
      </c>
      <c r="E85" t="s">
        <v>79</v>
      </c>
      <c r="F85" t="s">
        <v>17</v>
      </c>
      <c r="G85">
        <v>2</v>
      </c>
      <c r="H85">
        <v>100</v>
      </c>
      <c r="I85" s="4"/>
      <c r="J85" s="11">
        <f t="shared" si="3"/>
        <v>200</v>
      </c>
      <c r="K85" s="4">
        <f t="shared" si="4"/>
        <v>200</v>
      </c>
      <c r="L85" s="5">
        <f t="shared" si="5"/>
        <v>1</v>
      </c>
    </row>
    <row r="86" spans="1:12" x14ac:dyDescent="0.3">
      <c r="A86" s="2">
        <v>45841</v>
      </c>
      <c r="B86" t="s">
        <v>12</v>
      </c>
      <c r="C86" t="s">
        <v>101</v>
      </c>
      <c r="E86" t="s">
        <v>14</v>
      </c>
      <c r="F86" t="s">
        <v>102</v>
      </c>
      <c r="G86">
        <v>-10</v>
      </c>
      <c r="H86">
        <v>215</v>
      </c>
      <c r="I86" s="4"/>
      <c r="J86" s="11">
        <f t="shared" si="3"/>
        <v>-2150</v>
      </c>
      <c r="K86" s="4">
        <f t="shared" si="4"/>
        <v>-2150</v>
      </c>
      <c r="L86" s="5">
        <f t="shared" si="5"/>
        <v>1</v>
      </c>
    </row>
    <row r="87" spans="1:12" x14ac:dyDescent="0.3">
      <c r="A87" s="2">
        <v>45841</v>
      </c>
      <c r="B87" t="s">
        <v>24</v>
      </c>
      <c r="C87" t="s">
        <v>103</v>
      </c>
      <c r="E87" t="s">
        <v>14</v>
      </c>
      <c r="F87" t="s">
        <v>17</v>
      </c>
      <c r="G87">
        <v>1</v>
      </c>
      <c r="H87">
        <v>150</v>
      </c>
      <c r="I87" s="4"/>
      <c r="J87" s="11">
        <f t="shared" si="3"/>
        <v>150</v>
      </c>
      <c r="K87" s="4">
        <f t="shared" si="4"/>
        <v>150</v>
      </c>
      <c r="L87" s="5">
        <f t="shared" si="5"/>
        <v>1</v>
      </c>
    </row>
    <row r="88" spans="1:12" x14ac:dyDescent="0.3">
      <c r="A88" s="2">
        <v>45841</v>
      </c>
      <c r="B88" t="s">
        <v>24</v>
      </c>
      <c r="C88" t="s">
        <v>103</v>
      </c>
      <c r="E88" t="s">
        <v>14</v>
      </c>
      <c r="F88" t="s">
        <v>17</v>
      </c>
      <c r="G88">
        <v>1</v>
      </c>
      <c r="H88">
        <v>150</v>
      </c>
      <c r="I88" s="4"/>
      <c r="J88" s="11">
        <f t="shared" si="3"/>
        <v>150</v>
      </c>
      <c r="K88" s="4">
        <f t="shared" si="4"/>
        <v>150</v>
      </c>
      <c r="L88" s="5">
        <f t="shared" si="5"/>
        <v>1</v>
      </c>
    </row>
    <row r="89" spans="1:12" x14ac:dyDescent="0.3">
      <c r="A89" s="2">
        <v>45841</v>
      </c>
      <c r="B89" t="s">
        <v>24</v>
      </c>
      <c r="C89" t="s">
        <v>103</v>
      </c>
      <c r="E89" t="s">
        <v>14</v>
      </c>
      <c r="F89" t="s">
        <v>18</v>
      </c>
      <c r="G89">
        <v>1</v>
      </c>
      <c r="H89">
        <v>180</v>
      </c>
      <c r="I89" s="4"/>
      <c r="J89" s="11">
        <f t="shared" si="3"/>
        <v>180</v>
      </c>
      <c r="K89" s="4">
        <f t="shared" si="4"/>
        <v>180</v>
      </c>
      <c r="L89" s="5">
        <f t="shared" si="5"/>
        <v>1</v>
      </c>
    </row>
    <row r="90" spans="1:12" x14ac:dyDescent="0.3">
      <c r="A90" s="2">
        <v>45841</v>
      </c>
      <c r="B90" t="s">
        <v>24</v>
      </c>
      <c r="C90" t="s">
        <v>103</v>
      </c>
      <c r="E90" t="s">
        <v>14</v>
      </c>
      <c r="F90" t="s">
        <v>104</v>
      </c>
      <c r="G90">
        <v>2</v>
      </c>
      <c r="H90">
        <v>180</v>
      </c>
      <c r="I90" s="4"/>
      <c r="J90" s="11">
        <f t="shared" si="3"/>
        <v>360</v>
      </c>
      <c r="K90" s="4">
        <f t="shared" si="4"/>
        <v>360</v>
      </c>
      <c r="L90" s="5">
        <f t="shared" si="5"/>
        <v>1</v>
      </c>
    </row>
    <row r="91" spans="1:12" x14ac:dyDescent="0.3">
      <c r="A91" s="2">
        <v>45841</v>
      </c>
      <c r="B91" t="s">
        <v>24</v>
      </c>
      <c r="C91" t="s">
        <v>41</v>
      </c>
      <c r="E91" t="s">
        <v>14</v>
      </c>
      <c r="F91" t="s">
        <v>42</v>
      </c>
      <c r="G91">
        <v>1</v>
      </c>
      <c r="H91">
        <v>675</v>
      </c>
      <c r="I91" s="4"/>
      <c r="J91" s="11">
        <f t="shared" si="3"/>
        <v>675</v>
      </c>
      <c r="K91" s="4">
        <f t="shared" si="4"/>
        <v>675</v>
      </c>
      <c r="L91" s="5">
        <f t="shared" si="5"/>
        <v>1</v>
      </c>
    </row>
    <row r="92" spans="1:12" x14ac:dyDescent="0.3">
      <c r="A92" s="2">
        <v>45841</v>
      </c>
      <c r="B92" t="s">
        <v>12</v>
      </c>
      <c r="C92" t="s">
        <v>105</v>
      </c>
      <c r="E92" t="s">
        <v>14</v>
      </c>
      <c r="F92" t="s">
        <v>50</v>
      </c>
      <c r="G92">
        <v>10</v>
      </c>
      <c r="H92">
        <v>65</v>
      </c>
      <c r="I92" s="4"/>
      <c r="J92" s="11">
        <f t="shared" si="3"/>
        <v>650</v>
      </c>
      <c r="K92" s="4">
        <f t="shared" si="4"/>
        <v>650</v>
      </c>
      <c r="L92" s="5">
        <f t="shared" si="5"/>
        <v>1</v>
      </c>
    </row>
    <row r="93" spans="1:12" x14ac:dyDescent="0.3">
      <c r="A93" s="2">
        <v>45841</v>
      </c>
      <c r="B93" t="s">
        <v>24</v>
      </c>
      <c r="C93" t="s">
        <v>56</v>
      </c>
      <c r="E93" t="s">
        <v>14</v>
      </c>
      <c r="F93" t="s">
        <v>42</v>
      </c>
      <c r="G93">
        <v>1</v>
      </c>
      <c r="H93">
        <v>715</v>
      </c>
      <c r="I93" s="4"/>
      <c r="J93" s="11">
        <f t="shared" si="3"/>
        <v>715</v>
      </c>
      <c r="K93" s="4">
        <f t="shared" si="4"/>
        <v>715</v>
      </c>
      <c r="L93" s="5">
        <f t="shared" si="5"/>
        <v>1</v>
      </c>
    </row>
    <row r="94" spans="1:12" x14ac:dyDescent="0.3">
      <c r="A94" s="2">
        <v>45841</v>
      </c>
      <c r="B94" t="s">
        <v>37</v>
      </c>
      <c r="C94" t="s">
        <v>48</v>
      </c>
      <c r="E94" t="s">
        <v>106</v>
      </c>
      <c r="F94" t="s">
        <v>58</v>
      </c>
      <c r="G94">
        <v>60</v>
      </c>
      <c r="H94">
        <v>64</v>
      </c>
      <c r="I94" s="4"/>
      <c r="J94" s="11">
        <f t="shared" si="3"/>
        <v>3840</v>
      </c>
      <c r="K94" s="4">
        <f t="shared" si="4"/>
        <v>3840</v>
      </c>
      <c r="L94" s="5">
        <f t="shared" si="5"/>
        <v>1</v>
      </c>
    </row>
    <row r="95" spans="1:12" x14ac:dyDescent="0.3">
      <c r="A95" s="2">
        <v>45841</v>
      </c>
      <c r="B95" t="s">
        <v>37</v>
      </c>
      <c r="C95" t="s">
        <v>48</v>
      </c>
      <c r="E95" t="s">
        <v>106</v>
      </c>
      <c r="F95" t="s">
        <v>40</v>
      </c>
      <c r="G95">
        <v>30</v>
      </c>
      <c r="H95">
        <v>64</v>
      </c>
      <c r="I95" s="4"/>
      <c r="J95" s="11">
        <f t="shared" si="3"/>
        <v>1920</v>
      </c>
      <c r="K95" s="4">
        <f t="shared" si="4"/>
        <v>1920</v>
      </c>
      <c r="L95" s="5">
        <f t="shared" si="5"/>
        <v>1</v>
      </c>
    </row>
    <row r="96" spans="1:12" x14ac:dyDescent="0.3">
      <c r="A96" s="2">
        <v>45841</v>
      </c>
      <c r="B96" t="s">
        <v>12</v>
      </c>
      <c r="C96" t="s">
        <v>107</v>
      </c>
      <c r="E96" t="s">
        <v>85</v>
      </c>
      <c r="F96" t="s">
        <v>42</v>
      </c>
      <c r="G96">
        <v>30</v>
      </c>
      <c r="H96">
        <v>875</v>
      </c>
      <c r="I96" s="4"/>
      <c r="J96" s="11">
        <f t="shared" si="3"/>
        <v>26250</v>
      </c>
      <c r="K96" s="4">
        <f t="shared" si="4"/>
        <v>26250</v>
      </c>
      <c r="L96" s="5">
        <f t="shared" si="5"/>
        <v>1</v>
      </c>
    </row>
    <row r="97" spans="1:12" x14ac:dyDescent="0.3">
      <c r="A97" s="2">
        <v>45841</v>
      </c>
      <c r="B97" t="s">
        <v>24</v>
      </c>
      <c r="C97" t="s">
        <v>103</v>
      </c>
      <c r="E97" t="s">
        <v>14</v>
      </c>
      <c r="F97" t="s">
        <v>104</v>
      </c>
      <c r="G97">
        <v>1</v>
      </c>
      <c r="H97">
        <v>180</v>
      </c>
      <c r="I97" s="4"/>
      <c r="J97" s="11">
        <f t="shared" si="3"/>
        <v>180</v>
      </c>
      <c r="K97" s="4">
        <f t="shared" si="4"/>
        <v>180</v>
      </c>
      <c r="L97" s="5">
        <f t="shared" si="5"/>
        <v>1</v>
      </c>
    </row>
    <row r="98" spans="1:12" x14ac:dyDescent="0.3">
      <c r="A98" s="2">
        <v>45841</v>
      </c>
      <c r="B98" t="s">
        <v>24</v>
      </c>
      <c r="C98" t="s">
        <v>103</v>
      </c>
      <c r="E98" t="s">
        <v>14</v>
      </c>
      <c r="F98" t="s">
        <v>18</v>
      </c>
      <c r="G98">
        <v>1</v>
      </c>
      <c r="H98">
        <v>180</v>
      </c>
      <c r="I98" s="4"/>
      <c r="J98" s="11">
        <f t="shared" si="3"/>
        <v>180</v>
      </c>
      <c r="K98" s="4">
        <f t="shared" si="4"/>
        <v>180</v>
      </c>
      <c r="L98" s="5">
        <f t="shared" si="5"/>
        <v>1</v>
      </c>
    </row>
    <row r="99" spans="1:12" x14ac:dyDescent="0.3">
      <c r="A99" s="2">
        <v>45841</v>
      </c>
      <c r="B99" t="s">
        <v>24</v>
      </c>
      <c r="C99" t="s">
        <v>103</v>
      </c>
      <c r="E99" t="s">
        <v>14</v>
      </c>
      <c r="F99" t="s">
        <v>17</v>
      </c>
      <c r="G99">
        <v>2</v>
      </c>
      <c r="H99">
        <v>150</v>
      </c>
      <c r="I99" s="4"/>
      <c r="J99" s="11">
        <f t="shared" si="3"/>
        <v>300</v>
      </c>
      <c r="K99" s="4">
        <f t="shared" si="4"/>
        <v>300</v>
      </c>
      <c r="L99" s="5">
        <f t="shared" si="5"/>
        <v>1</v>
      </c>
    </row>
    <row r="100" spans="1:12" x14ac:dyDescent="0.3">
      <c r="A100" s="2">
        <v>45841</v>
      </c>
      <c r="B100" t="s">
        <v>24</v>
      </c>
      <c r="C100" t="s">
        <v>41</v>
      </c>
      <c r="E100" t="s">
        <v>14</v>
      </c>
      <c r="F100" t="s">
        <v>42</v>
      </c>
      <c r="G100">
        <v>1</v>
      </c>
      <c r="H100">
        <v>675</v>
      </c>
      <c r="I100" s="4"/>
      <c r="J100" s="11">
        <f t="shared" si="3"/>
        <v>675</v>
      </c>
      <c r="K100" s="4">
        <f t="shared" si="4"/>
        <v>675</v>
      </c>
      <c r="L100" s="5">
        <f t="shared" si="5"/>
        <v>1</v>
      </c>
    </row>
    <row r="101" spans="1:12" x14ac:dyDescent="0.3">
      <c r="A101" s="2">
        <v>45841</v>
      </c>
      <c r="B101" t="s">
        <v>24</v>
      </c>
      <c r="C101" t="s">
        <v>41</v>
      </c>
      <c r="E101" t="s">
        <v>14</v>
      </c>
      <c r="F101" t="s">
        <v>42</v>
      </c>
      <c r="G101">
        <v>1</v>
      </c>
      <c r="H101">
        <v>675</v>
      </c>
      <c r="I101" s="4"/>
      <c r="J101" s="11">
        <f t="shared" si="3"/>
        <v>675</v>
      </c>
      <c r="K101" s="4">
        <f t="shared" si="4"/>
        <v>675</v>
      </c>
      <c r="L101" s="5">
        <f t="shared" si="5"/>
        <v>1</v>
      </c>
    </row>
    <row r="102" spans="1:12" x14ac:dyDescent="0.3">
      <c r="A102" s="2">
        <v>45841</v>
      </c>
      <c r="B102" t="s">
        <v>24</v>
      </c>
      <c r="C102" t="s">
        <v>41</v>
      </c>
      <c r="E102" t="s">
        <v>14</v>
      </c>
      <c r="F102" t="s">
        <v>42</v>
      </c>
      <c r="G102">
        <v>1</v>
      </c>
      <c r="H102">
        <v>675</v>
      </c>
      <c r="I102" s="4"/>
      <c r="J102" s="11">
        <f t="shared" si="3"/>
        <v>675</v>
      </c>
      <c r="K102" s="4">
        <f t="shared" si="4"/>
        <v>675</v>
      </c>
      <c r="L102" s="5">
        <f t="shared" si="5"/>
        <v>1</v>
      </c>
    </row>
    <row r="103" spans="1:12" x14ac:dyDescent="0.3">
      <c r="A103" s="2">
        <v>45841</v>
      </c>
      <c r="B103" t="s">
        <v>24</v>
      </c>
      <c r="C103" t="s">
        <v>41</v>
      </c>
      <c r="E103" t="s">
        <v>14</v>
      </c>
      <c r="F103" t="s">
        <v>42</v>
      </c>
      <c r="G103">
        <v>1</v>
      </c>
      <c r="H103">
        <v>675</v>
      </c>
      <c r="I103" s="4"/>
      <c r="J103" s="11">
        <f t="shared" si="3"/>
        <v>675</v>
      </c>
      <c r="K103" s="4">
        <f t="shared" si="4"/>
        <v>675</v>
      </c>
      <c r="L103" s="5">
        <f t="shared" si="5"/>
        <v>1</v>
      </c>
    </row>
    <row r="104" spans="1:12" x14ac:dyDescent="0.3">
      <c r="A104" s="2">
        <v>45841</v>
      </c>
      <c r="B104" t="s">
        <v>59</v>
      </c>
      <c r="C104" t="s">
        <v>108</v>
      </c>
      <c r="E104" t="s">
        <v>44</v>
      </c>
      <c r="F104" t="s">
        <v>109</v>
      </c>
      <c r="G104">
        <v>3</v>
      </c>
      <c r="H104">
        <v>390</v>
      </c>
      <c r="I104" s="4"/>
      <c r="J104" s="11">
        <f t="shared" si="3"/>
        <v>1170</v>
      </c>
      <c r="K104" s="4">
        <f t="shared" si="4"/>
        <v>1170</v>
      </c>
      <c r="L104" s="5">
        <f t="shared" si="5"/>
        <v>1</v>
      </c>
    </row>
    <row r="105" spans="1:12" x14ac:dyDescent="0.3">
      <c r="A105" s="2">
        <v>45841</v>
      </c>
      <c r="B105" t="s">
        <v>59</v>
      </c>
      <c r="C105" t="s">
        <v>108</v>
      </c>
      <c r="E105" t="s">
        <v>44</v>
      </c>
      <c r="F105" t="s">
        <v>110</v>
      </c>
      <c r="G105">
        <v>2</v>
      </c>
      <c r="H105">
        <v>749</v>
      </c>
      <c r="I105" s="4"/>
      <c r="J105" s="11">
        <f t="shared" si="3"/>
        <v>1498</v>
      </c>
      <c r="K105" s="4">
        <f t="shared" si="4"/>
        <v>1498</v>
      </c>
      <c r="L105" s="5">
        <f t="shared" si="5"/>
        <v>1</v>
      </c>
    </row>
    <row r="106" spans="1:12" x14ac:dyDescent="0.3">
      <c r="A106" s="2">
        <v>45841</v>
      </c>
      <c r="B106" t="s">
        <v>59</v>
      </c>
      <c r="C106" t="s">
        <v>108</v>
      </c>
      <c r="E106" t="s">
        <v>44</v>
      </c>
      <c r="F106" t="s">
        <v>111</v>
      </c>
      <c r="G106">
        <v>5</v>
      </c>
      <c r="H106">
        <v>530</v>
      </c>
      <c r="I106" s="4"/>
      <c r="J106" s="11">
        <f t="shared" si="3"/>
        <v>2650</v>
      </c>
      <c r="K106" s="4">
        <f t="shared" si="4"/>
        <v>2650</v>
      </c>
      <c r="L106" s="5">
        <f t="shared" si="5"/>
        <v>1</v>
      </c>
    </row>
    <row r="107" spans="1:12" x14ac:dyDescent="0.3">
      <c r="A107" s="2">
        <v>45841</v>
      </c>
      <c r="B107" t="s">
        <v>59</v>
      </c>
      <c r="C107" t="s">
        <v>108</v>
      </c>
      <c r="E107" t="s">
        <v>44</v>
      </c>
      <c r="F107" t="s">
        <v>112</v>
      </c>
      <c r="G107">
        <v>8</v>
      </c>
      <c r="H107">
        <v>530</v>
      </c>
      <c r="I107" s="4"/>
      <c r="J107" s="11">
        <f t="shared" si="3"/>
        <v>4240</v>
      </c>
      <c r="K107" s="4">
        <f t="shared" si="4"/>
        <v>4240</v>
      </c>
      <c r="L107" s="5">
        <f t="shared" si="5"/>
        <v>1</v>
      </c>
    </row>
    <row r="108" spans="1:12" x14ac:dyDescent="0.3">
      <c r="A108" s="2">
        <v>45842</v>
      </c>
      <c r="B108" t="s">
        <v>97</v>
      </c>
      <c r="C108" t="s">
        <v>113</v>
      </c>
      <c r="E108" t="s">
        <v>14</v>
      </c>
      <c r="F108" t="s">
        <v>42</v>
      </c>
      <c r="G108">
        <v>7</v>
      </c>
      <c r="H108">
        <v>775</v>
      </c>
      <c r="I108" s="4"/>
      <c r="J108" s="11">
        <f t="shared" si="3"/>
        <v>5425</v>
      </c>
      <c r="K108" s="4">
        <f t="shared" si="4"/>
        <v>5425</v>
      </c>
      <c r="L108" s="5">
        <f t="shared" si="5"/>
        <v>1</v>
      </c>
    </row>
    <row r="109" spans="1:12" x14ac:dyDescent="0.3">
      <c r="A109" s="2">
        <v>45842</v>
      </c>
      <c r="B109" t="s">
        <v>24</v>
      </c>
      <c r="C109" t="s">
        <v>103</v>
      </c>
      <c r="E109" t="s">
        <v>14</v>
      </c>
      <c r="F109" t="s">
        <v>18</v>
      </c>
      <c r="G109">
        <v>2</v>
      </c>
      <c r="H109">
        <v>180</v>
      </c>
      <c r="I109" s="4"/>
      <c r="J109" s="11">
        <f t="shared" si="3"/>
        <v>360</v>
      </c>
      <c r="K109" s="4">
        <f t="shared" si="4"/>
        <v>360</v>
      </c>
      <c r="L109" s="5">
        <f t="shared" si="5"/>
        <v>1</v>
      </c>
    </row>
    <row r="110" spans="1:12" x14ac:dyDescent="0.3">
      <c r="A110" s="2">
        <v>45842</v>
      </c>
      <c r="B110" t="s">
        <v>24</v>
      </c>
      <c r="C110" t="s">
        <v>103</v>
      </c>
      <c r="E110" t="s">
        <v>14</v>
      </c>
      <c r="F110" t="s">
        <v>17</v>
      </c>
      <c r="G110">
        <v>1</v>
      </c>
      <c r="H110">
        <v>150</v>
      </c>
      <c r="I110" s="4"/>
      <c r="J110" s="11">
        <f t="shared" si="3"/>
        <v>150</v>
      </c>
      <c r="K110" s="4">
        <f t="shared" si="4"/>
        <v>150</v>
      </c>
      <c r="L110" s="5">
        <f t="shared" si="5"/>
        <v>1</v>
      </c>
    </row>
    <row r="111" spans="1:12" x14ac:dyDescent="0.3">
      <c r="A111" s="2">
        <v>45842</v>
      </c>
      <c r="B111" t="s">
        <v>12</v>
      </c>
      <c r="C111" t="s">
        <v>114</v>
      </c>
      <c r="E111" t="s">
        <v>115</v>
      </c>
      <c r="F111" t="s">
        <v>42</v>
      </c>
      <c r="G111">
        <v>5</v>
      </c>
      <c r="H111">
        <v>950</v>
      </c>
      <c r="I111" s="4"/>
      <c r="J111" s="11">
        <f t="shared" si="3"/>
        <v>4750</v>
      </c>
      <c r="K111" s="4">
        <f t="shared" si="4"/>
        <v>4750</v>
      </c>
      <c r="L111" s="5">
        <f t="shared" si="5"/>
        <v>1</v>
      </c>
    </row>
    <row r="112" spans="1:12" x14ac:dyDescent="0.3">
      <c r="A112" s="2">
        <v>45842</v>
      </c>
      <c r="B112" t="s">
        <v>12</v>
      </c>
      <c r="C112" t="s">
        <v>116</v>
      </c>
      <c r="E112" t="s">
        <v>117</v>
      </c>
      <c r="F112" t="s">
        <v>23</v>
      </c>
      <c r="G112">
        <v>60</v>
      </c>
      <c r="H112">
        <v>65</v>
      </c>
      <c r="I112" s="4"/>
      <c r="J112" s="11">
        <f t="shared" si="3"/>
        <v>3900</v>
      </c>
      <c r="K112" s="4">
        <f t="shared" si="4"/>
        <v>3900</v>
      </c>
      <c r="L112" s="5">
        <f t="shared" si="5"/>
        <v>1</v>
      </c>
    </row>
    <row r="113" spans="1:12" x14ac:dyDescent="0.3">
      <c r="A113" s="2">
        <v>45842</v>
      </c>
      <c r="B113" t="s">
        <v>12</v>
      </c>
      <c r="C113" t="s">
        <v>116</v>
      </c>
      <c r="E113" t="s">
        <v>117</v>
      </c>
      <c r="F113" t="s">
        <v>50</v>
      </c>
      <c r="G113">
        <v>20</v>
      </c>
      <c r="H113">
        <v>65</v>
      </c>
      <c r="I113" s="4"/>
      <c r="J113" s="11">
        <f t="shared" si="3"/>
        <v>1300</v>
      </c>
      <c r="K113" s="4">
        <f t="shared" si="4"/>
        <v>1300</v>
      </c>
      <c r="L113" s="5">
        <f t="shared" si="5"/>
        <v>1</v>
      </c>
    </row>
    <row r="114" spans="1:12" x14ac:dyDescent="0.3">
      <c r="A114" s="2">
        <v>45842</v>
      </c>
      <c r="B114" t="s">
        <v>12</v>
      </c>
      <c r="C114" t="s">
        <v>118</v>
      </c>
      <c r="E114" t="s">
        <v>39</v>
      </c>
      <c r="F114" t="s">
        <v>91</v>
      </c>
      <c r="G114">
        <v>5</v>
      </c>
      <c r="H114">
        <v>345</v>
      </c>
      <c r="I114" s="4"/>
      <c r="J114" s="11">
        <f t="shared" si="3"/>
        <v>1725</v>
      </c>
      <c r="K114" s="4">
        <f t="shared" si="4"/>
        <v>1725</v>
      </c>
      <c r="L114" s="5">
        <f t="shared" si="5"/>
        <v>1</v>
      </c>
    </row>
    <row r="115" spans="1:12" x14ac:dyDescent="0.3">
      <c r="A115" s="2">
        <v>45842</v>
      </c>
      <c r="B115" t="s">
        <v>12</v>
      </c>
      <c r="C115" t="s">
        <v>118</v>
      </c>
      <c r="E115" t="s">
        <v>39</v>
      </c>
      <c r="F115" t="s">
        <v>31</v>
      </c>
      <c r="G115">
        <v>70</v>
      </c>
      <c r="H115">
        <v>45</v>
      </c>
      <c r="I115" s="4"/>
      <c r="J115" s="11">
        <f t="shared" si="3"/>
        <v>3150</v>
      </c>
      <c r="K115" s="4">
        <f t="shared" si="4"/>
        <v>3150</v>
      </c>
      <c r="L115" s="5">
        <f t="shared" si="5"/>
        <v>1</v>
      </c>
    </row>
    <row r="116" spans="1:12" x14ac:dyDescent="0.3">
      <c r="A116" s="2">
        <v>45842</v>
      </c>
      <c r="B116" t="s">
        <v>28</v>
      </c>
      <c r="C116" t="s">
        <v>119</v>
      </c>
      <c r="E116" t="s">
        <v>44</v>
      </c>
      <c r="F116" t="s">
        <v>63</v>
      </c>
      <c r="G116">
        <v>6</v>
      </c>
      <c r="H116">
        <v>470</v>
      </c>
      <c r="I116" s="4"/>
      <c r="J116" s="11">
        <f t="shared" si="3"/>
        <v>2820</v>
      </c>
      <c r="K116" s="4">
        <f t="shared" si="4"/>
        <v>2820</v>
      </c>
      <c r="L116" s="5">
        <f t="shared" si="5"/>
        <v>1</v>
      </c>
    </row>
    <row r="117" spans="1:12" x14ac:dyDescent="0.3">
      <c r="A117" s="2">
        <v>45842</v>
      </c>
      <c r="B117" t="s">
        <v>72</v>
      </c>
      <c r="C117" t="s">
        <v>120</v>
      </c>
      <c r="E117" t="s">
        <v>49</v>
      </c>
      <c r="F117" t="s">
        <v>16</v>
      </c>
      <c r="G117">
        <v>5</v>
      </c>
      <c r="H117">
        <v>290</v>
      </c>
      <c r="I117" s="4"/>
      <c r="J117" s="11">
        <f t="shared" si="3"/>
        <v>1450</v>
      </c>
      <c r="K117" s="4">
        <f t="shared" si="4"/>
        <v>1450</v>
      </c>
      <c r="L117" s="5">
        <f t="shared" si="5"/>
        <v>1</v>
      </c>
    </row>
    <row r="118" spans="1:12" x14ac:dyDescent="0.3">
      <c r="A118" s="2">
        <v>45842</v>
      </c>
      <c r="B118" t="s">
        <v>72</v>
      </c>
      <c r="C118" t="s">
        <v>120</v>
      </c>
      <c r="E118" t="s">
        <v>49</v>
      </c>
      <c r="F118" t="s">
        <v>121</v>
      </c>
      <c r="G118">
        <v>5</v>
      </c>
      <c r="H118">
        <v>335</v>
      </c>
      <c r="I118" s="4"/>
      <c r="J118" s="11">
        <f t="shared" si="3"/>
        <v>1675</v>
      </c>
      <c r="K118" s="4">
        <f t="shared" si="4"/>
        <v>1675</v>
      </c>
      <c r="L118" s="5">
        <f t="shared" si="5"/>
        <v>1</v>
      </c>
    </row>
    <row r="119" spans="1:12" x14ac:dyDescent="0.3">
      <c r="A119" s="2">
        <v>45842</v>
      </c>
      <c r="B119" t="s">
        <v>72</v>
      </c>
      <c r="C119" t="s">
        <v>120</v>
      </c>
      <c r="E119" t="s">
        <v>49</v>
      </c>
      <c r="F119" t="s">
        <v>42</v>
      </c>
      <c r="G119">
        <v>5</v>
      </c>
      <c r="H119">
        <v>680</v>
      </c>
      <c r="I119" s="4"/>
      <c r="J119" s="11">
        <f t="shared" si="3"/>
        <v>3400</v>
      </c>
      <c r="K119" s="4">
        <f t="shared" si="4"/>
        <v>3400</v>
      </c>
      <c r="L119" s="5">
        <f t="shared" si="5"/>
        <v>1</v>
      </c>
    </row>
    <row r="120" spans="1:12" x14ac:dyDescent="0.3">
      <c r="A120" s="2">
        <v>45842</v>
      </c>
      <c r="B120" t="s">
        <v>28</v>
      </c>
      <c r="C120" t="s">
        <v>122</v>
      </c>
      <c r="E120" t="s">
        <v>44</v>
      </c>
      <c r="F120" t="s">
        <v>63</v>
      </c>
      <c r="G120">
        <v>24</v>
      </c>
      <c r="H120">
        <v>566.66</v>
      </c>
      <c r="I120" s="4"/>
      <c r="J120" s="11">
        <f t="shared" si="3"/>
        <v>13599.84</v>
      </c>
      <c r="K120" s="4">
        <f t="shared" si="4"/>
        <v>13599.84</v>
      </c>
      <c r="L120" s="5">
        <f t="shared" si="5"/>
        <v>1</v>
      </c>
    </row>
    <row r="121" spans="1:12" x14ac:dyDescent="0.3">
      <c r="A121" s="2">
        <v>45842</v>
      </c>
      <c r="B121" t="s">
        <v>72</v>
      </c>
      <c r="C121" t="s">
        <v>76</v>
      </c>
      <c r="E121" t="s">
        <v>14</v>
      </c>
      <c r="F121" t="s">
        <v>123</v>
      </c>
      <c r="G121">
        <v>2</v>
      </c>
      <c r="H121">
        <v>99</v>
      </c>
      <c r="I121" s="4"/>
      <c r="J121" s="11">
        <f t="shared" si="3"/>
        <v>198</v>
      </c>
      <c r="K121" s="4">
        <f t="shared" si="4"/>
        <v>198</v>
      </c>
      <c r="L121" s="5">
        <f t="shared" si="5"/>
        <v>1</v>
      </c>
    </row>
    <row r="122" spans="1:12" x14ac:dyDescent="0.3">
      <c r="A122" s="2">
        <v>45842</v>
      </c>
      <c r="B122" t="s">
        <v>72</v>
      </c>
      <c r="C122" t="s">
        <v>76</v>
      </c>
      <c r="E122" t="s">
        <v>14</v>
      </c>
      <c r="F122" t="s">
        <v>124</v>
      </c>
      <c r="G122">
        <v>2</v>
      </c>
      <c r="H122">
        <v>99</v>
      </c>
      <c r="I122" s="4"/>
      <c r="J122" s="11">
        <f t="shared" si="3"/>
        <v>198</v>
      </c>
      <c r="K122" s="4">
        <f t="shared" si="4"/>
        <v>198</v>
      </c>
      <c r="L122" s="5">
        <f t="shared" si="5"/>
        <v>1</v>
      </c>
    </row>
    <row r="123" spans="1:12" x14ac:dyDescent="0.3">
      <c r="A123" s="2">
        <v>45842</v>
      </c>
      <c r="B123" t="s">
        <v>72</v>
      </c>
      <c r="C123" t="s">
        <v>76</v>
      </c>
      <c r="E123" t="s">
        <v>14</v>
      </c>
      <c r="F123" t="s">
        <v>125</v>
      </c>
      <c r="G123">
        <v>2</v>
      </c>
      <c r="H123">
        <v>99</v>
      </c>
      <c r="I123" s="4"/>
      <c r="J123" s="11">
        <f t="shared" si="3"/>
        <v>198</v>
      </c>
      <c r="K123" s="4">
        <f t="shared" si="4"/>
        <v>198</v>
      </c>
      <c r="L123" s="5">
        <f t="shared" si="5"/>
        <v>1</v>
      </c>
    </row>
    <row r="124" spans="1:12" x14ac:dyDescent="0.3">
      <c r="A124" s="2">
        <v>45842</v>
      </c>
      <c r="B124" t="s">
        <v>72</v>
      </c>
      <c r="C124" t="s">
        <v>76</v>
      </c>
      <c r="E124" t="s">
        <v>14</v>
      </c>
      <c r="F124" t="s">
        <v>126</v>
      </c>
      <c r="G124">
        <v>2</v>
      </c>
      <c r="H124">
        <v>99</v>
      </c>
      <c r="I124" s="4"/>
      <c r="J124" s="11">
        <f t="shared" si="3"/>
        <v>198</v>
      </c>
      <c r="K124" s="4">
        <f t="shared" si="4"/>
        <v>198</v>
      </c>
      <c r="L124" s="5">
        <f t="shared" si="5"/>
        <v>1</v>
      </c>
    </row>
    <row r="125" spans="1:12" x14ac:dyDescent="0.3">
      <c r="A125" s="2">
        <v>45842</v>
      </c>
      <c r="B125" t="s">
        <v>72</v>
      </c>
      <c r="C125" t="s">
        <v>76</v>
      </c>
      <c r="E125" t="s">
        <v>14</v>
      </c>
      <c r="F125" t="s">
        <v>18</v>
      </c>
      <c r="G125">
        <v>200</v>
      </c>
      <c r="H125">
        <v>48</v>
      </c>
      <c r="I125" s="4"/>
      <c r="J125" s="11">
        <f t="shared" si="3"/>
        <v>9600</v>
      </c>
      <c r="K125" s="4">
        <f t="shared" si="4"/>
        <v>9600</v>
      </c>
      <c r="L125" s="5">
        <f t="shared" si="5"/>
        <v>1</v>
      </c>
    </row>
    <row r="126" spans="1:12" x14ac:dyDescent="0.3">
      <c r="A126" s="2">
        <v>45842</v>
      </c>
      <c r="B126" t="s">
        <v>72</v>
      </c>
      <c r="C126" t="s">
        <v>76</v>
      </c>
      <c r="E126" t="s">
        <v>14</v>
      </c>
      <c r="F126" t="s">
        <v>127</v>
      </c>
      <c r="G126">
        <v>10</v>
      </c>
      <c r="H126">
        <v>85</v>
      </c>
      <c r="I126" s="4"/>
      <c r="J126" s="11">
        <f t="shared" si="3"/>
        <v>850</v>
      </c>
      <c r="K126" s="4">
        <f t="shared" si="4"/>
        <v>850</v>
      </c>
      <c r="L126" s="5">
        <f t="shared" si="5"/>
        <v>1</v>
      </c>
    </row>
    <row r="127" spans="1:12" x14ac:dyDescent="0.3">
      <c r="A127" s="2">
        <v>45842</v>
      </c>
      <c r="B127" t="s">
        <v>72</v>
      </c>
      <c r="C127" t="s">
        <v>76</v>
      </c>
      <c r="E127" t="s">
        <v>14</v>
      </c>
      <c r="F127" t="s">
        <v>16</v>
      </c>
      <c r="G127">
        <v>50</v>
      </c>
      <c r="H127">
        <v>275</v>
      </c>
      <c r="I127" s="4"/>
      <c r="J127" s="11">
        <f t="shared" si="3"/>
        <v>13750</v>
      </c>
      <c r="K127" s="4">
        <f t="shared" si="4"/>
        <v>13750</v>
      </c>
      <c r="L127" s="5">
        <f t="shared" si="5"/>
        <v>1</v>
      </c>
    </row>
    <row r="128" spans="1:12" x14ac:dyDescent="0.3">
      <c r="A128" s="2">
        <v>45842</v>
      </c>
      <c r="B128" t="s">
        <v>72</v>
      </c>
      <c r="C128" t="s">
        <v>76</v>
      </c>
      <c r="E128" t="s">
        <v>14</v>
      </c>
      <c r="F128" t="s">
        <v>81</v>
      </c>
      <c r="G128">
        <v>10</v>
      </c>
      <c r="H128">
        <v>475</v>
      </c>
      <c r="I128" s="4"/>
      <c r="J128" s="11">
        <f t="shared" si="3"/>
        <v>4750</v>
      </c>
      <c r="K128" s="4">
        <f t="shared" si="4"/>
        <v>4750</v>
      </c>
      <c r="L128" s="5">
        <f t="shared" si="5"/>
        <v>1</v>
      </c>
    </row>
    <row r="129" spans="1:12" x14ac:dyDescent="0.3">
      <c r="A129" s="2">
        <v>45842</v>
      </c>
      <c r="B129" t="s">
        <v>72</v>
      </c>
      <c r="C129" t="s">
        <v>76</v>
      </c>
      <c r="E129" t="s">
        <v>14</v>
      </c>
      <c r="F129" t="s">
        <v>92</v>
      </c>
      <c r="G129">
        <v>50</v>
      </c>
      <c r="H129">
        <v>375</v>
      </c>
      <c r="I129" s="4"/>
      <c r="J129" s="11">
        <f t="shared" si="3"/>
        <v>18750</v>
      </c>
      <c r="K129" s="4">
        <f t="shared" si="4"/>
        <v>18750</v>
      </c>
      <c r="L129" s="5">
        <f t="shared" si="5"/>
        <v>1</v>
      </c>
    </row>
    <row r="130" spans="1:12" x14ac:dyDescent="0.3">
      <c r="A130" s="2">
        <v>45845</v>
      </c>
      <c r="B130" t="s">
        <v>72</v>
      </c>
      <c r="C130" t="s">
        <v>76</v>
      </c>
      <c r="E130" t="s">
        <v>14</v>
      </c>
      <c r="F130" t="s">
        <v>17</v>
      </c>
      <c r="G130">
        <v>200</v>
      </c>
      <c r="H130">
        <v>75</v>
      </c>
      <c r="I130" s="4"/>
      <c r="J130" s="11">
        <f t="shared" ref="J130:J193" si="6">G130*H130</f>
        <v>15000</v>
      </c>
      <c r="K130" s="4">
        <f t="shared" ref="K130:K193" si="7">(H130-I130)*G130</f>
        <v>15000</v>
      </c>
      <c r="L130" s="5">
        <f t="shared" ref="L130:L193" si="8">IF(H130&gt;0,(H130-I130)/H130,0)</f>
        <v>1</v>
      </c>
    </row>
    <row r="131" spans="1:12" x14ac:dyDescent="0.3">
      <c r="A131" s="2">
        <v>45845</v>
      </c>
      <c r="B131" t="s">
        <v>72</v>
      </c>
      <c r="C131" t="s">
        <v>76</v>
      </c>
      <c r="E131" t="s">
        <v>14</v>
      </c>
      <c r="F131" t="s">
        <v>128</v>
      </c>
      <c r="G131">
        <v>50</v>
      </c>
      <c r="H131">
        <v>335</v>
      </c>
      <c r="I131" s="4"/>
      <c r="J131" s="11">
        <f t="shared" si="6"/>
        <v>16750</v>
      </c>
      <c r="K131" s="4">
        <f t="shared" si="7"/>
        <v>16750</v>
      </c>
      <c r="L131" s="5">
        <f t="shared" si="8"/>
        <v>1</v>
      </c>
    </row>
    <row r="132" spans="1:12" x14ac:dyDescent="0.3">
      <c r="A132" s="2">
        <v>45845</v>
      </c>
      <c r="B132" t="s">
        <v>72</v>
      </c>
      <c r="C132" t="s">
        <v>76</v>
      </c>
      <c r="E132" t="s">
        <v>14</v>
      </c>
      <c r="F132" t="s">
        <v>129</v>
      </c>
      <c r="G132">
        <v>30</v>
      </c>
      <c r="H132">
        <v>335</v>
      </c>
      <c r="I132" s="4"/>
      <c r="J132" s="11">
        <f t="shared" si="6"/>
        <v>10050</v>
      </c>
      <c r="K132" s="4">
        <f t="shared" si="7"/>
        <v>10050</v>
      </c>
      <c r="L132" s="5">
        <f t="shared" si="8"/>
        <v>1</v>
      </c>
    </row>
    <row r="133" spans="1:12" x14ac:dyDescent="0.3">
      <c r="A133" s="2">
        <v>45845</v>
      </c>
      <c r="B133" t="s">
        <v>72</v>
      </c>
      <c r="C133" t="s">
        <v>76</v>
      </c>
      <c r="E133" t="s">
        <v>14</v>
      </c>
      <c r="F133" t="s">
        <v>121</v>
      </c>
      <c r="G133">
        <v>30</v>
      </c>
      <c r="H133">
        <v>335</v>
      </c>
      <c r="I133" s="4"/>
      <c r="J133">
        <f t="shared" si="6"/>
        <v>10050</v>
      </c>
      <c r="K133" s="4">
        <f t="shared" si="7"/>
        <v>10050</v>
      </c>
      <c r="L133" s="5">
        <f t="shared" si="8"/>
        <v>1</v>
      </c>
    </row>
    <row r="134" spans="1:12" x14ac:dyDescent="0.3">
      <c r="A134" s="2">
        <v>45845</v>
      </c>
      <c r="B134" t="s">
        <v>12</v>
      </c>
      <c r="C134" t="s">
        <v>116</v>
      </c>
      <c r="E134" t="s">
        <v>117</v>
      </c>
      <c r="F134" t="s">
        <v>50</v>
      </c>
      <c r="G134">
        <v>3</v>
      </c>
      <c r="H134">
        <v>65</v>
      </c>
      <c r="I134" s="4"/>
      <c r="J134">
        <f t="shared" si="6"/>
        <v>195</v>
      </c>
      <c r="K134" s="4">
        <f t="shared" si="7"/>
        <v>195</v>
      </c>
      <c r="L134" s="5">
        <f t="shared" si="8"/>
        <v>1</v>
      </c>
    </row>
    <row r="135" spans="1:12" x14ac:dyDescent="0.3">
      <c r="A135" s="2">
        <v>45845</v>
      </c>
      <c r="B135" t="s">
        <v>12</v>
      </c>
      <c r="C135" t="s">
        <v>116</v>
      </c>
      <c r="E135" t="s">
        <v>117</v>
      </c>
      <c r="F135" t="s">
        <v>31</v>
      </c>
      <c r="G135">
        <v>40</v>
      </c>
      <c r="H135">
        <v>45</v>
      </c>
      <c r="I135" s="4"/>
      <c r="J135">
        <f t="shared" si="6"/>
        <v>1800</v>
      </c>
      <c r="K135" s="4">
        <f t="shared" si="7"/>
        <v>1800</v>
      </c>
      <c r="L135" s="5">
        <f t="shared" si="8"/>
        <v>1</v>
      </c>
    </row>
    <row r="136" spans="1:12" x14ac:dyDescent="0.3">
      <c r="A136" s="2">
        <v>45845</v>
      </c>
      <c r="B136" t="s">
        <v>24</v>
      </c>
      <c r="C136" t="s">
        <v>41</v>
      </c>
      <c r="E136" t="s">
        <v>14</v>
      </c>
      <c r="F136" t="s">
        <v>42</v>
      </c>
      <c r="G136">
        <v>1</v>
      </c>
      <c r="H136">
        <v>675</v>
      </c>
      <c r="I136" s="4"/>
      <c r="J136">
        <f t="shared" si="6"/>
        <v>675</v>
      </c>
      <c r="K136" s="4">
        <f t="shared" si="7"/>
        <v>675</v>
      </c>
      <c r="L136" s="5">
        <f t="shared" si="8"/>
        <v>1</v>
      </c>
    </row>
    <row r="137" spans="1:12" x14ac:dyDescent="0.3">
      <c r="A137" s="2">
        <v>45845</v>
      </c>
      <c r="B137" t="s">
        <v>24</v>
      </c>
      <c r="C137" t="s">
        <v>41</v>
      </c>
      <c r="E137" t="s">
        <v>14</v>
      </c>
      <c r="F137" t="s">
        <v>42</v>
      </c>
      <c r="G137">
        <v>1</v>
      </c>
      <c r="H137">
        <v>675</v>
      </c>
      <c r="I137" s="4"/>
      <c r="J137">
        <f t="shared" si="6"/>
        <v>675</v>
      </c>
      <c r="K137" s="4">
        <f t="shared" si="7"/>
        <v>675</v>
      </c>
      <c r="L137" s="5">
        <f t="shared" si="8"/>
        <v>1</v>
      </c>
    </row>
    <row r="138" spans="1:12" x14ac:dyDescent="0.3">
      <c r="A138" s="2">
        <v>45845</v>
      </c>
      <c r="B138" t="s">
        <v>24</v>
      </c>
      <c r="C138" t="s">
        <v>41</v>
      </c>
      <c r="E138" t="s">
        <v>14</v>
      </c>
      <c r="F138" t="s">
        <v>42</v>
      </c>
      <c r="G138">
        <v>1</v>
      </c>
      <c r="H138">
        <v>675</v>
      </c>
      <c r="I138" s="4"/>
      <c r="J138">
        <f t="shared" si="6"/>
        <v>675</v>
      </c>
      <c r="K138" s="4">
        <f t="shared" si="7"/>
        <v>675</v>
      </c>
      <c r="L138" s="5">
        <f t="shared" si="8"/>
        <v>1</v>
      </c>
    </row>
    <row r="139" spans="1:12" x14ac:dyDescent="0.3">
      <c r="A139" s="2">
        <v>45845</v>
      </c>
      <c r="B139" t="s">
        <v>130</v>
      </c>
      <c r="C139" t="s">
        <v>131</v>
      </c>
      <c r="E139" t="s">
        <v>14</v>
      </c>
      <c r="F139" t="s">
        <v>94</v>
      </c>
      <c r="G139">
        <v>15</v>
      </c>
      <c r="H139">
        <v>540</v>
      </c>
      <c r="I139" s="4"/>
      <c r="J139">
        <f t="shared" si="6"/>
        <v>8100</v>
      </c>
      <c r="K139" s="4">
        <f t="shared" si="7"/>
        <v>8100</v>
      </c>
      <c r="L139" s="5">
        <f t="shared" si="8"/>
        <v>1</v>
      </c>
    </row>
    <row r="140" spans="1:12" x14ac:dyDescent="0.3">
      <c r="A140" s="2">
        <v>45845</v>
      </c>
      <c r="B140" t="s">
        <v>130</v>
      </c>
      <c r="C140" t="s">
        <v>131</v>
      </c>
      <c r="E140" t="s">
        <v>14</v>
      </c>
      <c r="F140" t="s">
        <v>96</v>
      </c>
      <c r="G140">
        <v>5</v>
      </c>
      <c r="H140">
        <v>540</v>
      </c>
      <c r="I140" s="4"/>
      <c r="J140">
        <f t="shared" si="6"/>
        <v>2700</v>
      </c>
      <c r="K140" s="4">
        <f t="shared" si="7"/>
        <v>2700</v>
      </c>
      <c r="L140" s="5">
        <f t="shared" si="8"/>
        <v>1</v>
      </c>
    </row>
    <row r="141" spans="1:12" x14ac:dyDescent="0.3">
      <c r="A141" s="2">
        <v>45845</v>
      </c>
      <c r="B141" t="s">
        <v>130</v>
      </c>
      <c r="C141" t="s">
        <v>131</v>
      </c>
      <c r="E141" t="s">
        <v>14</v>
      </c>
      <c r="F141" t="s">
        <v>132</v>
      </c>
      <c r="G141">
        <v>100</v>
      </c>
      <c r="H141">
        <v>135</v>
      </c>
      <c r="I141" s="4"/>
      <c r="J141">
        <f t="shared" si="6"/>
        <v>13500</v>
      </c>
      <c r="K141" s="4">
        <f t="shared" si="7"/>
        <v>13500</v>
      </c>
      <c r="L141" s="5">
        <f t="shared" si="8"/>
        <v>1</v>
      </c>
    </row>
    <row r="142" spans="1:12" x14ac:dyDescent="0.3">
      <c r="A142" s="2">
        <v>45845</v>
      </c>
      <c r="B142" t="s">
        <v>130</v>
      </c>
      <c r="C142" t="s">
        <v>131</v>
      </c>
      <c r="E142" t="s">
        <v>14</v>
      </c>
      <c r="F142" t="s">
        <v>23</v>
      </c>
      <c r="G142">
        <v>10</v>
      </c>
      <c r="H142">
        <v>52</v>
      </c>
      <c r="I142" s="4"/>
      <c r="J142">
        <f t="shared" si="6"/>
        <v>520</v>
      </c>
      <c r="K142" s="4">
        <f t="shared" si="7"/>
        <v>520</v>
      </c>
      <c r="L142" s="5">
        <f t="shared" si="8"/>
        <v>1</v>
      </c>
    </row>
    <row r="143" spans="1:12" x14ac:dyDescent="0.3">
      <c r="A143" s="2">
        <v>45845</v>
      </c>
      <c r="B143" t="s">
        <v>130</v>
      </c>
      <c r="C143" t="s">
        <v>131</v>
      </c>
      <c r="E143" t="s">
        <v>14</v>
      </c>
      <c r="F143" t="s">
        <v>58</v>
      </c>
      <c r="G143">
        <v>5</v>
      </c>
      <c r="H143">
        <v>64</v>
      </c>
      <c r="I143" s="4"/>
      <c r="J143">
        <f t="shared" si="6"/>
        <v>320</v>
      </c>
      <c r="K143" s="4">
        <f t="shared" si="7"/>
        <v>320</v>
      </c>
      <c r="L143" s="5">
        <f t="shared" si="8"/>
        <v>1</v>
      </c>
    </row>
    <row r="144" spans="1:12" x14ac:dyDescent="0.3">
      <c r="A144" s="2">
        <v>45845</v>
      </c>
      <c r="B144" t="s">
        <v>130</v>
      </c>
      <c r="C144" t="s">
        <v>131</v>
      </c>
      <c r="E144" t="s">
        <v>14</v>
      </c>
      <c r="F144" t="s">
        <v>50</v>
      </c>
      <c r="G144">
        <v>5</v>
      </c>
      <c r="H144">
        <v>52</v>
      </c>
      <c r="I144" s="4"/>
      <c r="J144">
        <f t="shared" si="6"/>
        <v>260</v>
      </c>
      <c r="K144" s="4">
        <f t="shared" si="7"/>
        <v>260</v>
      </c>
      <c r="L144" s="5">
        <f t="shared" si="8"/>
        <v>1</v>
      </c>
    </row>
    <row r="145" spans="1:12" x14ac:dyDescent="0.3">
      <c r="A145" s="2">
        <v>45845</v>
      </c>
      <c r="B145" t="s">
        <v>130</v>
      </c>
      <c r="C145" t="s">
        <v>131</v>
      </c>
      <c r="E145" t="s">
        <v>14</v>
      </c>
      <c r="F145" t="s">
        <v>40</v>
      </c>
      <c r="G145">
        <v>10</v>
      </c>
      <c r="H145">
        <v>64</v>
      </c>
      <c r="I145" s="4"/>
      <c r="J145">
        <f t="shared" si="6"/>
        <v>640</v>
      </c>
      <c r="K145" s="4">
        <f t="shared" si="7"/>
        <v>640</v>
      </c>
      <c r="L145" s="5">
        <f t="shared" si="8"/>
        <v>1</v>
      </c>
    </row>
    <row r="146" spans="1:12" x14ac:dyDescent="0.3">
      <c r="A146" s="2">
        <v>45845</v>
      </c>
      <c r="B146" t="s">
        <v>130</v>
      </c>
      <c r="C146" t="s">
        <v>131</v>
      </c>
      <c r="E146" t="s">
        <v>14</v>
      </c>
      <c r="F146" t="s">
        <v>31</v>
      </c>
      <c r="G146">
        <v>30</v>
      </c>
      <c r="H146">
        <v>43</v>
      </c>
      <c r="I146" s="4"/>
      <c r="J146">
        <f t="shared" si="6"/>
        <v>1290</v>
      </c>
      <c r="K146" s="4">
        <f t="shared" si="7"/>
        <v>1290</v>
      </c>
      <c r="L146" s="5">
        <f t="shared" si="8"/>
        <v>1</v>
      </c>
    </row>
    <row r="147" spans="1:12" x14ac:dyDescent="0.3">
      <c r="A147" s="2">
        <v>45845</v>
      </c>
      <c r="B147" t="s">
        <v>24</v>
      </c>
      <c r="C147" t="s">
        <v>133</v>
      </c>
      <c r="E147" t="s">
        <v>14</v>
      </c>
      <c r="F147" t="s">
        <v>55</v>
      </c>
      <c r="G147">
        <v>2</v>
      </c>
      <c r="H147">
        <v>55</v>
      </c>
      <c r="I147" s="4"/>
      <c r="J147">
        <f t="shared" si="6"/>
        <v>110</v>
      </c>
      <c r="K147" s="4">
        <f t="shared" si="7"/>
        <v>110</v>
      </c>
      <c r="L147" s="5">
        <f t="shared" si="8"/>
        <v>1</v>
      </c>
    </row>
    <row r="148" spans="1:12" x14ac:dyDescent="0.3">
      <c r="A148" s="2">
        <v>45845</v>
      </c>
      <c r="B148" t="s">
        <v>24</v>
      </c>
      <c r="C148" t="s">
        <v>103</v>
      </c>
      <c r="E148" t="s">
        <v>14</v>
      </c>
      <c r="F148" t="s">
        <v>134</v>
      </c>
      <c r="G148">
        <v>1</v>
      </c>
      <c r="H148">
        <v>72</v>
      </c>
      <c r="I148" s="4"/>
      <c r="J148">
        <f t="shared" si="6"/>
        <v>72</v>
      </c>
      <c r="K148" s="4">
        <f t="shared" si="7"/>
        <v>72</v>
      </c>
      <c r="L148" s="5">
        <f t="shared" si="8"/>
        <v>1</v>
      </c>
    </row>
    <row r="149" spans="1:12" x14ac:dyDescent="0.3">
      <c r="A149" s="2">
        <v>45845</v>
      </c>
      <c r="B149" t="s">
        <v>24</v>
      </c>
      <c r="C149" t="s">
        <v>103</v>
      </c>
      <c r="E149" t="s">
        <v>14</v>
      </c>
      <c r="F149" t="s">
        <v>18</v>
      </c>
      <c r="G149">
        <v>1</v>
      </c>
      <c r="H149">
        <v>180</v>
      </c>
      <c r="I149" s="4"/>
      <c r="J149">
        <f t="shared" si="6"/>
        <v>180</v>
      </c>
      <c r="K149" s="4">
        <f t="shared" si="7"/>
        <v>180</v>
      </c>
      <c r="L149" s="5">
        <f t="shared" si="8"/>
        <v>1</v>
      </c>
    </row>
    <row r="150" spans="1:12" x14ac:dyDescent="0.3">
      <c r="A150" s="2">
        <v>45845</v>
      </c>
      <c r="B150" t="s">
        <v>24</v>
      </c>
      <c r="C150" t="s">
        <v>103</v>
      </c>
      <c r="E150" t="s">
        <v>14</v>
      </c>
      <c r="F150" t="s">
        <v>17</v>
      </c>
      <c r="G150">
        <v>2</v>
      </c>
      <c r="H150">
        <v>150</v>
      </c>
      <c r="I150" s="4"/>
      <c r="J150">
        <f t="shared" si="6"/>
        <v>300</v>
      </c>
      <c r="K150" s="4">
        <f t="shared" si="7"/>
        <v>300</v>
      </c>
      <c r="L150" s="5">
        <f t="shared" si="8"/>
        <v>1</v>
      </c>
    </row>
    <row r="151" spans="1:12" x14ac:dyDescent="0.3">
      <c r="A151" s="2">
        <v>45846</v>
      </c>
      <c r="B151" t="s">
        <v>28</v>
      </c>
      <c r="C151" t="s">
        <v>135</v>
      </c>
      <c r="E151" t="s">
        <v>115</v>
      </c>
      <c r="F151" t="s">
        <v>58</v>
      </c>
      <c r="G151">
        <v>50</v>
      </c>
      <c r="H151">
        <v>73.900000000000006</v>
      </c>
      <c r="I151" s="4"/>
      <c r="J151">
        <f t="shared" si="6"/>
        <v>3695.0000000000005</v>
      </c>
      <c r="K151" s="4">
        <f t="shared" si="7"/>
        <v>3695.0000000000005</v>
      </c>
      <c r="L151" s="5">
        <f t="shared" si="8"/>
        <v>1</v>
      </c>
    </row>
    <row r="152" spans="1:12" x14ac:dyDescent="0.3">
      <c r="A152" s="2">
        <v>45846</v>
      </c>
      <c r="B152" t="s">
        <v>28</v>
      </c>
      <c r="C152" t="s">
        <v>135</v>
      </c>
      <c r="E152" t="s">
        <v>115</v>
      </c>
      <c r="F152" t="s">
        <v>40</v>
      </c>
      <c r="G152">
        <v>10</v>
      </c>
      <c r="H152">
        <v>75</v>
      </c>
      <c r="I152" s="4"/>
      <c r="J152">
        <f t="shared" si="6"/>
        <v>750</v>
      </c>
      <c r="K152" s="4">
        <f t="shared" si="7"/>
        <v>750</v>
      </c>
      <c r="L152" s="5">
        <f t="shared" si="8"/>
        <v>1</v>
      </c>
    </row>
    <row r="153" spans="1:12" x14ac:dyDescent="0.3">
      <c r="A153" s="2">
        <v>45846</v>
      </c>
      <c r="B153" t="s">
        <v>37</v>
      </c>
      <c r="C153" t="s">
        <v>99</v>
      </c>
      <c r="E153" t="s">
        <v>79</v>
      </c>
      <c r="F153" t="s">
        <v>63</v>
      </c>
      <c r="G153">
        <v>10</v>
      </c>
      <c r="H153">
        <v>390</v>
      </c>
      <c r="I153" s="4"/>
      <c r="J153">
        <f t="shared" si="6"/>
        <v>3900</v>
      </c>
      <c r="K153" s="4">
        <f t="shared" si="7"/>
        <v>3900</v>
      </c>
      <c r="L153" s="5">
        <f t="shared" si="8"/>
        <v>1</v>
      </c>
    </row>
    <row r="154" spans="1:12" x14ac:dyDescent="0.3">
      <c r="A154" s="2">
        <v>45846</v>
      </c>
      <c r="B154" t="s">
        <v>59</v>
      </c>
      <c r="C154" t="s">
        <v>136</v>
      </c>
      <c r="E154" t="s">
        <v>44</v>
      </c>
      <c r="F154" t="s">
        <v>42</v>
      </c>
      <c r="G154">
        <v>7</v>
      </c>
      <c r="H154">
        <v>775</v>
      </c>
      <c r="I154" s="4"/>
      <c r="J154">
        <f t="shared" si="6"/>
        <v>5425</v>
      </c>
      <c r="K154" s="4">
        <f t="shared" si="7"/>
        <v>5425</v>
      </c>
      <c r="L154" s="5">
        <f t="shared" si="8"/>
        <v>1</v>
      </c>
    </row>
    <row r="155" spans="1:12" x14ac:dyDescent="0.3">
      <c r="A155" s="2">
        <v>45846</v>
      </c>
      <c r="B155" t="s">
        <v>28</v>
      </c>
      <c r="C155" t="s">
        <v>48</v>
      </c>
      <c r="E155" t="s">
        <v>115</v>
      </c>
      <c r="F155" t="s">
        <v>137</v>
      </c>
      <c r="G155">
        <v>50</v>
      </c>
      <c r="H155">
        <v>57</v>
      </c>
      <c r="I155" s="4"/>
      <c r="J155">
        <f t="shared" si="6"/>
        <v>2850</v>
      </c>
      <c r="K155" s="4">
        <f t="shared" si="7"/>
        <v>2850</v>
      </c>
      <c r="L155" s="5">
        <f t="shared" si="8"/>
        <v>1</v>
      </c>
    </row>
    <row r="156" spans="1:12" x14ac:dyDescent="0.3">
      <c r="A156" s="2">
        <v>45846</v>
      </c>
      <c r="B156" t="s">
        <v>28</v>
      </c>
      <c r="C156" t="s">
        <v>138</v>
      </c>
      <c r="E156" t="s">
        <v>49</v>
      </c>
      <c r="F156" t="s">
        <v>139</v>
      </c>
      <c r="G156">
        <v>3</v>
      </c>
      <c r="H156">
        <v>723.5</v>
      </c>
      <c r="I156" s="4"/>
      <c r="J156">
        <f t="shared" si="6"/>
        <v>2170.5</v>
      </c>
      <c r="K156" s="4">
        <f t="shared" si="7"/>
        <v>2170.5</v>
      </c>
      <c r="L156" s="5">
        <f t="shared" si="8"/>
        <v>1</v>
      </c>
    </row>
    <row r="157" spans="1:12" x14ac:dyDescent="0.3">
      <c r="A157" s="2">
        <v>45846</v>
      </c>
      <c r="B157" t="s">
        <v>24</v>
      </c>
      <c r="C157" t="s">
        <v>140</v>
      </c>
      <c r="E157" t="s">
        <v>14</v>
      </c>
      <c r="F157" t="s">
        <v>42</v>
      </c>
      <c r="G157">
        <v>5</v>
      </c>
      <c r="H157">
        <v>980</v>
      </c>
      <c r="I157" s="4"/>
      <c r="J157">
        <f t="shared" si="6"/>
        <v>4900</v>
      </c>
      <c r="K157" s="4">
        <f t="shared" si="7"/>
        <v>4900</v>
      </c>
      <c r="L157" s="5">
        <f t="shared" si="8"/>
        <v>1</v>
      </c>
    </row>
    <row r="158" spans="1:12" x14ac:dyDescent="0.3">
      <c r="A158" s="2">
        <v>45846</v>
      </c>
      <c r="B158" t="s">
        <v>72</v>
      </c>
      <c r="C158" t="s">
        <v>141</v>
      </c>
      <c r="E158" t="s">
        <v>26</v>
      </c>
      <c r="F158" t="s">
        <v>142</v>
      </c>
      <c r="G158">
        <v>11</v>
      </c>
      <c r="H158">
        <v>465</v>
      </c>
      <c r="I158" s="4"/>
      <c r="J158">
        <f t="shared" si="6"/>
        <v>5115</v>
      </c>
      <c r="K158" s="4">
        <f t="shared" si="7"/>
        <v>5115</v>
      </c>
      <c r="L158" s="5">
        <f t="shared" si="8"/>
        <v>1</v>
      </c>
    </row>
    <row r="159" spans="1:12" x14ac:dyDescent="0.3">
      <c r="A159" s="2">
        <v>45846</v>
      </c>
      <c r="B159" t="s">
        <v>28</v>
      </c>
      <c r="C159" t="s">
        <v>138</v>
      </c>
      <c r="E159" t="s">
        <v>49</v>
      </c>
      <c r="F159" t="s">
        <v>42</v>
      </c>
      <c r="G159">
        <v>8</v>
      </c>
      <c r="H159">
        <v>712.5</v>
      </c>
      <c r="I159" s="4"/>
      <c r="J159">
        <f t="shared" si="6"/>
        <v>5700</v>
      </c>
      <c r="K159" s="4">
        <f t="shared" si="7"/>
        <v>5700</v>
      </c>
      <c r="L159" s="5">
        <f t="shared" si="8"/>
        <v>1</v>
      </c>
    </row>
    <row r="160" spans="1:12" x14ac:dyDescent="0.3">
      <c r="A160" s="2">
        <v>45846</v>
      </c>
      <c r="B160" t="s">
        <v>37</v>
      </c>
      <c r="C160" t="s">
        <v>143</v>
      </c>
      <c r="E160" t="s">
        <v>22</v>
      </c>
      <c r="F160" t="s">
        <v>94</v>
      </c>
      <c r="G160">
        <v>12</v>
      </c>
      <c r="H160">
        <v>635</v>
      </c>
      <c r="I160" s="4"/>
      <c r="J160">
        <f t="shared" si="6"/>
        <v>7620</v>
      </c>
      <c r="K160" s="4">
        <f t="shared" si="7"/>
        <v>7620</v>
      </c>
      <c r="L160" s="5">
        <f t="shared" si="8"/>
        <v>1</v>
      </c>
    </row>
    <row r="161" spans="1:12" x14ac:dyDescent="0.3">
      <c r="A161" s="2">
        <v>45846</v>
      </c>
      <c r="B161" t="s">
        <v>37</v>
      </c>
      <c r="C161" t="s">
        <v>143</v>
      </c>
      <c r="E161" t="s">
        <v>22</v>
      </c>
      <c r="F161" t="s">
        <v>95</v>
      </c>
      <c r="G161">
        <v>12</v>
      </c>
      <c r="H161">
        <v>635</v>
      </c>
      <c r="I161" s="4"/>
      <c r="J161">
        <f t="shared" si="6"/>
        <v>7620</v>
      </c>
      <c r="K161" s="4">
        <f t="shared" si="7"/>
        <v>7620</v>
      </c>
      <c r="L161" s="5">
        <f t="shared" si="8"/>
        <v>1</v>
      </c>
    </row>
    <row r="162" spans="1:12" x14ac:dyDescent="0.3">
      <c r="A162" s="2">
        <v>45846</v>
      </c>
      <c r="B162" t="s">
        <v>37</v>
      </c>
      <c r="C162" t="s">
        <v>143</v>
      </c>
      <c r="E162" t="s">
        <v>22</v>
      </c>
      <c r="F162" t="s">
        <v>96</v>
      </c>
      <c r="G162">
        <v>6</v>
      </c>
      <c r="H162">
        <v>635</v>
      </c>
      <c r="I162" s="4"/>
      <c r="J162">
        <f t="shared" si="6"/>
        <v>3810</v>
      </c>
      <c r="K162" s="4">
        <f t="shared" si="7"/>
        <v>3810</v>
      </c>
      <c r="L162" s="5">
        <f t="shared" si="8"/>
        <v>1</v>
      </c>
    </row>
    <row r="163" spans="1:12" x14ac:dyDescent="0.3">
      <c r="A163" s="2">
        <v>45846</v>
      </c>
      <c r="B163" t="s">
        <v>59</v>
      </c>
      <c r="C163" t="s">
        <v>144</v>
      </c>
      <c r="E163" t="s">
        <v>44</v>
      </c>
      <c r="F163" t="s">
        <v>145</v>
      </c>
      <c r="G163">
        <v>1</v>
      </c>
      <c r="H163">
        <v>535</v>
      </c>
      <c r="I163" s="4"/>
      <c r="J163">
        <f t="shared" si="6"/>
        <v>535</v>
      </c>
      <c r="K163" s="4">
        <f t="shared" si="7"/>
        <v>535</v>
      </c>
      <c r="L163" s="5">
        <f t="shared" si="8"/>
        <v>1</v>
      </c>
    </row>
    <row r="164" spans="1:12" x14ac:dyDescent="0.3">
      <c r="A164" s="2">
        <v>45846</v>
      </c>
      <c r="B164" t="s">
        <v>59</v>
      </c>
      <c r="C164" t="s">
        <v>144</v>
      </c>
      <c r="E164" t="s">
        <v>44</v>
      </c>
      <c r="F164" t="s">
        <v>146</v>
      </c>
      <c r="G164">
        <v>1</v>
      </c>
      <c r="H164">
        <v>535</v>
      </c>
      <c r="I164" s="4"/>
      <c r="J164">
        <f t="shared" si="6"/>
        <v>535</v>
      </c>
      <c r="K164" s="4">
        <f t="shared" si="7"/>
        <v>535</v>
      </c>
      <c r="L164" s="5">
        <f t="shared" si="8"/>
        <v>1</v>
      </c>
    </row>
    <row r="165" spans="1:12" x14ac:dyDescent="0.3">
      <c r="A165" s="2">
        <v>45846</v>
      </c>
      <c r="B165" t="s">
        <v>59</v>
      </c>
      <c r="C165" t="s">
        <v>144</v>
      </c>
      <c r="E165" t="s">
        <v>44</v>
      </c>
      <c r="F165" t="s">
        <v>67</v>
      </c>
      <c r="G165">
        <v>1</v>
      </c>
      <c r="H165">
        <v>535</v>
      </c>
      <c r="I165" s="4"/>
      <c r="J165">
        <f t="shared" si="6"/>
        <v>535</v>
      </c>
      <c r="K165" s="4">
        <f t="shared" si="7"/>
        <v>535</v>
      </c>
      <c r="L165" s="5">
        <f t="shared" si="8"/>
        <v>1</v>
      </c>
    </row>
    <row r="166" spans="1:12" x14ac:dyDescent="0.3">
      <c r="A166" s="2">
        <v>45846</v>
      </c>
      <c r="B166" t="s">
        <v>59</v>
      </c>
      <c r="C166" t="s">
        <v>144</v>
      </c>
      <c r="E166" t="s">
        <v>44</v>
      </c>
      <c r="F166" t="s">
        <v>42</v>
      </c>
      <c r="G166">
        <v>10</v>
      </c>
      <c r="H166">
        <v>680</v>
      </c>
      <c r="I166" s="4"/>
      <c r="J166">
        <f t="shared" si="6"/>
        <v>6800</v>
      </c>
      <c r="K166" s="4">
        <f t="shared" si="7"/>
        <v>6800</v>
      </c>
      <c r="L166" s="5">
        <f t="shared" si="8"/>
        <v>1</v>
      </c>
    </row>
    <row r="167" spans="1:12" x14ac:dyDescent="0.3">
      <c r="A167" s="2">
        <v>45846</v>
      </c>
      <c r="B167" t="s">
        <v>59</v>
      </c>
      <c r="C167" t="s">
        <v>144</v>
      </c>
      <c r="E167" t="s">
        <v>44</v>
      </c>
      <c r="F167" t="s">
        <v>89</v>
      </c>
      <c r="G167">
        <v>300</v>
      </c>
      <c r="H167">
        <v>36</v>
      </c>
      <c r="I167" s="4"/>
      <c r="J167">
        <f t="shared" si="6"/>
        <v>10800</v>
      </c>
      <c r="K167" s="4">
        <f t="shared" si="7"/>
        <v>10800</v>
      </c>
      <c r="L167" s="5">
        <f t="shared" si="8"/>
        <v>1</v>
      </c>
    </row>
    <row r="168" spans="1:12" x14ac:dyDescent="0.3">
      <c r="A168" s="2">
        <v>45846</v>
      </c>
      <c r="B168" t="s">
        <v>37</v>
      </c>
      <c r="C168" t="s">
        <v>143</v>
      </c>
      <c r="E168" t="s">
        <v>22</v>
      </c>
      <c r="F168" t="s">
        <v>17</v>
      </c>
      <c r="G168">
        <v>200</v>
      </c>
      <c r="H168">
        <v>60</v>
      </c>
      <c r="I168" s="4"/>
      <c r="J168">
        <f t="shared" si="6"/>
        <v>12000</v>
      </c>
      <c r="K168" s="4">
        <f t="shared" si="7"/>
        <v>12000</v>
      </c>
      <c r="L168" s="5">
        <f t="shared" si="8"/>
        <v>1</v>
      </c>
    </row>
    <row r="169" spans="1:12" x14ac:dyDescent="0.3">
      <c r="A169" s="2">
        <v>45846</v>
      </c>
      <c r="B169" t="s">
        <v>24</v>
      </c>
      <c r="C169" t="s">
        <v>103</v>
      </c>
      <c r="E169" t="s">
        <v>14</v>
      </c>
      <c r="F169" t="s">
        <v>18</v>
      </c>
      <c r="G169">
        <v>1</v>
      </c>
      <c r="H169">
        <v>180</v>
      </c>
      <c r="I169" s="4"/>
      <c r="J169">
        <f t="shared" si="6"/>
        <v>180</v>
      </c>
      <c r="K169" s="4">
        <f t="shared" si="7"/>
        <v>180</v>
      </c>
      <c r="L169" s="5">
        <f t="shared" si="8"/>
        <v>1</v>
      </c>
    </row>
    <row r="170" spans="1:12" x14ac:dyDescent="0.3">
      <c r="A170" s="2">
        <v>45846</v>
      </c>
      <c r="B170" t="s">
        <v>24</v>
      </c>
      <c r="C170" t="s">
        <v>103</v>
      </c>
      <c r="E170" t="s">
        <v>14</v>
      </c>
      <c r="F170" t="s">
        <v>17</v>
      </c>
      <c r="G170">
        <v>1</v>
      </c>
      <c r="H170">
        <v>150</v>
      </c>
      <c r="I170" s="4"/>
      <c r="J170">
        <f t="shared" si="6"/>
        <v>150</v>
      </c>
      <c r="K170" s="4">
        <f t="shared" si="7"/>
        <v>150</v>
      </c>
      <c r="L170" s="5">
        <f t="shared" si="8"/>
        <v>1</v>
      </c>
    </row>
    <row r="171" spans="1:12" x14ac:dyDescent="0.3">
      <c r="A171" s="2">
        <v>45846</v>
      </c>
      <c r="B171" t="s">
        <v>24</v>
      </c>
      <c r="C171" t="s">
        <v>103</v>
      </c>
      <c r="E171" t="s">
        <v>14</v>
      </c>
      <c r="F171" t="s">
        <v>17</v>
      </c>
      <c r="G171">
        <v>1</v>
      </c>
      <c r="H171">
        <v>150</v>
      </c>
      <c r="I171" s="4"/>
      <c r="J171">
        <f t="shared" si="6"/>
        <v>150</v>
      </c>
      <c r="K171" s="4">
        <f t="shared" si="7"/>
        <v>150</v>
      </c>
      <c r="L171" s="5">
        <f t="shared" si="8"/>
        <v>1</v>
      </c>
    </row>
    <row r="172" spans="1:12" x14ac:dyDescent="0.3">
      <c r="A172" s="2">
        <v>45846</v>
      </c>
      <c r="B172" t="s">
        <v>24</v>
      </c>
      <c r="C172" t="s">
        <v>103</v>
      </c>
      <c r="E172" t="s">
        <v>14</v>
      </c>
      <c r="F172" t="s">
        <v>147</v>
      </c>
      <c r="G172">
        <v>1</v>
      </c>
      <c r="H172">
        <v>180</v>
      </c>
      <c r="I172" s="4"/>
      <c r="J172">
        <f t="shared" si="6"/>
        <v>180</v>
      </c>
      <c r="K172" s="4">
        <f t="shared" si="7"/>
        <v>180</v>
      </c>
      <c r="L172" s="5">
        <f t="shared" si="8"/>
        <v>1</v>
      </c>
    </row>
    <row r="173" spans="1:12" x14ac:dyDescent="0.3">
      <c r="A173" s="2">
        <v>45846</v>
      </c>
      <c r="B173" t="s">
        <v>12</v>
      </c>
      <c r="C173" t="s">
        <v>148</v>
      </c>
      <c r="E173" t="s">
        <v>149</v>
      </c>
      <c r="F173" t="s">
        <v>50</v>
      </c>
      <c r="G173">
        <v>5</v>
      </c>
      <c r="H173">
        <v>65</v>
      </c>
      <c r="I173" s="4"/>
      <c r="J173">
        <f t="shared" si="6"/>
        <v>325</v>
      </c>
      <c r="K173" s="4">
        <f t="shared" si="7"/>
        <v>325</v>
      </c>
      <c r="L173" s="5">
        <f t="shared" si="8"/>
        <v>1</v>
      </c>
    </row>
    <row r="174" spans="1:12" x14ac:dyDescent="0.3">
      <c r="A174" s="2">
        <v>45846</v>
      </c>
      <c r="B174" t="s">
        <v>12</v>
      </c>
      <c r="C174" t="s">
        <v>148</v>
      </c>
      <c r="E174" t="s">
        <v>149</v>
      </c>
      <c r="F174" t="s">
        <v>63</v>
      </c>
      <c r="G174">
        <v>3</v>
      </c>
      <c r="H174">
        <v>495</v>
      </c>
      <c r="I174" s="4"/>
      <c r="J174">
        <f t="shared" si="6"/>
        <v>1485</v>
      </c>
      <c r="K174" s="4">
        <f t="shared" si="7"/>
        <v>1485</v>
      </c>
      <c r="L174" s="5">
        <f t="shared" si="8"/>
        <v>1</v>
      </c>
    </row>
    <row r="175" spans="1:12" x14ac:dyDescent="0.3">
      <c r="A175" s="2">
        <v>45848</v>
      </c>
      <c r="B175" t="s">
        <v>12</v>
      </c>
      <c r="C175" t="s">
        <v>56</v>
      </c>
      <c r="E175" t="s">
        <v>14</v>
      </c>
      <c r="F175" t="s">
        <v>42</v>
      </c>
      <c r="G175">
        <v>1</v>
      </c>
      <c r="H175">
        <v>900</v>
      </c>
      <c r="I175" s="4"/>
      <c r="J175">
        <f t="shared" si="6"/>
        <v>900</v>
      </c>
      <c r="K175" s="4">
        <f t="shared" si="7"/>
        <v>900</v>
      </c>
      <c r="L175" s="5">
        <f t="shared" si="8"/>
        <v>1</v>
      </c>
    </row>
    <row r="176" spans="1:12" x14ac:dyDescent="0.3">
      <c r="A176" s="2">
        <v>45848</v>
      </c>
      <c r="B176" t="s">
        <v>12</v>
      </c>
      <c r="C176" t="s">
        <v>118</v>
      </c>
      <c r="E176" t="s">
        <v>35</v>
      </c>
      <c r="F176" t="s">
        <v>63</v>
      </c>
      <c r="G176">
        <v>5</v>
      </c>
      <c r="H176">
        <v>500</v>
      </c>
      <c r="I176" s="4"/>
      <c r="J176">
        <f t="shared" si="6"/>
        <v>2500</v>
      </c>
      <c r="K176" s="4">
        <f t="shared" si="7"/>
        <v>2500</v>
      </c>
      <c r="L176" s="5">
        <f t="shared" si="8"/>
        <v>1</v>
      </c>
    </row>
    <row r="177" spans="1:12" x14ac:dyDescent="0.3">
      <c r="A177" s="2">
        <v>45848</v>
      </c>
      <c r="B177" t="s">
        <v>12</v>
      </c>
      <c r="C177" t="s">
        <v>150</v>
      </c>
      <c r="E177" t="s">
        <v>106</v>
      </c>
      <c r="F177" t="s">
        <v>42</v>
      </c>
      <c r="G177">
        <v>2</v>
      </c>
      <c r="H177">
        <v>950</v>
      </c>
      <c r="I177" s="4"/>
      <c r="J177">
        <f t="shared" si="6"/>
        <v>1900</v>
      </c>
      <c r="K177" s="4">
        <f t="shared" si="7"/>
        <v>1900</v>
      </c>
      <c r="L177" s="5">
        <f t="shared" si="8"/>
        <v>1</v>
      </c>
    </row>
    <row r="178" spans="1:12" x14ac:dyDescent="0.3">
      <c r="A178" s="2">
        <v>45848</v>
      </c>
      <c r="B178" t="s">
        <v>12</v>
      </c>
      <c r="C178" t="s">
        <v>57</v>
      </c>
      <c r="E178" t="s">
        <v>39</v>
      </c>
      <c r="F178" t="s">
        <v>40</v>
      </c>
      <c r="G178">
        <v>10</v>
      </c>
      <c r="H178">
        <v>75</v>
      </c>
      <c r="I178" s="4"/>
      <c r="J178">
        <f t="shared" si="6"/>
        <v>750</v>
      </c>
      <c r="K178" s="4">
        <f t="shared" si="7"/>
        <v>750</v>
      </c>
      <c r="L178" s="5">
        <f t="shared" si="8"/>
        <v>1</v>
      </c>
    </row>
    <row r="179" spans="1:12" x14ac:dyDescent="0.3">
      <c r="A179" s="2">
        <v>45848</v>
      </c>
      <c r="B179" t="s">
        <v>12</v>
      </c>
      <c r="C179" t="s">
        <v>57</v>
      </c>
      <c r="E179" t="s">
        <v>39</v>
      </c>
      <c r="F179" t="s">
        <v>151</v>
      </c>
      <c r="G179">
        <v>2</v>
      </c>
      <c r="H179">
        <v>150</v>
      </c>
      <c r="I179" s="4"/>
      <c r="J179">
        <f t="shared" si="6"/>
        <v>300</v>
      </c>
      <c r="K179" s="4">
        <f t="shared" si="7"/>
        <v>300</v>
      </c>
      <c r="L179" s="5">
        <f t="shared" si="8"/>
        <v>1</v>
      </c>
    </row>
    <row r="180" spans="1:12" x14ac:dyDescent="0.3">
      <c r="A180" s="2">
        <v>45848</v>
      </c>
      <c r="B180" t="s">
        <v>12</v>
      </c>
      <c r="C180" t="s">
        <v>57</v>
      </c>
      <c r="E180" t="s">
        <v>39</v>
      </c>
      <c r="F180" t="s">
        <v>42</v>
      </c>
      <c r="G180">
        <v>1</v>
      </c>
      <c r="H180">
        <v>950</v>
      </c>
      <c r="I180" s="4"/>
      <c r="J180">
        <f t="shared" si="6"/>
        <v>950</v>
      </c>
      <c r="K180" s="4">
        <f t="shared" si="7"/>
        <v>950</v>
      </c>
      <c r="L180" s="5">
        <f t="shared" si="8"/>
        <v>1</v>
      </c>
    </row>
    <row r="181" spans="1:12" x14ac:dyDescent="0.3">
      <c r="A181" s="2">
        <v>45848</v>
      </c>
      <c r="B181" t="s">
        <v>24</v>
      </c>
      <c r="C181" t="s">
        <v>41</v>
      </c>
      <c r="E181" t="s">
        <v>14</v>
      </c>
      <c r="F181" t="s">
        <v>42</v>
      </c>
      <c r="G181">
        <v>1</v>
      </c>
      <c r="H181">
        <v>675</v>
      </c>
      <c r="I181" s="4"/>
      <c r="J181">
        <f t="shared" si="6"/>
        <v>675</v>
      </c>
      <c r="K181" s="4">
        <f t="shared" si="7"/>
        <v>675</v>
      </c>
      <c r="L181" s="5">
        <f t="shared" si="8"/>
        <v>1</v>
      </c>
    </row>
    <row r="182" spans="1:12" x14ac:dyDescent="0.3">
      <c r="A182" s="2">
        <v>45848</v>
      </c>
      <c r="B182" t="s">
        <v>37</v>
      </c>
      <c r="C182" t="s">
        <v>99</v>
      </c>
      <c r="E182" t="s">
        <v>79</v>
      </c>
      <c r="F182" t="s">
        <v>17</v>
      </c>
      <c r="G182">
        <v>-37</v>
      </c>
      <c r="H182">
        <v>70</v>
      </c>
      <c r="I182" s="4"/>
      <c r="J182">
        <f t="shared" si="6"/>
        <v>-2590</v>
      </c>
      <c r="K182" s="4">
        <f t="shared" si="7"/>
        <v>-2590</v>
      </c>
      <c r="L182" s="5">
        <f t="shared" si="8"/>
        <v>1</v>
      </c>
    </row>
    <row r="183" spans="1:12" x14ac:dyDescent="0.3">
      <c r="A183" s="2">
        <v>45848</v>
      </c>
      <c r="B183" t="s">
        <v>37</v>
      </c>
      <c r="C183" t="s">
        <v>99</v>
      </c>
      <c r="E183" t="s">
        <v>79</v>
      </c>
      <c r="F183" t="s">
        <v>100</v>
      </c>
      <c r="G183">
        <v>37</v>
      </c>
      <c r="H183">
        <v>70</v>
      </c>
      <c r="I183" s="4"/>
      <c r="J183">
        <f t="shared" si="6"/>
        <v>2590</v>
      </c>
      <c r="K183" s="4">
        <f t="shared" si="7"/>
        <v>2590</v>
      </c>
      <c r="L183" s="5">
        <f t="shared" si="8"/>
        <v>1</v>
      </c>
    </row>
    <row r="184" spans="1:12" x14ac:dyDescent="0.3">
      <c r="A184" s="2">
        <v>45848</v>
      </c>
      <c r="B184" t="s">
        <v>28</v>
      </c>
      <c r="C184" t="s">
        <v>43</v>
      </c>
      <c r="E184" t="s">
        <v>44</v>
      </c>
      <c r="F184" t="s">
        <v>137</v>
      </c>
      <c r="G184">
        <v>230</v>
      </c>
      <c r="H184">
        <v>55</v>
      </c>
      <c r="I184" s="4"/>
      <c r="J184">
        <f t="shared" si="6"/>
        <v>12650</v>
      </c>
      <c r="K184" s="4">
        <f t="shared" si="7"/>
        <v>12650</v>
      </c>
      <c r="L184" s="5">
        <f t="shared" si="8"/>
        <v>1</v>
      </c>
    </row>
    <row r="185" spans="1:12" x14ac:dyDescent="0.3">
      <c r="A185" s="2">
        <v>45848</v>
      </c>
      <c r="B185" t="s">
        <v>24</v>
      </c>
      <c r="C185" t="s">
        <v>41</v>
      </c>
      <c r="E185" t="s">
        <v>14</v>
      </c>
      <c r="F185" t="s">
        <v>42</v>
      </c>
      <c r="G185">
        <v>1</v>
      </c>
      <c r="H185">
        <v>675</v>
      </c>
      <c r="I185" s="4"/>
      <c r="J185">
        <f t="shared" si="6"/>
        <v>675</v>
      </c>
      <c r="K185" s="4">
        <f t="shared" si="7"/>
        <v>675</v>
      </c>
      <c r="L185" s="5">
        <f t="shared" si="8"/>
        <v>1</v>
      </c>
    </row>
    <row r="186" spans="1:12" x14ac:dyDescent="0.3">
      <c r="A186" s="2">
        <v>45848</v>
      </c>
      <c r="B186" t="s">
        <v>37</v>
      </c>
      <c r="C186" t="s">
        <v>43</v>
      </c>
      <c r="E186" t="s">
        <v>79</v>
      </c>
      <c r="F186" t="s">
        <v>100</v>
      </c>
      <c r="G186">
        <v>-23</v>
      </c>
      <c r="H186">
        <v>122</v>
      </c>
      <c r="I186" s="4"/>
      <c r="J186">
        <f t="shared" si="6"/>
        <v>-2806</v>
      </c>
      <c r="K186" s="4">
        <f t="shared" si="7"/>
        <v>-2806</v>
      </c>
      <c r="L186" s="5">
        <f t="shared" si="8"/>
        <v>1</v>
      </c>
    </row>
    <row r="187" spans="1:12" x14ac:dyDescent="0.3">
      <c r="A187" s="2">
        <v>45848</v>
      </c>
      <c r="B187" t="s">
        <v>97</v>
      </c>
      <c r="C187" t="s">
        <v>152</v>
      </c>
      <c r="E187" t="s">
        <v>14</v>
      </c>
      <c r="F187" t="s">
        <v>31</v>
      </c>
      <c r="G187">
        <v>100</v>
      </c>
      <c r="H187">
        <v>55</v>
      </c>
      <c r="I187" s="4"/>
      <c r="J187">
        <f t="shared" si="6"/>
        <v>5500</v>
      </c>
      <c r="K187" s="4">
        <f t="shared" si="7"/>
        <v>5500</v>
      </c>
      <c r="L187" s="5">
        <f t="shared" si="8"/>
        <v>1</v>
      </c>
    </row>
    <row r="188" spans="1:12" x14ac:dyDescent="0.3">
      <c r="A188" s="2">
        <v>45848</v>
      </c>
      <c r="B188" t="s">
        <v>24</v>
      </c>
      <c r="C188" t="s">
        <v>41</v>
      </c>
      <c r="E188" t="s">
        <v>14</v>
      </c>
      <c r="F188" t="s">
        <v>42</v>
      </c>
      <c r="G188">
        <v>1</v>
      </c>
      <c r="H188">
        <v>675</v>
      </c>
      <c r="I188" s="4"/>
      <c r="J188">
        <f t="shared" si="6"/>
        <v>675</v>
      </c>
      <c r="K188" s="4">
        <f t="shared" si="7"/>
        <v>675</v>
      </c>
      <c r="L188" s="5">
        <f t="shared" si="8"/>
        <v>1</v>
      </c>
    </row>
    <row r="189" spans="1:12" x14ac:dyDescent="0.3">
      <c r="A189" s="2">
        <v>45848</v>
      </c>
      <c r="B189" t="s">
        <v>24</v>
      </c>
      <c r="C189" t="s">
        <v>41</v>
      </c>
      <c r="E189" t="s">
        <v>14</v>
      </c>
      <c r="F189" t="s">
        <v>42</v>
      </c>
      <c r="G189">
        <v>1</v>
      </c>
      <c r="H189">
        <v>675</v>
      </c>
      <c r="I189" s="4"/>
      <c r="J189">
        <f t="shared" si="6"/>
        <v>675</v>
      </c>
      <c r="K189" s="4">
        <f t="shared" si="7"/>
        <v>675</v>
      </c>
      <c r="L189" s="5">
        <f t="shared" si="8"/>
        <v>1</v>
      </c>
    </row>
    <row r="190" spans="1:12" x14ac:dyDescent="0.3">
      <c r="A190" s="2">
        <v>45848</v>
      </c>
      <c r="B190" t="s">
        <v>24</v>
      </c>
      <c r="C190" t="s">
        <v>41</v>
      </c>
      <c r="E190" t="s">
        <v>14</v>
      </c>
      <c r="F190" t="s">
        <v>42</v>
      </c>
      <c r="G190">
        <v>1</v>
      </c>
      <c r="H190">
        <v>675</v>
      </c>
      <c r="I190" s="4"/>
      <c r="J190">
        <f t="shared" si="6"/>
        <v>675</v>
      </c>
      <c r="K190" s="4">
        <f t="shared" si="7"/>
        <v>675</v>
      </c>
      <c r="L190" s="5">
        <f t="shared" si="8"/>
        <v>1</v>
      </c>
    </row>
    <row r="191" spans="1:12" x14ac:dyDescent="0.3">
      <c r="A191" s="2">
        <v>45848</v>
      </c>
      <c r="B191" t="s">
        <v>24</v>
      </c>
      <c r="C191" t="s">
        <v>41</v>
      </c>
      <c r="E191" t="s">
        <v>14</v>
      </c>
      <c r="F191" t="s">
        <v>42</v>
      </c>
      <c r="G191">
        <v>1</v>
      </c>
      <c r="H191">
        <v>675</v>
      </c>
      <c r="I191" s="4"/>
      <c r="J191">
        <f t="shared" si="6"/>
        <v>675</v>
      </c>
      <c r="K191" s="4">
        <f t="shared" si="7"/>
        <v>675</v>
      </c>
      <c r="L191" s="5">
        <f t="shared" si="8"/>
        <v>1</v>
      </c>
    </row>
    <row r="192" spans="1:12" x14ac:dyDescent="0.3">
      <c r="A192" s="2">
        <v>45848</v>
      </c>
      <c r="B192" t="s">
        <v>28</v>
      </c>
      <c r="C192" t="s">
        <v>122</v>
      </c>
      <c r="E192" t="s">
        <v>44</v>
      </c>
      <c r="F192" t="s">
        <v>109</v>
      </c>
      <c r="G192">
        <v>1</v>
      </c>
      <c r="H192">
        <v>400</v>
      </c>
      <c r="I192" s="4"/>
      <c r="J192">
        <f t="shared" si="6"/>
        <v>400</v>
      </c>
      <c r="K192" s="4">
        <f t="shared" si="7"/>
        <v>400</v>
      </c>
      <c r="L192" s="5">
        <f t="shared" si="8"/>
        <v>1</v>
      </c>
    </row>
    <row r="193" spans="1:12" x14ac:dyDescent="0.3">
      <c r="A193" s="2">
        <v>45848</v>
      </c>
      <c r="B193" t="s">
        <v>28</v>
      </c>
      <c r="C193" t="s">
        <v>122</v>
      </c>
      <c r="E193" t="s">
        <v>44</v>
      </c>
      <c r="F193" t="s">
        <v>109</v>
      </c>
      <c r="G193">
        <v>1</v>
      </c>
      <c r="H193">
        <v>400</v>
      </c>
      <c r="I193" s="4"/>
      <c r="J193">
        <f t="shared" si="6"/>
        <v>400</v>
      </c>
      <c r="K193" s="4">
        <f t="shared" si="7"/>
        <v>400</v>
      </c>
      <c r="L193" s="5">
        <f t="shared" si="8"/>
        <v>1</v>
      </c>
    </row>
    <row r="194" spans="1:12" x14ac:dyDescent="0.3">
      <c r="A194" s="2">
        <v>45848</v>
      </c>
      <c r="B194" t="s">
        <v>28</v>
      </c>
      <c r="C194" t="s">
        <v>122</v>
      </c>
      <c r="E194" t="s">
        <v>44</v>
      </c>
      <c r="F194" t="s">
        <v>109</v>
      </c>
      <c r="G194">
        <v>1</v>
      </c>
      <c r="H194">
        <v>400</v>
      </c>
      <c r="I194" s="4"/>
      <c r="J194">
        <f t="shared" ref="J194:J257" si="9">G194*H194</f>
        <v>400</v>
      </c>
      <c r="K194" s="4">
        <f t="shared" ref="K194:K257" si="10">(H194-I194)*G194</f>
        <v>400</v>
      </c>
      <c r="L194" s="5">
        <f t="shared" ref="L194:L257" si="11">IF(H194&gt;0,(H194-I194)/H194,0)</f>
        <v>1</v>
      </c>
    </row>
    <row r="195" spans="1:12" x14ac:dyDescent="0.3">
      <c r="A195" s="2">
        <v>45848</v>
      </c>
      <c r="B195" t="s">
        <v>37</v>
      </c>
      <c r="C195" t="s">
        <v>153</v>
      </c>
      <c r="E195" t="s">
        <v>154</v>
      </c>
      <c r="F195" t="s">
        <v>42</v>
      </c>
      <c r="G195">
        <v>12</v>
      </c>
      <c r="H195">
        <v>1641.25</v>
      </c>
      <c r="I195" s="4"/>
      <c r="J195">
        <f t="shared" si="9"/>
        <v>19695</v>
      </c>
      <c r="K195" s="4">
        <f t="shared" si="10"/>
        <v>19695</v>
      </c>
      <c r="L195" s="5">
        <f t="shared" si="11"/>
        <v>1</v>
      </c>
    </row>
    <row r="196" spans="1:12" x14ac:dyDescent="0.3">
      <c r="A196" s="2">
        <v>45848</v>
      </c>
      <c r="B196" t="s">
        <v>37</v>
      </c>
      <c r="C196" t="s">
        <v>153</v>
      </c>
      <c r="E196" t="s">
        <v>154</v>
      </c>
      <c r="F196" t="s">
        <v>42</v>
      </c>
      <c r="G196">
        <v>16</v>
      </c>
      <c r="H196">
        <v>1923.33</v>
      </c>
      <c r="I196" s="4"/>
      <c r="J196">
        <f t="shared" si="9"/>
        <v>30773.279999999999</v>
      </c>
      <c r="K196" s="4">
        <f t="shared" si="10"/>
        <v>30773.279999999999</v>
      </c>
      <c r="L196" s="5">
        <f t="shared" si="11"/>
        <v>1</v>
      </c>
    </row>
    <row r="197" spans="1:12" x14ac:dyDescent="0.3">
      <c r="A197" s="2">
        <v>45848</v>
      </c>
      <c r="B197" t="s">
        <v>37</v>
      </c>
      <c r="C197" t="s">
        <v>155</v>
      </c>
      <c r="E197" t="s">
        <v>117</v>
      </c>
      <c r="F197" t="s">
        <v>63</v>
      </c>
      <c r="G197">
        <v>20</v>
      </c>
      <c r="H197">
        <v>530</v>
      </c>
      <c r="I197" s="4"/>
      <c r="J197">
        <f t="shared" si="9"/>
        <v>10600</v>
      </c>
      <c r="K197" s="4">
        <f t="shared" si="10"/>
        <v>10600</v>
      </c>
      <c r="L197" s="5">
        <f t="shared" si="11"/>
        <v>1</v>
      </c>
    </row>
    <row r="198" spans="1:12" x14ac:dyDescent="0.3">
      <c r="A198" s="2">
        <v>45848</v>
      </c>
      <c r="B198" t="s">
        <v>37</v>
      </c>
      <c r="C198" t="s">
        <v>43</v>
      </c>
      <c r="E198" t="s">
        <v>79</v>
      </c>
      <c r="F198" t="s">
        <v>100</v>
      </c>
      <c r="G198">
        <v>23</v>
      </c>
      <c r="H198">
        <v>122</v>
      </c>
      <c r="I198" s="4"/>
      <c r="J198">
        <f t="shared" si="9"/>
        <v>2806</v>
      </c>
      <c r="K198" s="4">
        <f t="shared" si="10"/>
        <v>2806</v>
      </c>
      <c r="L198" s="5">
        <f t="shared" si="11"/>
        <v>1</v>
      </c>
    </row>
    <row r="199" spans="1:12" x14ac:dyDescent="0.3">
      <c r="A199" s="2">
        <v>45848</v>
      </c>
      <c r="B199" t="s">
        <v>72</v>
      </c>
      <c r="C199" t="s">
        <v>156</v>
      </c>
      <c r="E199" t="s">
        <v>35</v>
      </c>
      <c r="F199" t="s">
        <v>17</v>
      </c>
      <c r="G199">
        <v>62</v>
      </c>
      <c r="H199">
        <v>75</v>
      </c>
      <c r="I199" s="4"/>
      <c r="J199">
        <f t="shared" si="9"/>
        <v>4650</v>
      </c>
      <c r="K199" s="4">
        <f t="shared" si="10"/>
        <v>4650</v>
      </c>
      <c r="L199" s="5">
        <f t="shared" si="11"/>
        <v>1</v>
      </c>
    </row>
    <row r="200" spans="1:12" x14ac:dyDescent="0.3">
      <c r="A200" s="2">
        <v>45848</v>
      </c>
      <c r="B200" t="s">
        <v>72</v>
      </c>
      <c r="C200" t="s">
        <v>156</v>
      </c>
      <c r="E200" t="s">
        <v>35</v>
      </c>
      <c r="F200" t="s">
        <v>63</v>
      </c>
      <c r="G200">
        <v>1</v>
      </c>
      <c r="H200">
        <v>365</v>
      </c>
      <c r="I200" s="4"/>
      <c r="J200">
        <f t="shared" si="9"/>
        <v>365</v>
      </c>
      <c r="K200" s="4">
        <f t="shared" si="10"/>
        <v>365</v>
      </c>
      <c r="L200" s="5">
        <f t="shared" si="11"/>
        <v>1</v>
      </c>
    </row>
    <row r="201" spans="1:12" x14ac:dyDescent="0.3">
      <c r="A201" s="2">
        <v>45848</v>
      </c>
      <c r="B201" t="s">
        <v>28</v>
      </c>
      <c r="C201" t="s">
        <v>157</v>
      </c>
      <c r="E201" t="s">
        <v>44</v>
      </c>
      <c r="F201" t="s">
        <v>137</v>
      </c>
      <c r="G201">
        <v>20</v>
      </c>
      <c r="H201">
        <v>70</v>
      </c>
      <c r="I201" s="4"/>
      <c r="J201">
        <f t="shared" si="9"/>
        <v>1400</v>
      </c>
      <c r="K201" s="4">
        <f t="shared" si="10"/>
        <v>1400</v>
      </c>
      <c r="L201" s="5">
        <f t="shared" si="11"/>
        <v>1</v>
      </c>
    </row>
    <row r="202" spans="1:12" x14ac:dyDescent="0.3">
      <c r="A202" s="2">
        <v>45848</v>
      </c>
      <c r="B202" t="s">
        <v>72</v>
      </c>
      <c r="C202" t="s">
        <v>84</v>
      </c>
      <c r="E202" t="s">
        <v>85</v>
      </c>
      <c r="F202" t="s">
        <v>40</v>
      </c>
      <c r="G202">
        <v>10</v>
      </c>
      <c r="H202">
        <v>64</v>
      </c>
      <c r="I202" s="4"/>
      <c r="J202">
        <f t="shared" si="9"/>
        <v>640</v>
      </c>
      <c r="K202" s="4">
        <f t="shared" si="10"/>
        <v>640</v>
      </c>
      <c r="L202" s="5">
        <f t="shared" si="11"/>
        <v>1</v>
      </c>
    </row>
    <row r="203" spans="1:12" x14ac:dyDescent="0.3">
      <c r="A203" s="2">
        <v>45848</v>
      </c>
      <c r="B203" t="s">
        <v>72</v>
      </c>
      <c r="C203" t="s">
        <v>84</v>
      </c>
      <c r="E203" t="s">
        <v>85</v>
      </c>
      <c r="F203" t="s">
        <v>137</v>
      </c>
      <c r="G203">
        <v>20</v>
      </c>
      <c r="H203">
        <v>52</v>
      </c>
      <c r="I203" s="4"/>
      <c r="J203">
        <f t="shared" si="9"/>
        <v>1040</v>
      </c>
      <c r="K203" s="4">
        <f t="shared" si="10"/>
        <v>1040</v>
      </c>
      <c r="L203" s="5">
        <f t="shared" si="11"/>
        <v>1</v>
      </c>
    </row>
    <row r="204" spans="1:12" x14ac:dyDescent="0.3">
      <c r="A204" s="2">
        <v>45848</v>
      </c>
      <c r="B204" t="s">
        <v>72</v>
      </c>
      <c r="C204" t="s">
        <v>84</v>
      </c>
      <c r="E204" t="s">
        <v>85</v>
      </c>
      <c r="F204" t="s">
        <v>90</v>
      </c>
      <c r="G204">
        <v>5</v>
      </c>
      <c r="H204">
        <v>270</v>
      </c>
      <c r="I204" s="4"/>
      <c r="J204">
        <f t="shared" si="9"/>
        <v>1350</v>
      </c>
      <c r="K204" s="4">
        <f t="shared" si="10"/>
        <v>1350</v>
      </c>
      <c r="L204" s="5">
        <f t="shared" si="11"/>
        <v>1</v>
      </c>
    </row>
    <row r="205" spans="1:12" x14ac:dyDescent="0.3">
      <c r="A205" s="2">
        <v>45848</v>
      </c>
      <c r="B205" t="s">
        <v>72</v>
      </c>
      <c r="C205" t="s">
        <v>84</v>
      </c>
      <c r="E205" t="s">
        <v>85</v>
      </c>
      <c r="F205" t="s">
        <v>17</v>
      </c>
      <c r="G205">
        <v>20</v>
      </c>
      <c r="H205">
        <v>84</v>
      </c>
      <c r="I205" s="4"/>
      <c r="J205">
        <f t="shared" si="9"/>
        <v>1680</v>
      </c>
      <c r="K205" s="4">
        <f t="shared" si="10"/>
        <v>1680</v>
      </c>
      <c r="L205" s="5">
        <f t="shared" si="11"/>
        <v>1</v>
      </c>
    </row>
    <row r="206" spans="1:12" x14ac:dyDescent="0.3">
      <c r="A206" s="2">
        <v>45848</v>
      </c>
      <c r="B206" t="s">
        <v>72</v>
      </c>
      <c r="C206" t="s">
        <v>84</v>
      </c>
      <c r="E206" t="s">
        <v>85</v>
      </c>
      <c r="F206" t="s">
        <v>31</v>
      </c>
      <c r="G206">
        <v>50</v>
      </c>
      <c r="H206">
        <v>43</v>
      </c>
      <c r="I206" s="4"/>
      <c r="J206">
        <f t="shared" si="9"/>
        <v>2150</v>
      </c>
      <c r="K206" s="4">
        <f t="shared" si="10"/>
        <v>2150</v>
      </c>
      <c r="L206" s="5">
        <f t="shared" si="11"/>
        <v>1</v>
      </c>
    </row>
    <row r="207" spans="1:12" x14ac:dyDescent="0.3">
      <c r="A207" s="2">
        <v>45848</v>
      </c>
      <c r="B207" t="s">
        <v>72</v>
      </c>
      <c r="C207" t="s">
        <v>84</v>
      </c>
      <c r="E207" t="s">
        <v>85</v>
      </c>
      <c r="F207" t="s">
        <v>42</v>
      </c>
      <c r="G207">
        <v>6</v>
      </c>
      <c r="H207">
        <v>680</v>
      </c>
      <c r="I207" s="4"/>
      <c r="J207">
        <f t="shared" si="9"/>
        <v>4080</v>
      </c>
      <c r="K207" s="4">
        <f t="shared" si="10"/>
        <v>4080</v>
      </c>
      <c r="L207" s="5">
        <f t="shared" si="11"/>
        <v>1</v>
      </c>
    </row>
    <row r="208" spans="1:12" x14ac:dyDescent="0.3">
      <c r="A208" s="2">
        <v>45849</v>
      </c>
      <c r="B208" t="s">
        <v>28</v>
      </c>
      <c r="C208" t="s">
        <v>158</v>
      </c>
      <c r="E208" t="s">
        <v>85</v>
      </c>
      <c r="F208" t="s">
        <v>42</v>
      </c>
      <c r="G208">
        <v>4</v>
      </c>
      <c r="H208">
        <v>630</v>
      </c>
      <c r="I208" s="4"/>
      <c r="J208">
        <f t="shared" si="9"/>
        <v>2520</v>
      </c>
      <c r="K208" s="4">
        <f t="shared" si="10"/>
        <v>2520</v>
      </c>
      <c r="L208" s="5">
        <f t="shared" si="11"/>
        <v>1</v>
      </c>
    </row>
    <row r="209" spans="1:12" x14ac:dyDescent="0.3">
      <c r="A209" s="2">
        <v>45849</v>
      </c>
      <c r="B209" t="s">
        <v>28</v>
      </c>
      <c r="C209" t="s">
        <v>48</v>
      </c>
      <c r="E209" t="s">
        <v>115</v>
      </c>
      <c r="F209" t="s">
        <v>18</v>
      </c>
      <c r="G209">
        <v>10</v>
      </c>
      <c r="H209">
        <v>55</v>
      </c>
      <c r="I209" s="4"/>
      <c r="J209">
        <f t="shared" si="9"/>
        <v>550</v>
      </c>
      <c r="K209" s="4">
        <f t="shared" si="10"/>
        <v>550</v>
      </c>
      <c r="L209" s="5">
        <f t="shared" si="11"/>
        <v>1</v>
      </c>
    </row>
    <row r="210" spans="1:12" x14ac:dyDescent="0.3">
      <c r="A210" s="2">
        <v>45849</v>
      </c>
      <c r="B210" t="s">
        <v>28</v>
      </c>
      <c r="C210" t="s">
        <v>43</v>
      </c>
      <c r="E210" t="s">
        <v>85</v>
      </c>
      <c r="F210" t="s">
        <v>55</v>
      </c>
      <c r="G210">
        <v>100</v>
      </c>
      <c r="H210">
        <v>53</v>
      </c>
      <c r="I210" s="4"/>
      <c r="J210">
        <f t="shared" si="9"/>
        <v>5300</v>
      </c>
      <c r="K210" s="4">
        <f t="shared" si="10"/>
        <v>5300</v>
      </c>
      <c r="L210" s="5">
        <f t="shared" si="11"/>
        <v>1</v>
      </c>
    </row>
    <row r="211" spans="1:12" x14ac:dyDescent="0.3">
      <c r="A211" s="2">
        <v>45849</v>
      </c>
      <c r="B211" t="s">
        <v>12</v>
      </c>
      <c r="C211" t="s">
        <v>159</v>
      </c>
      <c r="E211" t="s">
        <v>14</v>
      </c>
      <c r="F211" t="s">
        <v>137</v>
      </c>
      <c r="G211">
        <v>10</v>
      </c>
      <c r="H211">
        <v>65</v>
      </c>
      <c r="I211" s="4"/>
      <c r="J211">
        <f t="shared" si="9"/>
        <v>650</v>
      </c>
      <c r="K211" s="4">
        <f t="shared" si="10"/>
        <v>650</v>
      </c>
      <c r="L211" s="5">
        <f t="shared" si="11"/>
        <v>1</v>
      </c>
    </row>
    <row r="212" spans="1:12" x14ac:dyDescent="0.3">
      <c r="A212" s="2">
        <v>45849</v>
      </c>
      <c r="B212" t="s">
        <v>24</v>
      </c>
      <c r="C212" t="s">
        <v>160</v>
      </c>
      <c r="E212" t="s">
        <v>14</v>
      </c>
      <c r="F212" t="s">
        <v>31</v>
      </c>
      <c r="G212">
        <v>10</v>
      </c>
      <c r="H212">
        <v>45</v>
      </c>
      <c r="I212" s="4"/>
      <c r="J212">
        <f t="shared" si="9"/>
        <v>450</v>
      </c>
      <c r="K212" s="4">
        <f t="shared" si="10"/>
        <v>450</v>
      </c>
      <c r="L212" s="5">
        <f t="shared" si="11"/>
        <v>1</v>
      </c>
    </row>
    <row r="213" spans="1:12" x14ac:dyDescent="0.3">
      <c r="A213" s="2">
        <v>45849</v>
      </c>
      <c r="B213" t="s">
        <v>24</v>
      </c>
      <c r="C213" t="s">
        <v>56</v>
      </c>
      <c r="E213" t="s">
        <v>49</v>
      </c>
      <c r="F213" t="s">
        <v>82</v>
      </c>
      <c r="G213">
        <v>20</v>
      </c>
      <c r="H213">
        <v>425</v>
      </c>
      <c r="I213" s="4"/>
      <c r="J213">
        <f t="shared" si="9"/>
        <v>8500</v>
      </c>
      <c r="K213" s="4">
        <f t="shared" si="10"/>
        <v>8500</v>
      </c>
      <c r="L213" s="5">
        <f t="shared" si="11"/>
        <v>1</v>
      </c>
    </row>
    <row r="214" spans="1:12" x14ac:dyDescent="0.3">
      <c r="A214" s="2">
        <v>45849</v>
      </c>
      <c r="B214" t="s">
        <v>37</v>
      </c>
      <c r="C214" t="s">
        <v>161</v>
      </c>
      <c r="E214" t="s">
        <v>162</v>
      </c>
      <c r="F214" t="s">
        <v>91</v>
      </c>
      <c r="G214">
        <v>24</v>
      </c>
      <c r="H214">
        <v>340</v>
      </c>
      <c r="I214" s="4"/>
      <c r="J214">
        <f t="shared" si="9"/>
        <v>8160</v>
      </c>
      <c r="K214" s="4">
        <f t="shared" si="10"/>
        <v>8160</v>
      </c>
      <c r="L214" s="5">
        <f t="shared" si="11"/>
        <v>1</v>
      </c>
    </row>
    <row r="215" spans="1:12" x14ac:dyDescent="0.3">
      <c r="A215" s="2">
        <v>45849</v>
      </c>
      <c r="B215" t="s">
        <v>37</v>
      </c>
      <c r="C215" t="s">
        <v>99</v>
      </c>
      <c r="E215" t="s">
        <v>79</v>
      </c>
      <c r="F215" t="s">
        <v>17</v>
      </c>
      <c r="G215">
        <v>2</v>
      </c>
      <c r="H215">
        <v>80</v>
      </c>
      <c r="I215" s="4"/>
      <c r="J215">
        <f t="shared" si="9"/>
        <v>160</v>
      </c>
      <c r="K215" s="4">
        <f t="shared" si="10"/>
        <v>160</v>
      </c>
      <c r="L215" s="5">
        <f t="shared" si="11"/>
        <v>1</v>
      </c>
    </row>
    <row r="216" spans="1:12" x14ac:dyDescent="0.3">
      <c r="A216" s="2">
        <v>45849</v>
      </c>
      <c r="B216" t="s">
        <v>59</v>
      </c>
      <c r="C216" t="s">
        <v>163</v>
      </c>
      <c r="E216" t="s">
        <v>30</v>
      </c>
      <c r="F216" t="s">
        <v>81</v>
      </c>
      <c r="G216">
        <v>24</v>
      </c>
      <c r="H216">
        <v>490</v>
      </c>
      <c r="I216" s="4"/>
      <c r="J216">
        <f t="shared" si="9"/>
        <v>11760</v>
      </c>
      <c r="K216" s="4">
        <f t="shared" si="10"/>
        <v>11760</v>
      </c>
      <c r="L216" s="5">
        <f t="shared" si="11"/>
        <v>1</v>
      </c>
    </row>
    <row r="217" spans="1:12" x14ac:dyDescent="0.3">
      <c r="A217" s="2">
        <v>45849</v>
      </c>
      <c r="B217" t="s">
        <v>37</v>
      </c>
      <c r="C217" t="s">
        <v>164</v>
      </c>
      <c r="E217" t="s">
        <v>106</v>
      </c>
      <c r="F217" t="s">
        <v>17</v>
      </c>
      <c r="G217">
        <v>1</v>
      </c>
      <c r="H217">
        <v>110</v>
      </c>
      <c r="I217" s="4"/>
      <c r="J217">
        <f t="shared" si="9"/>
        <v>110</v>
      </c>
      <c r="K217" s="4">
        <f t="shared" si="10"/>
        <v>110</v>
      </c>
      <c r="L217" s="5">
        <f t="shared" si="11"/>
        <v>1</v>
      </c>
    </row>
    <row r="218" spans="1:12" x14ac:dyDescent="0.3">
      <c r="A218" s="2">
        <v>45849</v>
      </c>
      <c r="B218" t="s">
        <v>37</v>
      </c>
      <c r="C218" t="s">
        <v>164</v>
      </c>
      <c r="E218" t="s">
        <v>106</v>
      </c>
      <c r="F218" t="s">
        <v>17</v>
      </c>
      <c r="G218">
        <v>1</v>
      </c>
      <c r="H218">
        <v>110</v>
      </c>
      <c r="I218" s="4"/>
      <c r="J218">
        <f t="shared" si="9"/>
        <v>110</v>
      </c>
      <c r="K218" s="4">
        <f t="shared" si="10"/>
        <v>110</v>
      </c>
      <c r="L218" s="5">
        <f t="shared" si="11"/>
        <v>1</v>
      </c>
    </row>
    <row r="219" spans="1:12" x14ac:dyDescent="0.3">
      <c r="A219" s="2">
        <v>45849</v>
      </c>
      <c r="B219" t="s">
        <v>24</v>
      </c>
      <c r="C219" t="s">
        <v>165</v>
      </c>
      <c r="E219" t="s">
        <v>14</v>
      </c>
      <c r="F219" t="s">
        <v>42</v>
      </c>
      <c r="G219">
        <v>65</v>
      </c>
      <c r="H219">
        <v>675</v>
      </c>
      <c r="I219" s="4"/>
      <c r="J219">
        <f t="shared" si="9"/>
        <v>43875</v>
      </c>
      <c r="K219" s="4">
        <f t="shared" si="10"/>
        <v>43875</v>
      </c>
      <c r="L219" s="5">
        <f t="shared" si="11"/>
        <v>1</v>
      </c>
    </row>
    <row r="220" spans="1:12" x14ac:dyDescent="0.3">
      <c r="A220" s="2">
        <v>45849</v>
      </c>
      <c r="B220" t="s">
        <v>37</v>
      </c>
      <c r="C220" t="s">
        <v>164</v>
      </c>
      <c r="E220" t="s">
        <v>106</v>
      </c>
      <c r="F220" t="s">
        <v>17</v>
      </c>
      <c r="G220">
        <v>1</v>
      </c>
      <c r="H220">
        <v>110</v>
      </c>
      <c r="I220" s="4"/>
      <c r="J220">
        <f t="shared" si="9"/>
        <v>110</v>
      </c>
      <c r="K220" s="4">
        <f t="shared" si="10"/>
        <v>110</v>
      </c>
      <c r="L220" s="5">
        <f t="shared" si="11"/>
        <v>1</v>
      </c>
    </row>
    <row r="221" spans="1:12" x14ac:dyDescent="0.3">
      <c r="A221" s="2">
        <v>45849</v>
      </c>
      <c r="B221" t="s">
        <v>37</v>
      </c>
      <c r="C221" t="s">
        <v>164</v>
      </c>
      <c r="E221" t="s">
        <v>106</v>
      </c>
      <c r="F221" t="s">
        <v>166</v>
      </c>
      <c r="G221">
        <v>1</v>
      </c>
      <c r="H221">
        <v>170</v>
      </c>
      <c r="I221" s="4"/>
      <c r="J221">
        <f t="shared" si="9"/>
        <v>170</v>
      </c>
      <c r="K221" s="4">
        <f t="shared" si="10"/>
        <v>170</v>
      </c>
      <c r="L221" s="5">
        <f t="shared" si="11"/>
        <v>1</v>
      </c>
    </row>
    <row r="222" spans="1:12" x14ac:dyDescent="0.3">
      <c r="A222" s="2">
        <v>45849</v>
      </c>
      <c r="B222" t="s">
        <v>37</v>
      </c>
      <c r="C222" t="s">
        <v>164</v>
      </c>
      <c r="E222" t="s">
        <v>106</v>
      </c>
      <c r="F222" t="s">
        <v>17</v>
      </c>
      <c r="G222">
        <v>1</v>
      </c>
      <c r="H222">
        <v>110</v>
      </c>
      <c r="I222" s="4"/>
      <c r="J222">
        <f t="shared" si="9"/>
        <v>110</v>
      </c>
      <c r="K222" s="4">
        <f t="shared" si="10"/>
        <v>110</v>
      </c>
      <c r="L222" s="5">
        <f t="shared" si="11"/>
        <v>1</v>
      </c>
    </row>
    <row r="223" spans="1:12" x14ac:dyDescent="0.3">
      <c r="A223" s="2">
        <v>45849</v>
      </c>
      <c r="B223" t="s">
        <v>37</v>
      </c>
      <c r="C223" t="s">
        <v>164</v>
      </c>
      <c r="E223" t="s">
        <v>106</v>
      </c>
      <c r="F223" t="s">
        <v>166</v>
      </c>
      <c r="G223">
        <v>1</v>
      </c>
      <c r="H223">
        <v>170</v>
      </c>
      <c r="I223" s="4"/>
      <c r="J223">
        <f t="shared" si="9"/>
        <v>170</v>
      </c>
      <c r="K223" s="4">
        <f t="shared" si="10"/>
        <v>170</v>
      </c>
      <c r="L223" s="5">
        <f t="shared" si="11"/>
        <v>1</v>
      </c>
    </row>
    <row r="224" spans="1:12" x14ac:dyDescent="0.3">
      <c r="A224" s="2">
        <v>45849</v>
      </c>
      <c r="B224" t="s">
        <v>37</v>
      </c>
      <c r="C224" t="s">
        <v>164</v>
      </c>
      <c r="E224" t="s">
        <v>106</v>
      </c>
      <c r="F224" t="s">
        <v>166</v>
      </c>
      <c r="G224">
        <v>2</v>
      </c>
      <c r="H224">
        <v>170</v>
      </c>
      <c r="I224" s="4"/>
      <c r="J224">
        <f t="shared" si="9"/>
        <v>340</v>
      </c>
      <c r="K224" s="4">
        <f t="shared" si="10"/>
        <v>340</v>
      </c>
      <c r="L224" s="5">
        <f t="shared" si="11"/>
        <v>1</v>
      </c>
    </row>
    <row r="225" spans="1:12" x14ac:dyDescent="0.3">
      <c r="A225" s="2">
        <v>45849</v>
      </c>
      <c r="B225" t="s">
        <v>37</v>
      </c>
      <c r="C225" t="s">
        <v>164</v>
      </c>
      <c r="E225" t="s">
        <v>106</v>
      </c>
      <c r="F225" t="s">
        <v>17</v>
      </c>
      <c r="G225">
        <v>1</v>
      </c>
      <c r="H225">
        <v>110</v>
      </c>
      <c r="I225" s="4"/>
      <c r="J225">
        <f t="shared" si="9"/>
        <v>110</v>
      </c>
      <c r="K225" s="4">
        <f t="shared" si="10"/>
        <v>110</v>
      </c>
      <c r="L225" s="5">
        <f t="shared" si="11"/>
        <v>1</v>
      </c>
    </row>
    <row r="226" spans="1:12" x14ac:dyDescent="0.3">
      <c r="A226" s="2">
        <v>45849</v>
      </c>
      <c r="B226" t="s">
        <v>37</v>
      </c>
      <c r="C226" t="s">
        <v>164</v>
      </c>
      <c r="E226" t="s">
        <v>106</v>
      </c>
      <c r="F226" t="s">
        <v>166</v>
      </c>
      <c r="G226">
        <v>1</v>
      </c>
      <c r="H226">
        <v>170</v>
      </c>
      <c r="I226" s="4"/>
      <c r="J226">
        <f t="shared" si="9"/>
        <v>170</v>
      </c>
      <c r="K226" s="4">
        <f t="shared" si="10"/>
        <v>170</v>
      </c>
      <c r="L226" s="5">
        <f t="shared" si="11"/>
        <v>1</v>
      </c>
    </row>
    <row r="227" spans="1:12" x14ac:dyDescent="0.3">
      <c r="A227" s="2">
        <v>45849</v>
      </c>
      <c r="B227" t="s">
        <v>37</v>
      </c>
      <c r="C227" t="s">
        <v>164</v>
      </c>
      <c r="E227" t="s">
        <v>106</v>
      </c>
      <c r="F227" t="s">
        <v>81</v>
      </c>
      <c r="G227">
        <v>1</v>
      </c>
      <c r="H227">
        <v>705</v>
      </c>
      <c r="I227" s="4"/>
      <c r="J227">
        <f t="shared" si="9"/>
        <v>705</v>
      </c>
      <c r="K227" s="4">
        <f t="shared" si="10"/>
        <v>705</v>
      </c>
      <c r="L227" s="5">
        <f t="shared" si="11"/>
        <v>1</v>
      </c>
    </row>
    <row r="228" spans="1:12" x14ac:dyDescent="0.3">
      <c r="A228" s="2">
        <v>45852</v>
      </c>
      <c r="B228" t="s">
        <v>12</v>
      </c>
      <c r="C228" t="s">
        <v>167</v>
      </c>
      <c r="E228" t="s">
        <v>30</v>
      </c>
      <c r="F228" t="s">
        <v>50</v>
      </c>
      <c r="G228">
        <v>6</v>
      </c>
      <c r="H228">
        <v>65</v>
      </c>
      <c r="I228" s="4"/>
      <c r="J228">
        <f t="shared" si="9"/>
        <v>390</v>
      </c>
      <c r="K228" s="4">
        <f t="shared" si="10"/>
        <v>390</v>
      </c>
      <c r="L228" s="5">
        <f t="shared" si="11"/>
        <v>1</v>
      </c>
    </row>
    <row r="229" spans="1:12" x14ac:dyDescent="0.3">
      <c r="A229" s="2">
        <v>45852</v>
      </c>
      <c r="B229" t="s">
        <v>12</v>
      </c>
      <c r="C229" t="s">
        <v>168</v>
      </c>
      <c r="E229" t="s">
        <v>115</v>
      </c>
      <c r="F229" t="s">
        <v>137</v>
      </c>
      <c r="G229">
        <v>7</v>
      </c>
      <c r="H229">
        <v>65</v>
      </c>
      <c r="I229" s="4"/>
      <c r="J229">
        <f t="shared" si="9"/>
        <v>455</v>
      </c>
      <c r="K229" s="4">
        <f t="shared" si="10"/>
        <v>455</v>
      </c>
      <c r="L229" s="5">
        <f t="shared" si="11"/>
        <v>1</v>
      </c>
    </row>
    <row r="230" spans="1:12" x14ac:dyDescent="0.3">
      <c r="A230" s="2">
        <v>45852</v>
      </c>
      <c r="B230" t="s">
        <v>37</v>
      </c>
      <c r="C230" t="s">
        <v>48</v>
      </c>
      <c r="E230" t="s">
        <v>117</v>
      </c>
      <c r="F230" t="s">
        <v>63</v>
      </c>
      <c r="G230">
        <v>10</v>
      </c>
      <c r="H230">
        <v>390</v>
      </c>
      <c r="I230" s="4"/>
      <c r="J230">
        <f t="shared" si="9"/>
        <v>3900</v>
      </c>
      <c r="K230" s="4">
        <f t="shared" si="10"/>
        <v>3900</v>
      </c>
      <c r="L230" s="5">
        <f t="shared" si="11"/>
        <v>1</v>
      </c>
    </row>
    <row r="231" spans="1:12" x14ac:dyDescent="0.3">
      <c r="A231" s="2">
        <v>45852</v>
      </c>
      <c r="B231" t="s">
        <v>12</v>
      </c>
      <c r="C231" t="s">
        <v>169</v>
      </c>
      <c r="E231" t="s">
        <v>14</v>
      </c>
      <c r="F231" t="s">
        <v>82</v>
      </c>
      <c r="G231">
        <v>3</v>
      </c>
      <c r="H231">
        <v>490</v>
      </c>
      <c r="I231" s="4"/>
      <c r="J231">
        <f t="shared" si="9"/>
        <v>1470</v>
      </c>
      <c r="K231" s="4">
        <f t="shared" si="10"/>
        <v>1470</v>
      </c>
      <c r="L231" s="5">
        <f t="shared" si="11"/>
        <v>1</v>
      </c>
    </row>
    <row r="232" spans="1:12" x14ac:dyDescent="0.3">
      <c r="A232" s="2">
        <v>45852</v>
      </c>
      <c r="B232" t="s">
        <v>28</v>
      </c>
      <c r="C232" t="s">
        <v>170</v>
      </c>
      <c r="E232" t="s">
        <v>44</v>
      </c>
      <c r="F232" t="s">
        <v>81</v>
      </c>
      <c r="G232">
        <v>7</v>
      </c>
      <c r="H232">
        <v>500</v>
      </c>
      <c r="I232" s="4"/>
      <c r="J232">
        <f t="shared" si="9"/>
        <v>3500</v>
      </c>
      <c r="K232" s="4">
        <f t="shared" si="10"/>
        <v>3500</v>
      </c>
      <c r="L232" s="5">
        <f t="shared" si="11"/>
        <v>1</v>
      </c>
    </row>
    <row r="233" spans="1:12" x14ac:dyDescent="0.3">
      <c r="A233" s="2">
        <v>45852</v>
      </c>
      <c r="B233" t="s">
        <v>24</v>
      </c>
      <c r="C233" t="s">
        <v>171</v>
      </c>
      <c r="E233" t="s">
        <v>14</v>
      </c>
      <c r="F233" t="s">
        <v>172</v>
      </c>
      <c r="G233">
        <v>120</v>
      </c>
      <c r="H233">
        <v>58</v>
      </c>
      <c r="I233" s="4"/>
      <c r="J233">
        <f t="shared" si="9"/>
        <v>6960</v>
      </c>
      <c r="K233" s="4">
        <f t="shared" si="10"/>
        <v>6960</v>
      </c>
      <c r="L233" s="5">
        <f t="shared" si="11"/>
        <v>1</v>
      </c>
    </row>
    <row r="234" spans="1:12" x14ac:dyDescent="0.3">
      <c r="A234" s="2">
        <v>45852</v>
      </c>
      <c r="B234" t="s">
        <v>28</v>
      </c>
      <c r="C234" t="s">
        <v>173</v>
      </c>
      <c r="E234" t="s">
        <v>35</v>
      </c>
      <c r="F234" t="s">
        <v>89</v>
      </c>
      <c r="G234">
        <v>5</v>
      </c>
      <c r="H234">
        <v>36</v>
      </c>
      <c r="I234" s="4"/>
      <c r="J234">
        <f t="shared" si="9"/>
        <v>180</v>
      </c>
      <c r="K234" s="4">
        <f t="shared" si="10"/>
        <v>180</v>
      </c>
      <c r="L234" s="5">
        <f t="shared" si="11"/>
        <v>1</v>
      </c>
    </row>
    <row r="235" spans="1:12" x14ac:dyDescent="0.3">
      <c r="A235" s="2">
        <v>45852</v>
      </c>
      <c r="B235" t="s">
        <v>24</v>
      </c>
      <c r="C235" t="s">
        <v>41</v>
      </c>
      <c r="E235" t="s">
        <v>14</v>
      </c>
      <c r="F235" t="s">
        <v>42</v>
      </c>
      <c r="G235">
        <v>1</v>
      </c>
      <c r="H235">
        <v>675</v>
      </c>
      <c r="I235" s="4"/>
      <c r="J235">
        <f t="shared" si="9"/>
        <v>675</v>
      </c>
      <c r="K235" s="4">
        <f t="shared" si="10"/>
        <v>675</v>
      </c>
      <c r="L235" s="5">
        <f t="shared" si="11"/>
        <v>1</v>
      </c>
    </row>
    <row r="236" spans="1:12" x14ac:dyDescent="0.3">
      <c r="A236" s="2">
        <v>45852</v>
      </c>
      <c r="B236" t="s">
        <v>24</v>
      </c>
      <c r="C236" t="s">
        <v>103</v>
      </c>
      <c r="E236" t="s">
        <v>14</v>
      </c>
      <c r="F236" t="s">
        <v>134</v>
      </c>
      <c r="G236">
        <v>1</v>
      </c>
      <c r="H236">
        <v>72</v>
      </c>
      <c r="I236" s="4"/>
      <c r="J236">
        <f t="shared" si="9"/>
        <v>72</v>
      </c>
      <c r="K236" s="4">
        <f t="shared" si="10"/>
        <v>72</v>
      </c>
      <c r="L236" s="5">
        <f t="shared" si="11"/>
        <v>1</v>
      </c>
    </row>
    <row r="237" spans="1:12" x14ac:dyDescent="0.3">
      <c r="A237" s="2">
        <v>45852</v>
      </c>
      <c r="B237" t="s">
        <v>24</v>
      </c>
      <c r="C237" t="s">
        <v>103</v>
      </c>
      <c r="E237" t="s">
        <v>14</v>
      </c>
      <c r="F237" t="s">
        <v>134</v>
      </c>
      <c r="G237">
        <v>1</v>
      </c>
      <c r="H237">
        <v>72</v>
      </c>
      <c r="I237" s="4"/>
      <c r="J237">
        <f t="shared" si="9"/>
        <v>72</v>
      </c>
      <c r="K237" s="4">
        <f t="shared" si="10"/>
        <v>72</v>
      </c>
      <c r="L237" s="5">
        <f t="shared" si="11"/>
        <v>1</v>
      </c>
    </row>
    <row r="238" spans="1:12" x14ac:dyDescent="0.3">
      <c r="A238" s="2">
        <v>45852</v>
      </c>
      <c r="B238" t="s">
        <v>24</v>
      </c>
      <c r="C238" t="s">
        <v>103</v>
      </c>
      <c r="E238" t="s">
        <v>14</v>
      </c>
      <c r="F238" t="s">
        <v>18</v>
      </c>
      <c r="G238">
        <v>2</v>
      </c>
      <c r="H238">
        <v>180</v>
      </c>
      <c r="I238" s="4"/>
      <c r="J238">
        <f t="shared" si="9"/>
        <v>360</v>
      </c>
      <c r="K238" s="4">
        <f t="shared" si="10"/>
        <v>360</v>
      </c>
      <c r="L238" s="5">
        <f t="shared" si="11"/>
        <v>1</v>
      </c>
    </row>
    <row r="239" spans="1:12" x14ac:dyDescent="0.3">
      <c r="A239" s="2">
        <v>45852</v>
      </c>
      <c r="B239" t="s">
        <v>24</v>
      </c>
      <c r="C239" t="s">
        <v>103</v>
      </c>
      <c r="E239" t="s">
        <v>14</v>
      </c>
      <c r="F239" t="s">
        <v>18</v>
      </c>
      <c r="G239">
        <v>2</v>
      </c>
      <c r="H239">
        <v>180</v>
      </c>
      <c r="I239" s="4"/>
      <c r="J239">
        <f t="shared" si="9"/>
        <v>360</v>
      </c>
      <c r="K239" s="4">
        <f t="shared" si="10"/>
        <v>360</v>
      </c>
      <c r="L239" s="5">
        <f t="shared" si="11"/>
        <v>1</v>
      </c>
    </row>
    <row r="240" spans="1:12" x14ac:dyDescent="0.3">
      <c r="A240" s="2">
        <v>45852</v>
      </c>
      <c r="B240" t="s">
        <v>24</v>
      </c>
      <c r="C240" t="s">
        <v>103</v>
      </c>
      <c r="E240" t="s">
        <v>14</v>
      </c>
      <c r="F240" t="s">
        <v>18</v>
      </c>
      <c r="G240">
        <v>2</v>
      </c>
      <c r="H240">
        <v>180</v>
      </c>
      <c r="I240" s="4"/>
      <c r="J240">
        <f t="shared" si="9"/>
        <v>360</v>
      </c>
      <c r="K240" s="4">
        <f t="shared" si="10"/>
        <v>360</v>
      </c>
      <c r="L240" s="5">
        <f t="shared" si="11"/>
        <v>1</v>
      </c>
    </row>
    <row r="241" spans="1:12" x14ac:dyDescent="0.3">
      <c r="A241" s="2">
        <v>45852</v>
      </c>
      <c r="B241" t="s">
        <v>24</v>
      </c>
      <c r="C241" t="s">
        <v>103</v>
      </c>
      <c r="E241" t="s">
        <v>14</v>
      </c>
      <c r="F241" t="s">
        <v>17</v>
      </c>
      <c r="G241">
        <v>1</v>
      </c>
      <c r="H241">
        <v>150</v>
      </c>
      <c r="I241" s="4"/>
      <c r="J241">
        <f t="shared" si="9"/>
        <v>150</v>
      </c>
      <c r="K241" s="4">
        <f t="shared" si="10"/>
        <v>150</v>
      </c>
      <c r="L241" s="5">
        <f t="shared" si="11"/>
        <v>1</v>
      </c>
    </row>
    <row r="242" spans="1:12" x14ac:dyDescent="0.3">
      <c r="A242" s="2">
        <v>45852</v>
      </c>
      <c r="B242" t="s">
        <v>24</v>
      </c>
      <c r="C242" t="s">
        <v>103</v>
      </c>
      <c r="E242" t="s">
        <v>14</v>
      </c>
      <c r="F242" t="s">
        <v>134</v>
      </c>
      <c r="G242">
        <v>1</v>
      </c>
      <c r="H242">
        <v>72</v>
      </c>
      <c r="I242" s="4"/>
      <c r="J242">
        <f t="shared" si="9"/>
        <v>72</v>
      </c>
      <c r="K242" s="4">
        <f t="shared" si="10"/>
        <v>72</v>
      </c>
      <c r="L242" s="5">
        <f t="shared" si="11"/>
        <v>1</v>
      </c>
    </row>
    <row r="243" spans="1:12" x14ac:dyDescent="0.3">
      <c r="A243" s="2">
        <v>45852</v>
      </c>
      <c r="B243" t="s">
        <v>24</v>
      </c>
      <c r="C243" t="s">
        <v>103</v>
      </c>
      <c r="E243" t="s">
        <v>14</v>
      </c>
      <c r="F243" t="s">
        <v>17</v>
      </c>
      <c r="G243">
        <v>1</v>
      </c>
      <c r="H243">
        <v>150</v>
      </c>
      <c r="I243" s="4"/>
      <c r="J243">
        <f t="shared" si="9"/>
        <v>150</v>
      </c>
      <c r="K243" s="4">
        <f t="shared" si="10"/>
        <v>150</v>
      </c>
      <c r="L243" s="5">
        <f t="shared" si="11"/>
        <v>1</v>
      </c>
    </row>
    <row r="244" spans="1:12" x14ac:dyDescent="0.3">
      <c r="A244" s="2">
        <v>45852</v>
      </c>
      <c r="B244" t="s">
        <v>24</v>
      </c>
      <c r="C244" t="s">
        <v>56</v>
      </c>
      <c r="E244" t="s">
        <v>49</v>
      </c>
      <c r="F244" t="s">
        <v>63</v>
      </c>
      <c r="G244">
        <v>4</v>
      </c>
      <c r="H244">
        <v>420</v>
      </c>
      <c r="I244" s="4"/>
      <c r="J244">
        <f t="shared" si="9"/>
        <v>1680</v>
      </c>
      <c r="K244" s="4">
        <f t="shared" si="10"/>
        <v>1680</v>
      </c>
      <c r="L244" s="5">
        <f t="shared" si="11"/>
        <v>1</v>
      </c>
    </row>
    <row r="245" spans="1:12" x14ac:dyDescent="0.3">
      <c r="A245" s="2">
        <v>45852</v>
      </c>
      <c r="B245" t="s">
        <v>24</v>
      </c>
      <c r="C245" t="s">
        <v>174</v>
      </c>
      <c r="E245" t="s">
        <v>14</v>
      </c>
      <c r="F245" t="s">
        <v>175</v>
      </c>
      <c r="G245">
        <v>1</v>
      </c>
      <c r="H245">
        <v>750</v>
      </c>
      <c r="I245" s="4"/>
      <c r="J245">
        <f t="shared" si="9"/>
        <v>750</v>
      </c>
      <c r="K245" s="4">
        <f t="shared" si="10"/>
        <v>750</v>
      </c>
      <c r="L245" s="5">
        <f t="shared" si="11"/>
        <v>1</v>
      </c>
    </row>
    <row r="246" spans="1:12" x14ac:dyDescent="0.3">
      <c r="A246" s="2">
        <v>45852</v>
      </c>
      <c r="B246" t="s">
        <v>72</v>
      </c>
      <c r="C246" t="s">
        <v>101</v>
      </c>
      <c r="E246" t="s">
        <v>14</v>
      </c>
      <c r="F246" t="s">
        <v>40</v>
      </c>
      <c r="G246">
        <v>45</v>
      </c>
      <c r="H246">
        <v>64</v>
      </c>
      <c r="I246" s="4"/>
      <c r="J246">
        <f t="shared" si="9"/>
        <v>2880</v>
      </c>
      <c r="K246" s="4">
        <f t="shared" si="10"/>
        <v>2880</v>
      </c>
      <c r="L246" s="5">
        <f t="shared" si="11"/>
        <v>1</v>
      </c>
    </row>
    <row r="247" spans="1:12" x14ac:dyDescent="0.3">
      <c r="A247" s="2">
        <v>45852</v>
      </c>
      <c r="B247" t="s">
        <v>72</v>
      </c>
      <c r="C247" t="s">
        <v>101</v>
      </c>
      <c r="E247" t="s">
        <v>14</v>
      </c>
      <c r="F247" t="s">
        <v>31</v>
      </c>
      <c r="G247">
        <v>310</v>
      </c>
      <c r="H247">
        <v>40</v>
      </c>
      <c r="I247" s="4"/>
      <c r="J247">
        <f t="shared" si="9"/>
        <v>12400</v>
      </c>
      <c r="K247" s="4">
        <f t="shared" si="10"/>
        <v>12400</v>
      </c>
      <c r="L247" s="5">
        <f t="shared" si="11"/>
        <v>1</v>
      </c>
    </row>
    <row r="248" spans="1:12" x14ac:dyDescent="0.3">
      <c r="A248" s="2">
        <v>45852</v>
      </c>
      <c r="B248" t="s">
        <v>28</v>
      </c>
      <c r="C248" t="s">
        <v>176</v>
      </c>
      <c r="E248" t="s">
        <v>115</v>
      </c>
      <c r="F248" t="s">
        <v>81</v>
      </c>
      <c r="G248">
        <v>1</v>
      </c>
      <c r="H248">
        <v>590</v>
      </c>
      <c r="I248" s="4"/>
      <c r="J248">
        <f t="shared" si="9"/>
        <v>590</v>
      </c>
      <c r="K248" s="4">
        <f t="shared" si="10"/>
        <v>590</v>
      </c>
      <c r="L248" s="5">
        <f t="shared" si="11"/>
        <v>1</v>
      </c>
    </row>
    <row r="249" spans="1:12" x14ac:dyDescent="0.3">
      <c r="A249" s="2">
        <v>45852</v>
      </c>
      <c r="B249" t="s">
        <v>28</v>
      </c>
      <c r="C249" t="s">
        <v>176</v>
      </c>
      <c r="E249" t="s">
        <v>115</v>
      </c>
      <c r="F249" t="s">
        <v>81</v>
      </c>
      <c r="G249">
        <v>1</v>
      </c>
      <c r="H249">
        <v>590</v>
      </c>
      <c r="I249" s="4"/>
      <c r="J249">
        <f t="shared" si="9"/>
        <v>590</v>
      </c>
      <c r="K249" s="4">
        <f t="shared" si="10"/>
        <v>590</v>
      </c>
      <c r="L249" s="5">
        <f t="shared" si="11"/>
        <v>1</v>
      </c>
    </row>
    <row r="250" spans="1:12" x14ac:dyDescent="0.3">
      <c r="A250" s="2">
        <v>45852</v>
      </c>
      <c r="B250" t="s">
        <v>37</v>
      </c>
      <c r="C250" t="s">
        <v>177</v>
      </c>
      <c r="E250" t="s">
        <v>71</v>
      </c>
      <c r="F250" t="s">
        <v>90</v>
      </c>
      <c r="G250">
        <v>90</v>
      </c>
      <c r="H250">
        <v>298</v>
      </c>
      <c r="I250" s="4"/>
      <c r="J250">
        <f t="shared" si="9"/>
        <v>26820</v>
      </c>
      <c r="K250" s="4">
        <f t="shared" si="10"/>
        <v>26820</v>
      </c>
      <c r="L250" s="5">
        <f t="shared" si="11"/>
        <v>1</v>
      </c>
    </row>
    <row r="251" spans="1:12" x14ac:dyDescent="0.3">
      <c r="A251" s="2">
        <v>45852</v>
      </c>
      <c r="B251" t="s">
        <v>72</v>
      </c>
      <c r="C251" t="s">
        <v>178</v>
      </c>
      <c r="E251" t="s">
        <v>106</v>
      </c>
      <c r="F251" t="s">
        <v>134</v>
      </c>
      <c r="G251">
        <v>6</v>
      </c>
      <c r="H251">
        <v>80</v>
      </c>
      <c r="I251" s="4"/>
      <c r="J251">
        <f t="shared" si="9"/>
        <v>480</v>
      </c>
      <c r="K251" s="4">
        <f t="shared" si="10"/>
        <v>480</v>
      </c>
      <c r="L251" s="5">
        <f t="shared" si="11"/>
        <v>1</v>
      </c>
    </row>
    <row r="252" spans="1:12" x14ac:dyDescent="0.3">
      <c r="A252" s="2">
        <v>45852</v>
      </c>
      <c r="B252" t="s">
        <v>72</v>
      </c>
      <c r="C252" t="s">
        <v>178</v>
      </c>
      <c r="E252" t="s">
        <v>106</v>
      </c>
      <c r="F252" t="s">
        <v>55</v>
      </c>
      <c r="G252">
        <v>15</v>
      </c>
      <c r="H252">
        <v>60</v>
      </c>
      <c r="I252" s="4"/>
      <c r="J252">
        <f t="shared" si="9"/>
        <v>900</v>
      </c>
      <c r="K252" s="4">
        <f t="shared" si="10"/>
        <v>900</v>
      </c>
      <c r="L252" s="5">
        <f t="shared" si="11"/>
        <v>1</v>
      </c>
    </row>
    <row r="253" spans="1:12" x14ac:dyDescent="0.3">
      <c r="A253" s="2">
        <v>45852</v>
      </c>
      <c r="B253" t="s">
        <v>72</v>
      </c>
      <c r="C253" t="s">
        <v>178</v>
      </c>
      <c r="E253" t="s">
        <v>106</v>
      </c>
      <c r="F253" t="s">
        <v>81</v>
      </c>
      <c r="G253">
        <v>6</v>
      </c>
      <c r="H253">
        <v>603</v>
      </c>
      <c r="I253" s="4"/>
      <c r="J253">
        <f t="shared" si="9"/>
        <v>3618</v>
      </c>
      <c r="K253" s="4">
        <f t="shared" si="10"/>
        <v>3618</v>
      </c>
      <c r="L253" s="5">
        <f t="shared" si="11"/>
        <v>1</v>
      </c>
    </row>
    <row r="254" spans="1:12" x14ac:dyDescent="0.3">
      <c r="A254" s="2">
        <v>45852</v>
      </c>
      <c r="B254" t="s">
        <v>28</v>
      </c>
      <c r="C254" t="s">
        <v>179</v>
      </c>
      <c r="E254" t="s">
        <v>30</v>
      </c>
      <c r="F254" t="s">
        <v>137</v>
      </c>
      <c r="G254">
        <v>4</v>
      </c>
      <c r="H254">
        <v>120</v>
      </c>
      <c r="I254" s="4"/>
      <c r="J254">
        <f t="shared" si="9"/>
        <v>480</v>
      </c>
      <c r="K254" s="4">
        <f t="shared" si="10"/>
        <v>480</v>
      </c>
      <c r="L254" s="5">
        <f t="shared" si="11"/>
        <v>1</v>
      </c>
    </row>
    <row r="255" spans="1:12" x14ac:dyDescent="0.3">
      <c r="A255" s="2">
        <v>45852</v>
      </c>
      <c r="B255" t="s">
        <v>24</v>
      </c>
      <c r="C255" t="s">
        <v>180</v>
      </c>
      <c r="E255" t="s">
        <v>14</v>
      </c>
      <c r="F255" t="s">
        <v>42</v>
      </c>
      <c r="G255">
        <v>15</v>
      </c>
      <c r="H255">
        <v>680</v>
      </c>
      <c r="I255" s="4"/>
      <c r="J255">
        <f t="shared" si="9"/>
        <v>10200</v>
      </c>
      <c r="K255" s="4">
        <f t="shared" si="10"/>
        <v>10200</v>
      </c>
      <c r="L255" s="5">
        <f t="shared" si="11"/>
        <v>1</v>
      </c>
    </row>
    <row r="256" spans="1:12" x14ac:dyDescent="0.3">
      <c r="A256" s="2">
        <v>45852</v>
      </c>
      <c r="B256" t="s">
        <v>24</v>
      </c>
      <c r="C256" t="s">
        <v>25</v>
      </c>
      <c r="E256" t="s">
        <v>26</v>
      </c>
      <c r="F256" t="s">
        <v>90</v>
      </c>
      <c r="G256">
        <v>10</v>
      </c>
      <c r="H256">
        <v>250</v>
      </c>
      <c r="I256" s="4"/>
      <c r="J256">
        <f t="shared" si="9"/>
        <v>2500</v>
      </c>
      <c r="K256" s="4">
        <f t="shared" si="10"/>
        <v>2500</v>
      </c>
      <c r="L256" s="5">
        <f t="shared" si="11"/>
        <v>1</v>
      </c>
    </row>
    <row r="257" spans="1:12" x14ac:dyDescent="0.3">
      <c r="A257" s="2">
        <v>45852</v>
      </c>
      <c r="B257" t="s">
        <v>24</v>
      </c>
      <c r="C257" t="s">
        <v>181</v>
      </c>
      <c r="E257" t="s">
        <v>14</v>
      </c>
      <c r="F257" t="s">
        <v>63</v>
      </c>
      <c r="G257">
        <v>50</v>
      </c>
      <c r="H257">
        <v>560</v>
      </c>
      <c r="I257" s="4"/>
      <c r="J257">
        <f t="shared" si="9"/>
        <v>28000</v>
      </c>
      <c r="K257" s="4">
        <f t="shared" si="10"/>
        <v>28000</v>
      </c>
      <c r="L257" s="5">
        <f t="shared" si="11"/>
        <v>1</v>
      </c>
    </row>
    <row r="258" spans="1:12" x14ac:dyDescent="0.3">
      <c r="A258" s="2">
        <v>45852</v>
      </c>
      <c r="B258" t="s">
        <v>97</v>
      </c>
      <c r="C258" t="s">
        <v>182</v>
      </c>
      <c r="E258" t="s">
        <v>149</v>
      </c>
      <c r="F258" t="s">
        <v>16</v>
      </c>
      <c r="G258">
        <v>30</v>
      </c>
      <c r="H258">
        <v>295</v>
      </c>
      <c r="I258" s="4"/>
      <c r="J258">
        <f t="shared" ref="J258:J321" si="12">G258*H258</f>
        <v>8850</v>
      </c>
      <c r="K258" s="4">
        <f t="shared" ref="K258:K321" si="13">(H258-I258)*G258</f>
        <v>8850</v>
      </c>
      <c r="L258" s="5">
        <f t="shared" ref="L258:L321" si="14">IF(H258&gt;0,(H258-I258)/H258,0)</f>
        <v>1</v>
      </c>
    </row>
    <row r="259" spans="1:12" x14ac:dyDescent="0.3">
      <c r="A259" s="2">
        <v>45852</v>
      </c>
      <c r="B259" t="s">
        <v>97</v>
      </c>
      <c r="C259" t="s">
        <v>182</v>
      </c>
      <c r="E259" t="s">
        <v>149</v>
      </c>
      <c r="F259" t="s">
        <v>17</v>
      </c>
      <c r="G259">
        <v>50</v>
      </c>
      <c r="H259">
        <v>75</v>
      </c>
      <c r="I259" s="4"/>
      <c r="J259">
        <f t="shared" si="12"/>
        <v>3750</v>
      </c>
      <c r="K259" s="4">
        <f t="shared" si="13"/>
        <v>3750</v>
      </c>
      <c r="L259" s="5">
        <f t="shared" si="14"/>
        <v>1</v>
      </c>
    </row>
    <row r="260" spans="1:12" x14ac:dyDescent="0.3">
      <c r="A260" s="2">
        <v>45852</v>
      </c>
      <c r="B260" t="s">
        <v>97</v>
      </c>
      <c r="C260" t="s">
        <v>182</v>
      </c>
      <c r="E260" t="s">
        <v>149</v>
      </c>
      <c r="F260" t="s">
        <v>183</v>
      </c>
      <c r="G260">
        <v>4</v>
      </c>
      <c r="H260">
        <v>390</v>
      </c>
      <c r="I260" s="4"/>
      <c r="J260">
        <f t="shared" si="12"/>
        <v>1560</v>
      </c>
      <c r="K260" s="4">
        <f t="shared" si="13"/>
        <v>1560</v>
      </c>
      <c r="L260" s="5">
        <f t="shared" si="14"/>
        <v>1</v>
      </c>
    </row>
    <row r="261" spans="1:12" x14ac:dyDescent="0.3">
      <c r="A261" s="2">
        <v>45852</v>
      </c>
      <c r="B261" t="s">
        <v>97</v>
      </c>
      <c r="C261" t="s">
        <v>182</v>
      </c>
      <c r="E261" t="s">
        <v>149</v>
      </c>
      <c r="F261" t="s">
        <v>81</v>
      </c>
      <c r="G261">
        <v>2</v>
      </c>
      <c r="H261">
        <v>535</v>
      </c>
      <c r="I261" s="4"/>
      <c r="J261">
        <f t="shared" si="12"/>
        <v>1070</v>
      </c>
      <c r="K261" s="4">
        <f t="shared" si="13"/>
        <v>1070</v>
      </c>
      <c r="L261" s="5">
        <f t="shared" si="14"/>
        <v>1</v>
      </c>
    </row>
    <row r="262" spans="1:12" x14ac:dyDescent="0.3">
      <c r="A262" s="2">
        <v>45852</v>
      </c>
      <c r="B262" t="s">
        <v>97</v>
      </c>
      <c r="C262" t="s">
        <v>182</v>
      </c>
      <c r="E262" t="s">
        <v>149</v>
      </c>
      <c r="F262" t="s">
        <v>129</v>
      </c>
      <c r="G262">
        <v>25</v>
      </c>
      <c r="H262">
        <v>335</v>
      </c>
      <c r="I262" s="4"/>
      <c r="J262">
        <f t="shared" si="12"/>
        <v>8375</v>
      </c>
      <c r="K262" s="4">
        <f t="shared" si="13"/>
        <v>8375</v>
      </c>
      <c r="L262" s="5">
        <f t="shared" si="14"/>
        <v>1</v>
      </c>
    </row>
    <row r="263" spans="1:12" x14ac:dyDescent="0.3">
      <c r="A263" s="2">
        <v>45852</v>
      </c>
      <c r="B263" t="s">
        <v>28</v>
      </c>
      <c r="C263" t="s">
        <v>184</v>
      </c>
      <c r="E263" t="s">
        <v>80</v>
      </c>
      <c r="F263" t="s">
        <v>42</v>
      </c>
      <c r="G263">
        <v>10</v>
      </c>
      <c r="H263">
        <v>900</v>
      </c>
      <c r="I263" s="4"/>
      <c r="J263">
        <f t="shared" si="12"/>
        <v>9000</v>
      </c>
      <c r="K263" s="4">
        <f t="shared" si="13"/>
        <v>9000</v>
      </c>
      <c r="L263" s="5">
        <f t="shared" si="14"/>
        <v>1</v>
      </c>
    </row>
    <row r="264" spans="1:12" x14ac:dyDescent="0.3">
      <c r="A264" s="2">
        <v>45853</v>
      </c>
      <c r="B264" t="s">
        <v>72</v>
      </c>
      <c r="C264" t="s">
        <v>185</v>
      </c>
      <c r="E264" t="s">
        <v>64</v>
      </c>
      <c r="F264" t="s">
        <v>33</v>
      </c>
      <c r="G264">
        <v>1</v>
      </c>
      <c r="H264">
        <v>225</v>
      </c>
      <c r="I264" s="4"/>
      <c r="J264">
        <f t="shared" si="12"/>
        <v>225</v>
      </c>
      <c r="K264" s="4">
        <f t="shared" si="13"/>
        <v>225</v>
      </c>
      <c r="L264" s="5">
        <f t="shared" si="14"/>
        <v>1</v>
      </c>
    </row>
    <row r="265" spans="1:12" x14ac:dyDescent="0.3">
      <c r="A265" s="2">
        <v>45853</v>
      </c>
      <c r="B265" t="s">
        <v>72</v>
      </c>
      <c r="C265" t="s">
        <v>185</v>
      </c>
      <c r="E265" t="s">
        <v>64</v>
      </c>
      <c r="F265" t="s">
        <v>186</v>
      </c>
      <c r="G265">
        <v>1</v>
      </c>
      <c r="H265">
        <v>225</v>
      </c>
      <c r="I265" s="4"/>
      <c r="J265">
        <f t="shared" si="12"/>
        <v>225</v>
      </c>
      <c r="K265" s="4">
        <f t="shared" si="13"/>
        <v>225</v>
      </c>
      <c r="L265" s="5">
        <f t="shared" si="14"/>
        <v>1</v>
      </c>
    </row>
    <row r="266" spans="1:12" x14ac:dyDescent="0.3">
      <c r="A266" s="2">
        <v>45853</v>
      </c>
      <c r="B266" t="s">
        <v>72</v>
      </c>
      <c r="C266" t="s">
        <v>185</v>
      </c>
      <c r="E266" t="s">
        <v>64</v>
      </c>
      <c r="F266" t="s">
        <v>187</v>
      </c>
      <c r="G266">
        <v>1</v>
      </c>
      <c r="H266">
        <v>225</v>
      </c>
      <c r="I266" s="4"/>
      <c r="J266">
        <f t="shared" si="12"/>
        <v>225</v>
      </c>
      <c r="K266" s="4">
        <f t="shared" si="13"/>
        <v>225</v>
      </c>
      <c r="L266" s="5">
        <f t="shared" si="14"/>
        <v>1</v>
      </c>
    </row>
    <row r="267" spans="1:12" x14ac:dyDescent="0.3">
      <c r="A267" s="2">
        <v>45853</v>
      </c>
      <c r="B267" t="s">
        <v>72</v>
      </c>
      <c r="C267" t="s">
        <v>185</v>
      </c>
      <c r="E267" t="s">
        <v>64</v>
      </c>
      <c r="F267" t="s">
        <v>31</v>
      </c>
      <c r="G267">
        <v>10</v>
      </c>
      <c r="H267">
        <v>40</v>
      </c>
      <c r="I267" s="4"/>
      <c r="J267">
        <f t="shared" si="12"/>
        <v>400</v>
      </c>
      <c r="K267" s="4">
        <f t="shared" si="13"/>
        <v>400</v>
      </c>
      <c r="L267" s="5">
        <f t="shared" si="14"/>
        <v>1</v>
      </c>
    </row>
    <row r="268" spans="1:12" x14ac:dyDescent="0.3">
      <c r="A268" s="2">
        <v>45853</v>
      </c>
      <c r="B268" t="s">
        <v>72</v>
      </c>
      <c r="C268" t="s">
        <v>185</v>
      </c>
      <c r="E268" t="s">
        <v>64</v>
      </c>
      <c r="F268" t="s">
        <v>23</v>
      </c>
      <c r="G268">
        <v>10</v>
      </c>
      <c r="H268">
        <v>52</v>
      </c>
      <c r="I268" s="4"/>
      <c r="J268">
        <f t="shared" si="12"/>
        <v>520</v>
      </c>
      <c r="K268" s="4">
        <f t="shared" si="13"/>
        <v>520</v>
      </c>
      <c r="L268" s="5">
        <f t="shared" si="14"/>
        <v>1</v>
      </c>
    </row>
    <row r="269" spans="1:12" x14ac:dyDescent="0.3">
      <c r="A269" s="2">
        <v>45853</v>
      </c>
      <c r="B269" t="s">
        <v>72</v>
      </c>
      <c r="C269" t="s">
        <v>185</v>
      </c>
      <c r="E269" t="s">
        <v>64</v>
      </c>
      <c r="F269" t="s">
        <v>50</v>
      </c>
      <c r="G269">
        <v>10</v>
      </c>
      <c r="H269">
        <v>52</v>
      </c>
      <c r="I269" s="4"/>
      <c r="J269">
        <f t="shared" si="12"/>
        <v>520</v>
      </c>
      <c r="K269" s="4">
        <f t="shared" si="13"/>
        <v>520</v>
      </c>
      <c r="L269" s="5">
        <f t="shared" si="14"/>
        <v>1</v>
      </c>
    </row>
    <row r="270" spans="1:12" x14ac:dyDescent="0.3">
      <c r="A270" s="2">
        <v>45853</v>
      </c>
      <c r="B270" t="s">
        <v>72</v>
      </c>
      <c r="C270" t="s">
        <v>185</v>
      </c>
      <c r="E270" t="s">
        <v>64</v>
      </c>
      <c r="F270" t="s">
        <v>137</v>
      </c>
      <c r="G270">
        <v>10</v>
      </c>
      <c r="H270">
        <v>52</v>
      </c>
      <c r="I270" s="4"/>
      <c r="J270">
        <f t="shared" si="12"/>
        <v>520</v>
      </c>
      <c r="K270" s="4">
        <f t="shared" si="13"/>
        <v>520</v>
      </c>
      <c r="L270" s="5">
        <f t="shared" si="14"/>
        <v>1</v>
      </c>
    </row>
    <row r="271" spans="1:12" x14ac:dyDescent="0.3">
      <c r="A271" s="2">
        <v>45853</v>
      </c>
      <c r="B271" t="s">
        <v>72</v>
      </c>
      <c r="C271" t="s">
        <v>185</v>
      </c>
      <c r="E271" t="s">
        <v>64</v>
      </c>
      <c r="F271" t="s">
        <v>91</v>
      </c>
      <c r="G271">
        <v>3</v>
      </c>
      <c r="H271">
        <v>225</v>
      </c>
      <c r="I271" s="4"/>
      <c r="J271">
        <f t="shared" si="12"/>
        <v>675</v>
      </c>
      <c r="K271" s="4">
        <f t="shared" si="13"/>
        <v>675</v>
      </c>
      <c r="L271" s="5">
        <f t="shared" si="14"/>
        <v>1</v>
      </c>
    </row>
    <row r="272" spans="1:12" x14ac:dyDescent="0.3">
      <c r="A272" s="2">
        <v>45853</v>
      </c>
      <c r="B272" t="s">
        <v>72</v>
      </c>
      <c r="C272" t="s">
        <v>185</v>
      </c>
      <c r="E272" t="s">
        <v>64</v>
      </c>
      <c r="F272" t="s">
        <v>188</v>
      </c>
      <c r="G272">
        <v>2</v>
      </c>
      <c r="H272">
        <v>450</v>
      </c>
      <c r="I272" s="4"/>
      <c r="J272">
        <f t="shared" si="12"/>
        <v>900</v>
      </c>
      <c r="K272" s="4">
        <f t="shared" si="13"/>
        <v>900</v>
      </c>
      <c r="L272" s="5">
        <f t="shared" si="14"/>
        <v>1</v>
      </c>
    </row>
    <row r="273" spans="1:12" x14ac:dyDescent="0.3">
      <c r="A273" s="2">
        <v>45853</v>
      </c>
      <c r="B273" t="s">
        <v>72</v>
      </c>
      <c r="C273" t="s">
        <v>185</v>
      </c>
      <c r="E273" t="s">
        <v>64</v>
      </c>
      <c r="F273" t="s">
        <v>90</v>
      </c>
      <c r="G273">
        <v>5</v>
      </c>
      <c r="H273">
        <v>225</v>
      </c>
      <c r="I273" s="4"/>
      <c r="J273">
        <f t="shared" si="12"/>
        <v>1125</v>
      </c>
      <c r="K273" s="4">
        <f t="shared" si="13"/>
        <v>1125</v>
      </c>
      <c r="L273" s="5">
        <f t="shared" si="14"/>
        <v>1</v>
      </c>
    </row>
    <row r="274" spans="1:12" x14ac:dyDescent="0.3">
      <c r="A274" s="2">
        <v>45853</v>
      </c>
      <c r="B274" t="s">
        <v>72</v>
      </c>
      <c r="C274" t="s">
        <v>185</v>
      </c>
      <c r="E274" t="s">
        <v>64</v>
      </c>
      <c r="F274" t="s">
        <v>189</v>
      </c>
      <c r="G274">
        <v>3</v>
      </c>
      <c r="H274">
        <v>600</v>
      </c>
      <c r="I274" s="4"/>
      <c r="J274">
        <f t="shared" si="12"/>
        <v>1800</v>
      </c>
      <c r="K274" s="4">
        <f t="shared" si="13"/>
        <v>1800</v>
      </c>
      <c r="L274" s="5">
        <f t="shared" si="14"/>
        <v>1</v>
      </c>
    </row>
    <row r="275" spans="1:12" x14ac:dyDescent="0.3">
      <c r="A275" s="2">
        <v>45853</v>
      </c>
      <c r="B275" t="s">
        <v>72</v>
      </c>
      <c r="C275" t="s">
        <v>185</v>
      </c>
      <c r="E275" t="s">
        <v>64</v>
      </c>
      <c r="F275" t="s">
        <v>142</v>
      </c>
      <c r="G275">
        <v>5</v>
      </c>
      <c r="H275">
        <v>399</v>
      </c>
      <c r="I275" s="4"/>
      <c r="J275">
        <f t="shared" si="12"/>
        <v>1995</v>
      </c>
      <c r="K275" s="4">
        <f t="shared" si="13"/>
        <v>1995</v>
      </c>
      <c r="L275" s="5">
        <f t="shared" si="14"/>
        <v>1</v>
      </c>
    </row>
    <row r="276" spans="1:12" x14ac:dyDescent="0.3">
      <c r="A276" s="2">
        <v>45853</v>
      </c>
      <c r="B276" t="s">
        <v>72</v>
      </c>
      <c r="C276" t="s">
        <v>185</v>
      </c>
      <c r="E276" t="s">
        <v>64</v>
      </c>
      <c r="F276" t="s">
        <v>16</v>
      </c>
      <c r="G276">
        <v>10</v>
      </c>
      <c r="H276">
        <v>295</v>
      </c>
      <c r="I276" s="4"/>
      <c r="J276">
        <f t="shared" si="12"/>
        <v>2950</v>
      </c>
      <c r="K276" s="4">
        <f t="shared" si="13"/>
        <v>2950</v>
      </c>
      <c r="L276" s="5">
        <f t="shared" si="14"/>
        <v>1</v>
      </c>
    </row>
    <row r="277" spans="1:12" x14ac:dyDescent="0.3">
      <c r="A277" s="2">
        <v>45853</v>
      </c>
      <c r="B277" t="s">
        <v>72</v>
      </c>
      <c r="C277" t="s">
        <v>185</v>
      </c>
      <c r="E277" t="s">
        <v>64</v>
      </c>
      <c r="F277" t="s">
        <v>129</v>
      </c>
      <c r="G277">
        <v>10</v>
      </c>
      <c r="H277">
        <v>335</v>
      </c>
      <c r="I277" s="4"/>
      <c r="J277">
        <f t="shared" si="12"/>
        <v>3350</v>
      </c>
      <c r="K277" s="4">
        <f t="shared" si="13"/>
        <v>3350</v>
      </c>
      <c r="L277" s="5">
        <f t="shared" si="14"/>
        <v>1</v>
      </c>
    </row>
    <row r="278" spans="1:12" x14ac:dyDescent="0.3">
      <c r="A278" s="2">
        <v>45853</v>
      </c>
      <c r="B278" t="s">
        <v>72</v>
      </c>
      <c r="C278" t="s">
        <v>185</v>
      </c>
      <c r="E278" t="s">
        <v>64</v>
      </c>
      <c r="F278" t="s">
        <v>82</v>
      </c>
      <c r="G278">
        <v>10</v>
      </c>
      <c r="H278">
        <v>399</v>
      </c>
      <c r="I278" s="4"/>
      <c r="J278">
        <f t="shared" si="12"/>
        <v>3990</v>
      </c>
      <c r="K278" s="4">
        <f t="shared" si="13"/>
        <v>3990</v>
      </c>
      <c r="L278" s="5">
        <f t="shared" si="14"/>
        <v>1</v>
      </c>
    </row>
    <row r="279" spans="1:12" x14ac:dyDescent="0.3">
      <c r="A279" s="2">
        <v>45853</v>
      </c>
      <c r="B279" t="s">
        <v>24</v>
      </c>
      <c r="C279" t="s">
        <v>41</v>
      </c>
      <c r="E279" t="s">
        <v>14</v>
      </c>
      <c r="F279" t="s">
        <v>42</v>
      </c>
      <c r="G279">
        <v>1</v>
      </c>
      <c r="H279">
        <v>675</v>
      </c>
      <c r="I279" s="4"/>
      <c r="J279">
        <f t="shared" si="12"/>
        <v>675</v>
      </c>
      <c r="K279" s="4">
        <f t="shared" si="13"/>
        <v>675</v>
      </c>
      <c r="L279" s="5">
        <f t="shared" si="14"/>
        <v>1</v>
      </c>
    </row>
    <row r="280" spans="1:12" x14ac:dyDescent="0.3">
      <c r="A280" s="2">
        <v>45853</v>
      </c>
      <c r="B280" t="s">
        <v>24</v>
      </c>
      <c r="C280" t="s">
        <v>41</v>
      </c>
      <c r="E280" t="s">
        <v>14</v>
      </c>
      <c r="F280" t="s">
        <v>42</v>
      </c>
      <c r="G280">
        <v>1</v>
      </c>
      <c r="H280">
        <v>675</v>
      </c>
      <c r="I280" s="4"/>
      <c r="J280">
        <f t="shared" si="12"/>
        <v>675</v>
      </c>
      <c r="K280" s="4">
        <f t="shared" si="13"/>
        <v>675</v>
      </c>
      <c r="L280" s="5">
        <f t="shared" si="14"/>
        <v>1</v>
      </c>
    </row>
    <row r="281" spans="1:12" x14ac:dyDescent="0.3">
      <c r="A281" s="2">
        <v>45853</v>
      </c>
      <c r="B281" t="s">
        <v>24</v>
      </c>
      <c r="C281" t="s">
        <v>103</v>
      </c>
      <c r="E281" t="s">
        <v>14</v>
      </c>
      <c r="F281" t="s">
        <v>18</v>
      </c>
      <c r="G281">
        <v>1</v>
      </c>
      <c r="H281">
        <v>180</v>
      </c>
      <c r="I281" s="4"/>
      <c r="J281">
        <f t="shared" si="12"/>
        <v>180</v>
      </c>
      <c r="K281" s="4">
        <f t="shared" si="13"/>
        <v>180</v>
      </c>
      <c r="L281" s="5">
        <f t="shared" si="14"/>
        <v>1</v>
      </c>
    </row>
    <row r="282" spans="1:12" x14ac:dyDescent="0.3">
      <c r="A282" s="2">
        <v>45853</v>
      </c>
      <c r="B282" t="s">
        <v>24</v>
      </c>
      <c r="C282" t="s">
        <v>41</v>
      </c>
      <c r="E282" t="s">
        <v>14</v>
      </c>
      <c r="F282" t="s">
        <v>42</v>
      </c>
      <c r="G282">
        <v>1</v>
      </c>
      <c r="H282">
        <v>675</v>
      </c>
      <c r="I282" s="4"/>
      <c r="J282">
        <f t="shared" si="12"/>
        <v>675</v>
      </c>
      <c r="K282" s="4">
        <f t="shared" si="13"/>
        <v>675</v>
      </c>
      <c r="L282" s="5">
        <f t="shared" si="14"/>
        <v>1</v>
      </c>
    </row>
    <row r="283" spans="1:12" x14ac:dyDescent="0.3">
      <c r="A283" s="2">
        <v>45853</v>
      </c>
      <c r="B283" t="s">
        <v>12</v>
      </c>
      <c r="C283" t="s">
        <v>190</v>
      </c>
      <c r="E283" t="s">
        <v>80</v>
      </c>
      <c r="F283" t="s">
        <v>63</v>
      </c>
      <c r="G283">
        <v>2</v>
      </c>
      <c r="H283">
        <v>650</v>
      </c>
      <c r="I283" s="4"/>
      <c r="J283">
        <f t="shared" si="12"/>
        <v>1300</v>
      </c>
      <c r="K283" s="4">
        <f t="shared" si="13"/>
        <v>1300</v>
      </c>
      <c r="L283" s="5">
        <f t="shared" si="14"/>
        <v>1</v>
      </c>
    </row>
    <row r="284" spans="1:12" x14ac:dyDescent="0.3">
      <c r="A284" s="2">
        <v>45853</v>
      </c>
      <c r="B284" t="s">
        <v>72</v>
      </c>
      <c r="C284" t="s">
        <v>156</v>
      </c>
      <c r="E284" t="s">
        <v>35</v>
      </c>
      <c r="F284" t="s">
        <v>42</v>
      </c>
      <c r="G284">
        <v>10</v>
      </c>
      <c r="H284">
        <v>680</v>
      </c>
      <c r="I284" s="4"/>
      <c r="J284">
        <f t="shared" si="12"/>
        <v>6800</v>
      </c>
      <c r="K284" s="4">
        <f t="shared" si="13"/>
        <v>6800</v>
      </c>
      <c r="L284" s="5">
        <f t="shared" si="14"/>
        <v>1</v>
      </c>
    </row>
    <row r="285" spans="1:12" x14ac:dyDescent="0.3">
      <c r="A285" s="2">
        <v>45853</v>
      </c>
      <c r="B285" t="s">
        <v>97</v>
      </c>
      <c r="C285" t="s">
        <v>191</v>
      </c>
      <c r="E285" t="s">
        <v>49</v>
      </c>
      <c r="F285" t="s">
        <v>58</v>
      </c>
      <c r="G285">
        <v>50</v>
      </c>
      <c r="H285">
        <v>84</v>
      </c>
      <c r="I285" s="4"/>
      <c r="J285">
        <f t="shared" si="12"/>
        <v>4200</v>
      </c>
      <c r="K285" s="4">
        <f t="shared" si="13"/>
        <v>4200</v>
      </c>
      <c r="L285" s="5">
        <f t="shared" si="14"/>
        <v>1</v>
      </c>
    </row>
    <row r="286" spans="1:12" x14ac:dyDescent="0.3">
      <c r="A286" s="2">
        <v>45853</v>
      </c>
      <c r="B286" t="s">
        <v>97</v>
      </c>
      <c r="C286" t="s">
        <v>191</v>
      </c>
      <c r="E286" t="s">
        <v>49</v>
      </c>
      <c r="F286" t="s">
        <v>31</v>
      </c>
      <c r="G286">
        <v>50</v>
      </c>
      <c r="H286">
        <v>49</v>
      </c>
      <c r="I286" s="4"/>
      <c r="J286">
        <f t="shared" si="12"/>
        <v>2450</v>
      </c>
      <c r="K286" s="4">
        <f t="shared" si="13"/>
        <v>2450</v>
      </c>
      <c r="L286" s="5">
        <f t="shared" si="14"/>
        <v>1</v>
      </c>
    </row>
    <row r="287" spans="1:12" x14ac:dyDescent="0.3">
      <c r="A287" s="2">
        <v>45853</v>
      </c>
      <c r="B287" t="s">
        <v>130</v>
      </c>
      <c r="C287" t="s">
        <v>192</v>
      </c>
      <c r="E287" t="s">
        <v>85</v>
      </c>
      <c r="F287" t="s">
        <v>142</v>
      </c>
      <c r="G287">
        <v>115</v>
      </c>
      <c r="H287">
        <v>325</v>
      </c>
      <c r="I287" s="4"/>
      <c r="J287">
        <f t="shared" si="12"/>
        <v>37375</v>
      </c>
      <c r="K287" s="4">
        <f t="shared" si="13"/>
        <v>37375</v>
      </c>
      <c r="L287" s="5">
        <f t="shared" si="14"/>
        <v>1</v>
      </c>
    </row>
    <row r="288" spans="1:12" x14ac:dyDescent="0.3">
      <c r="A288" s="2">
        <v>45853</v>
      </c>
      <c r="B288" t="s">
        <v>130</v>
      </c>
      <c r="C288" t="s">
        <v>192</v>
      </c>
      <c r="E288" t="s">
        <v>85</v>
      </c>
      <c r="F288" t="s">
        <v>89</v>
      </c>
      <c r="G288">
        <v>21</v>
      </c>
      <c r="H288">
        <v>36</v>
      </c>
      <c r="I288" s="4"/>
      <c r="J288">
        <f t="shared" si="12"/>
        <v>756</v>
      </c>
      <c r="K288" s="4">
        <f t="shared" si="13"/>
        <v>756</v>
      </c>
      <c r="L288" s="5">
        <f t="shared" si="14"/>
        <v>1</v>
      </c>
    </row>
    <row r="289" spans="1:12" x14ac:dyDescent="0.3">
      <c r="A289" s="2">
        <v>45853</v>
      </c>
      <c r="B289" t="s">
        <v>24</v>
      </c>
      <c r="C289" t="s">
        <v>193</v>
      </c>
      <c r="E289" t="s">
        <v>14</v>
      </c>
      <c r="F289" t="s">
        <v>42</v>
      </c>
      <c r="G289">
        <v>2</v>
      </c>
      <c r="H289">
        <v>650</v>
      </c>
      <c r="I289" s="4"/>
      <c r="J289">
        <f t="shared" si="12"/>
        <v>1300</v>
      </c>
      <c r="K289" s="4">
        <f t="shared" si="13"/>
        <v>1300</v>
      </c>
      <c r="L289" s="5">
        <f t="shared" si="14"/>
        <v>1</v>
      </c>
    </row>
    <row r="290" spans="1:12" x14ac:dyDescent="0.3">
      <c r="A290" s="2">
        <v>45853</v>
      </c>
      <c r="B290" t="s">
        <v>37</v>
      </c>
      <c r="C290" t="s">
        <v>194</v>
      </c>
      <c r="E290" t="s">
        <v>195</v>
      </c>
      <c r="F290" t="s">
        <v>31</v>
      </c>
      <c r="G290">
        <v>200</v>
      </c>
      <c r="H290">
        <v>29</v>
      </c>
      <c r="I290" s="4"/>
      <c r="J290">
        <f t="shared" si="12"/>
        <v>5800</v>
      </c>
      <c r="K290" s="4">
        <f t="shared" si="13"/>
        <v>5800</v>
      </c>
      <c r="L290" s="5">
        <f t="shared" si="14"/>
        <v>1</v>
      </c>
    </row>
    <row r="291" spans="1:12" x14ac:dyDescent="0.3">
      <c r="A291" s="2">
        <v>45853</v>
      </c>
      <c r="B291" t="s">
        <v>24</v>
      </c>
      <c r="C291" t="s">
        <v>41</v>
      </c>
      <c r="E291" t="s">
        <v>14</v>
      </c>
      <c r="F291" t="s">
        <v>42</v>
      </c>
      <c r="G291">
        <v>1</v>
      </c>
      <c r="H291">
        <v>675</v>
      </c>
      <c r="I291" s="4"/>
      <c r="J291">
        <f t="shared" si="12"/>
        <v>675</v>
      </c>
      <c r="K291" s="4">
        <f t="shared" si="13"/>
        <v>675</v>
      </c>
      <c r="L291" s="5">
        <f t="shared" si="14"/>
        <v>1</v>
      </c>
    </row>
    <row r="292" spans="1:12" x14ac:dyDescent="0.3">
      <c r="A292" s="2">
        <v>45854</v>
      </c>
      <c r="B292" t="s">
        <v>12</v>
      </c>
      <c r="C292" t="s">
        <v>168</v>
      </c>
      <c r="E292" t="s">
        <v>115</v>
      </c>
      <c r="F292" t="s">
        <v>196</v>
      </c>
      <c r="G292">
        <v>4</v>
      </c>
      <c r="H292">
        <v>145</v>
      </c>
      <c r="I292" s="4"/>
      <c r="J292">
        <f t="shared" si="12"/>
        <v>580</v>
      </c>
      <c r="K292" s="4">
        <f t="shared" si="13"/>
        <v>580</v>
      </c>
      <c r="L292" s="5">
        <f t="shared" si="14"/>
        <v>1</v>
      </c>
    </row>
    <row r="293" spans="1:12" x14ac:dyDescent="0.3">
      <c r="A293" s="2">
        <v>45854</v>
      </c>
      <c r="B293" t="s">
        <v>24</v>
      </c>
      <c r="C293" t="s">
        <v>41</v>
      </c>
      <c r="E293" t="s">
        <v>14</v>
      </c>
      <c r="F293" t="s">
        <v>42</v>
      </c>
      <c r="G293">
        <v>1</v>
      </c>
      <c r="H293">
        <v>675</v>
      </c>
      <c r="I293" s="4"/>
      <c r="J293">
        <f t="shared" si="12"/>
        <v>675</v>
      </c>
      <c r="K293" s="4">
        <f t="shared" si="13"/>
        <v>675</v>
      </c>
      <c r="L293" s="5">
        <f t="shared" si="14"/>
        <v>1</v>
      </c>
    </row>
    <row r="294" spans="1:12" x14ac:dyDescent="0.3">
      <c r="A294" s="2">
        <v>45854</v>
      </c>
      <c r="B294" t="s">
        <v>12</v>
      </c>
      <c r="C294" t="s">
        <v>197</v>
      </c>
      <c r="E294" t="s">
        <v>85</v>
      </c>
      <c r="F294" t="s">
        <v>137</v>
      </c>
      <c r="G294">
        <v>5</v>
      </c>
      <c r="H294">
        <v>65</v>
      </c>
      <c r="I294" s="4"/>
      <c r="J294">
        <f t="shared" si="12"/>
        <v>325</v>
      </c>
      <c r="K294" s="4">
        <f t="shared" si="13"/>
        <v>325</v>
      </c>
      <c r="L294" s="5">
        <f t="shared" si="14"/>
        <v>1</v>
      </c>
    </row>
    <row r="295" spans="1:12" x14ac:dyDescent="0.3">
      <c r="A295" s="2">
        <v>45854</v>
      </c>
      <c r="B295" t="s">
        <v>72</v>
      </c>
      <c r="C295" t="s">
        <v>198</v>
      </c>
      <c r="E295" t="s">
        <v>85</v>
      </c>
      <c r="F295" t="s">
        <v>63</v>
      </c>
      <c r="G295">
        <v>27</v>
      </c>
      <c r="H295">
        <v>390</v>
      </c>
      <c r="I295" s="4"/>
      <c r="J295">
        <f t="shared" si="12"/>
        <v>10530</v>
      </c>
      <c r="K295" s="4">
        <f t="shared" si="13"/>
        <v>10530</v>
      </c>
      <c r="L295" s="5">
        <f t="shared" si="14"/>
        <v>1</v>
      </c>
    </row>
    <row r="296" spans="1:12" x14ac:dyDescent="0.3">
      <c r="A296" s="2">
        <v>45854</v>
      </c>
      <c r="B296" t="s">
        <v>24</v>
      </c>
      <c r="C296" t="s">
        <v>199</v>
      </c>
      <c r="E296" t="s">
        <v>26</v>
      </c>
      <c r="F296" t="s">
        <v>63</v>
      </c>
      <c r="G296">
        <v>25</v>
      </c>
      <c r="H296">
        <v>365</v>
      </c>
      <c r="I296" s="4"/>
      <c r="J296">
        <f t="shared" si="12"/>
        <v>9125</v>
      </c>
      <c r="K296" s="4">
        <f t="shared" si="13"/>
        <v>9125</v>
      </c>
      <c r="L296" s="5">
        <f t="shared" si="14"/>
        <v>1</v>
      </c>
    </row>
    <row r="297" spans="1:12" x14ac:dyDescent="0.3">
      <c r="A297" s="2">
        <v>45854</v>
      </c>
      <c r="B297" t="s">
        <v>12</v>
      </c>
      <c r="C297" t="s">
        <v>200</v>
      </c>
      <c r="E297" t="s">
        <v>14</v>
      </c>
      <c r="F297" t="s">
        <v>31</v>
      </c>
      <c r="G297">
        <v>7</v>
      </c>
      <c r="H297">
        <v>45</v>
      </c>
      <c r="I297" s="4"/>
      <c r="J297">
        <f t="shared" si="12"/>
        <v>315</v>
      </c>
      <c r="K297" s="4">
        <f t="shared" si="13"/>
        <v>315</v>
      </c>
      <c r="L297" s="5">
        <f t="shared" si="14"/>
        <v>1</v>
      </c>
    </row>
    <row r="298" spans="1:12" x14ac:dyDescent="0.3">
      <c r="A298" s="2">
        <v>45854</v>
      </c>
      <c r="B298" t="s">
        <v>12</v>
      </c>
      <c r="C298" t="s">
        <v>56</v>
      </c>
      <c r="E298" t="s">
        <v>14</v>
      </c>
      <c r="F298" t="s">
        <v>69</v>
      </c>
      <c r="G298">
        <v>1</v>
      </c>
      <c r="H298">
        <v>900</v>
      </c>
      <c r="I298" s="4"/>
      <c r="J298">
        <f t="shared" si="12"/>
        <v>900</v>
      </c>
      <c r="K298" s="4">
        <f t="shared" si="13"/>
        <v>900</v>
      </c>
      <c r="L298" s="5">
        <f t="shared" si="14"/>
        <v>1</v>
      </c>
    </row>
    <row r="299" spans="1:12" x14ac:dyDescent="0.3">
      <c r="A299" s="2">
        <v>45854</v>
      </c>
      <c r="B299" t="s">
        <v>12</v>
      </c>
      <c r="C299" t="s">
        <v>56</v>
      </c>
      <c r="E299" t="s">
        <v>14</v>
      </c>
      <c r="F299" t="s">
        <v>42</v>
      </c>
      <c r="G299">
        <v>1</v>
      </c>
      <c r="H299">
        <v>900</v>
      </c>
      <c r="I299" s="4"/>
      <c r="J299">
        <f t="shared" si="12"/>
        <v>900</v>
      </c>
      <c r="K299" s="4">
        <f t="shared" si="13"/>
        <v>900</v>
      </c>
      <c r="L299" s="5">
        <f t="shared" si="14"/>
        <v>1</v>
      </c>
    </row>
    <row r="300" spans="1:12" x14ac:dyDescent="0.3">
      <c r="A300" s="2">
        <v>45854</v>
      </c>
      <c r="B300" t="s">
        <v>12</v>
      </c>
      <c r="C300" t="s">
        <v>56</v>
      </c>
      <c r="E300" t="s">
        <v>14</v>
      </c>
      <c r="F300" t="s">
        <v>42</v>
      </c>
      <c r="G300">
        <v>1</v>
      </c>
      <c r="H300">
        <v>900</v>
      </c>
      <c r="I300" s="4"/>
      <c r="J300">
        <f t="shared" si="12"/>
        <v>900</v>
      </c>
      <c r="K300" s="4">
        <f t="shared" si="13"/>
        <v>900</v>
      </c>
      <c r="L300" s="5">
        <f t="shared" si="14"/>
        <v>1</v>
      </c>
    </row>
    <row r="301" spans="1:12" x14ac:dyDescent="0.3">
      <c r="A301" s="2">
        <v>45854</v>
      </c>
      <c r="B301" t="s">
        <v>28</v>
      </c>
      <c r="C301" t="s">
        <v>48</v>
      </c>
      <c r="E301" t="s">
        <v>115</v>
      </c>
      <c r="F301" t="s">
        <v>58</v>
      </c>
      <c r="G301">
        <v>9</v>
      </c>
      <c r="H301">
        <v>75</v>
      </c>
      <c r="I301" s="4"/>
      <c r="J301">
        <f t="shared" si="12"/>
        <v>675</v>
      </c>
      <c r="K301" s="4">
        <f t="shared" si="13"/>
        <v>675</v>
      </c>
      <c r="L301" s="5">
        <f t="shared" si="14"/>
        <v>1</v>
      </c>
    </row>
    <row r="302" spans="1:12" x14ac:dyDescent="0.3">
      <c r="A302" s="2">
        <v>45854</v>
      </c>
      <c r="B302" t="s">
        <v>28</v>
      </c>
      <c r="C302" t="s">
        <v>48</v>
      </c>
      <c r="E302" t="s">
        <v>115</v>
      </c>
      <c r="F302" t="s">
        <v>40</v>
      </c>
      <c r="G302">
        <v>9</v>
      </c>
      <c r="H302">
        <v>75</v>
      </c>
      <c r="I302" s="4"/>
      <c r="J302">
        <f t="shared" si="12"/>
        <v>675</v>
      </c>
      <c r="K302" s="4">
        <f t="shared" si="13"/>
        <v>675</v>
      </c>
      <c r="L302" s="5">
        <f t="shared" si="14"/>
        <v>1</v>
      </c>
    </row>
    <row r="303" spans="1:12" x14ac:dyDescent="0.3">
      <c r="A303" s="2">
        <v>45854</v>
      </c>
      <c r="B303" t="s">
        <v>97</v>
      </c>
      <c r="C303" t="s">
        <v>201</v>
      </c>
      <c r="E303" t="s">
        <v>26</v>
      </c>
      <c r="F303" t="s">
        <v>42</v>
      </c>
      <c r="G303">
        <v>7</v>
      </c>
      <c r="H303">
        <v>775</v>
      </c>
      <c r="I303" s="4"/>
      <c r="J303">
        <f t="shared" si="12"/>
        <v>5425</v>
      </c>
      <c r="K303" s="4">
        <f t="shared" si="13"/>
        <v>5425</v>
      </c>
      <c r="L303" s="5">
        <f t="shared" si="14"/>
        <v>1</v>
      </c>
    </row>
    <row r="304" spans="1:12" x14ac:dyDescent="0.3">
      <c r="A304" s="2">
        <v>45854</v>
      </c>
      <c r="B304" t="s">
        <v>28</v>
      </c>
      <c r="C304" t="s">
        <v>173</v>
      </c>
      <c r="E304" t="s">
        <v>35</v>
      </c>
      <c r="F304" t="s">
        <v>89</v>
      </c>
      <c r="G304">
        <v>15</v>
      </c>
      <c r="H304">
        <v>36</v>
      </c>
      <c r="I304" s="4"/>
      <c r="J304">
        <f t="shared" si="12"/>
        <v>540</v>
      </c>
      <c r="K304" s="4">
        <f t="shared" si="13"/>
        <v>540</v>
      </c>
      <c r="L304" s="5">
        <f t="shared" si="14"/>
        <v>1</v>
      </c>
    </row>
    <row r="305" spans="1:12" x14ac:dyDescent="0.3">
      <c r="A305" s="2">
        <v>45855</v>
      </c>
      <c r="B305" t="s">
        <v>12</v>
      </c>
      <c r="C305" t="s">
        <v>202</v>
      </c>
      <c r="E305" t="s">
        <v>203</v>
      </c>
      <c r="F305" t="s">
        <v>40</v>
      </c>
      <c r="G305">
        <v>14</v>
      </c>
      <c r="H305">
        <v>75</v>
      </c>
      <c r="I305" s="4"/>
      <c r="J305">
        <f t="shared" si="12"/>
        <v>1050</v>
      </c>
      <c r="K305" s="4">
        <f t="shared" si="13"/>
        <v>1050</v>
      </c>
      <c r="L305" s="5">
        <f t="shared" si="14"/>
        <v>1</v>
      </c>
    </row>
    <row r="306" spans="1:12" x14ac:dyDescent="0.3">
      <c r="A306" s="2">
        <v>45855</v>
      </c>
      <c r="B306" t="s">
        <v>12</v>
      </c>
      <c r="C306" t="s">
        <v>204</v>
      </c>
      <c r="E306" t="s">
        <v>14</v>
      </c>
      <c r="F306" t="s">
        <v>31</v>
      </c>
      <c r="G306">
        <v>20</v>
      </c>
      <c r="H306">
        <v>54</v>
      </c>
      <c r="I306" s="4"/>
      <c r="J306">
        <f t="shared" si="12"/>
        <v>1080</v>
      </c>
      <c r="K306" s="4">
        <f t="shared" si="13"/>
        <v>1080</v>
      </c>
      <c r="L306" s="5">
        <f t="shared" si="14"/>
        <v>1</v>
      </c>
    </row>
    <row r="307" spans="1:12" x14ac:dyDescent="0.3">
      <c r="A307" s="2">
        <v>45855</v>
      </c>
      <c r="B307" t="s">
        <v>24</v>
      </c>
      <c r="C307" t="s">
        <v>41</v>
      </c>
      <c r="E307" t="s">
        <v>14</v>
      </c>
      <c r="F307" t="s">
        <v>42</v>
      </c>
      <c r="G307">
        <v>1</v>
      </c>
      <c r="H307">
        <v>675</v>
      </c>
      <c r="I307" s="4"/>
      <c r="J307">
        <f t="shared" si="12"/>
        <v>675</v>
      </c>
      <c r="K307" s="4">
        <f t="shared" si="13"/>
        <v>675</v>
      </c>
      <c r="L307" s="5">
        <f t="shared" si="14"/>
        <v>1</v>
      </c>
    </row>
    <row r="308" spans="1:12" x14ac:dyDescent="0.3">
      <c r="A308" s="2">
        <v>45855</v>
      </c>
      <c r="B308" t="s">
        <v>24</v>
      </c>
      <c r="C308" t="s">
        <v>41</v>
      </c>
      <c r="E308" t="s">
        <v>14</v>
      </c>
      <c r="F308" t="s">
        <v>42</v>
      </c>
      <c r="G308">
        <v>1</v>
      </c>
      <c r="H308">
        <v>675</v>
      </c>
      <c r="I308" s="4"/>
      <c r="J308">
        <f t="shared" si="12"/>
        <v>675</v>
      </c>
      <c r="K308" s="4">
        <f t="shared" si="13"/>
        <v>675</v>
      </c>
      <c r="L308" s="5">
        <f t="shared" si="14"/>
        <v>1</v>
      </c>
    </row>
    <row r="309" spans="1:12" x14ac:dyDescent="0.3">
      <c r="A309" s="2">
        <v>45855</v>
      </c>
      <c r="B309" t="s">
        <v>28</v>
      </c>
      <c r="C309" t="s">
        <v>48</v>
      </c>
      <c r="E309" t="s">
        <v>35</v>
      </c>
      <c r="F309" t="s">
        <v>58</v>
      </c>
      <c r="G309">
        <v>20</v>
      </c>
      <c r="H309">
        <v>89.3</v>
      </c>
      <c r="I309" s="4"/>
      <c r="J309">
        <f t="shared" si="12"/>
        <v>1786</v>
      </c>
      <c r="K309" s="4">
        <f t="shared" si="13"/>
        <v>1786</v>
      </c>
      <c r="L309" s="5">
        <f t="shared" si="14"/>
        <v>1</v>
      </c>
    </row>
    <row r="310" spans="1:12" x14ac:dyDescent="0.3">
      <c r="A310" s="2">
        <v>45855</v>
      </c>
      <c r="B310" t="s">
        <v>24</v>
      </c>
      <c r="C310" t="s">
        <v>205</v>
      </c>
      <c r="E310" t="s">
        <v>14</v>
      </c>
      <c r="F310" t="s">
        <v>27</v>
      </c>
      <c r="G310">
        <v>4</v>
      </c>
      <c r="H310">
        <v>840</v>
      </c>
      <c r="I310" s="4"/>
      <c r="J310">
        <f t="shared" si="12"/>
        <v>3360</v>
      </c>
      <c r="K310" s="4">
        <f t="shared" si="13"/>
        <v>3360</v>
      </c>
      <c r="L310" s="5">
        <f t="shared" si="14"/>
        <v>1</v>
      </c>
    </row>
    <row r="311" spans="1:12" x14ac:dyDescent="0.3">
      <c r="A311" s="2">
        <v>45855</v>
      </c>
      <c r="B311" t="s">
        <v>24</v>
      </c>
      <c r="C311" t="s">
        <v>205</v>
      </c>
      <c r="E311" t="s">
        <v>14</v>
      </c>
      <c r="F311" t="s">
        <v>206</v>
      </c>
      <c r="G311">
        <v>2</v>
      </c>
      <c r="H311">
        <v>562.5</v>
      </c>
      <c r="I311" s="4"/>
      <c r="J311">
        <f t="shared" si="12"/>
        <v>1125</v>
      </c>
      <c r="K311" s="4">
        <f t="shared" si="13"/>
        <v>1125</v>
      </c>
      <c r="L311" s="5">
        <f t="shared" si="14"/>
        <v>1</v>
      </c>
    </row>
    <row r="312" spans="1:12" x14ac:dyDescent="0.3">
      <c r="A312" s="2">
        <v>45855</v>
      </c>
      <c r="B312" t="s">
        <v>97</v>
      </c>
      <c r="C312" t="s">
        <v>207</v>
      </c>
      <c r="E312" t="s">
        <v>26</v>
      </c>
      <c r="F312" t="s">
        <v>63</v>
      </c>
      <c r="G312">
        <v>30</v>
      </c>
      <c r="H312">
        <v>365</v>
      </c>
      <c r="I312" s="4"/>
      <c r="J312">
        <f t="shared" si="12"/>
        <v>10950</v>
      </c>
      <c r="K312" s="4">
        <f t="shared" si="13"/>
        <v>10950</v>
      </c>
      <c r="L312" s="5">
        <f t="shared" si="14"/>
        <v>1</v>
      </c>
    </row>
    <row r="313" spans="1:12" x14ac:dyDescent="0.3">
      <c r="A313" s="2">
        <v>45856</v>
      </c>
      <c r="B313" t="s">
        <v>24</v>
      </c>
      <c r="C313" t="s">
        <v>25</v>
      </c>
      <c r="E313" t="s">
        <v>26</v>
      </c>
      <c r="F313" t="s">
        <v>27</v>
      </c>
      <c r="G313">
        <v>-3</v>
      </c>
      <c r="H313">
        <v>533</v>
      </c>
      <c r="I313" s="4"/>
      <c r="J313">
        <f t="shared" si="12"/>
        <v>-1599</v>
      </c>
      <c r="K313" s="4">
        <f t="shared" si="13"/>
        <v>-1599</v>
      </c>
      <c r="L313" s="5">
        <f t="shared" si="14"/>
        <v>1</v>
      </c>
    </row>
    <row r="314" spans="1:12" x14ac:dyDescent="0.3">
      <c r="A314" s="2">
        <v>45856</v>
      </c>
      <c r="B314" t="s">
        <v>72</v>
      </c>
      <c r="C314" t="s">
        <v>84</v>
      </c>
      <c r="E314" t="s">
        <v>85</v>
      </c>
      <c r="F314" t="s">
        <v>40</v>
      </c>
      <c r="G314">
        <v>22</v>
      </c>
      <c r="H314">
        <v>64</v>
      </c>
      <c r="I314" s="4"/>
      <c r="J314">
        <f t="shared" si="12"/>
        <v>1408</v>
      </c>
      <c r="K314" s="4">
        <f t="shared" si="13"/>
        <v>1408</v>
      </c>
      <c r="L314" s="5">
        <f t="shared" si="14"/>
        <v>1</v>
      </c>
    </row>
    <row r="315" spans="1:12" x14ac:dyDescent="0.3">
      <c r="A315" s="2">
        <v>45856</v>
      </c>
      <c r="B315" t="s">
        <v>72</v>
      </c>
      <c r="C315" t="s">
        <v>84</v>
      </c>
      <c r="E315" t="s">
        <v>85</v>
      </c>
      <c r="F315" t="s">
        <v>208</v>
      </c>
      <c r="G315">
        <v>10</v>
      </c>
      <c r="H315">
        <v>275</v>
      </c>
      <c r="I315" s="4"/>
      <c r="J315">
        <f t="shared" si="12"/>
        <v>2750</v>
      </c>
      <c r="K315" s="4">
        <f t="shared" si="13"/>
        <v>2750</v>
      </c>
      <c r="L315" s="5">
        <f t="shared" si="14"/>
        <v>1</v>
      </c>
    </row>
    <row r="316" spans="1:12" x14ac:dyDescent="0.3">
      <c r="A316" s="2">
        <v>45856</v>
      </c>
      <c r="B316" t="s">
        <v>72</v>
      </c>
      <c r="C316" t="s">
        <v>84</v>
      </c>
      <c r="E316" t="s">
        <v>85</v>
      </c>
      <c r="F316" t="s">
        <v>42</v>
      </c>
      <c r="G316">
        <v>16</v>
      </c>
      <c r="H316">
        <v>680</v>
      </c>
      <c r="I316" s="4"/>
      <c r="J316">
        <f t="shared" si="12"/>
        <v>10880</v>
      </c>
      <c r="K316" s="4">
        <f t="shared" si="13"/>
        <v>10880</v>
      </c>
      <c r="L316" s="5">
        <f t="shared" si="14"/>
        <v>1</v>
      </c>
    </row>
    <row r="317" spans="1:12" x14ac:dyDescent="0.3">
      <c r="A317" s="2">
        <v>45856</v>
      </c>
      <c r="B317" t="s">
        <v>24</v>
      </c>
      <c r="C317" t="s">
        <v>25</v>
      </c>
      <c r="E317" t="s">
        <v>26</v>
      </c>
      <c r="F317" t="s">
        <v>209</v>
      </c>
      <c r="G317">
        <v>3</v>
      </c>
      <c r="H317">
        <v>533</v>
      </c>
      <c r="I317" s="4"/>
      <c r="J317">
        <f t="shared" si="12"/>
        <v>1599</v>
      </c>
      <c r="K317" s="4">
        <f t="shared" si="13"/>
        <v>1599</v>
      </c>
      <c r="L317" s="5">
        <f t="shared" si="14"/>
        <v>1</v>
      </c>
    </row>
    <row r="318" spans="1:12" x14ac:dyDescent="0.3">
      <c r="A318" s="2">
        <v>45856</v>
      </c>
      <c r="B318" t="s">
        <v>37</v>
      </c>
      <c r="C318" t="s">
        <v>143</v>
      </c>
      <c r="E318" t="s">
        <v>22</v>
      </c>
      <c r="F318" t="s">
        <v>95</v>
      </c>
      <c r="G318">
        <v>40</v>
      </c>
      <c r="H318">
        <v>560</v>
      </c>
      <c r="I318" s="4"/>
      <c r="J318">
        <f t="shared" si="12"/>
        <v>22400</v>
      </c>
      <c r="K318" s="4">
        <f t="shared" si="13"/>
        <v>22400</v>
      </c>
      <c r="L318" s="5">
        <f t="shared" si="14"/>
        <v>1</v>
      </c>
    </row>
    <row r="319" spans="1:12" x14ac:dyDescent="0.3">
      <c r="A319" s="2">
        <v>45856</v>
      </c>
      <c r="B319" t="s">
        <v>37</v>
      </c>
      <c r="C319" t="s">
        <v>48</v>
      </c>
      <c r="E319" t="s">
        <v>149</v>
      </c>
      <c r="F319" t="s">
        <v>100</v>
      </c>
      <c r="G319">
        <v>10</v>
      </c>
      <c r="H319">
        <v>85</v>
      </c>
      <c r="I319" s="4"/>
      <c r="J319">
        <f t="shared" si="12"/>
        <v>850</v>
      </c>
      <c r="K319" s="4">
        <f t="shared" si="13"/>
        <v>850</v>
      </c>
      <c r="L319" s="5">
        <f t="shared" si="14"/>
        <v>1</v>
      </c>
    </row>
    <row r="320" spans="1:12" x14ac:dyDescent="0.3">
      <c r="A320" s="2">
        <v>45859</v>
      </c>
      <c r="B320" t="s">
        <v>12</v>
      </c>
      <c r="C320" t="s">
        <v>19</v>
      </c>
      <c r="E320" t="s">
        <v>14</v>
      </c>
      <c r="F320" t="s">
        <v>125</v>
      </c>
      <c r="G320">
        <v>3</v>
      </c>
      <c r="H320">
        <v>300</v>
      </c>
      <c r="I320" s="4"/>
      <c r="J320">
        <f t="shared" si="12"/>
        <v>900</v>
      </c>
      <c r="K320" s="4">
        <f t="shared" si="13"/>
        <v>900</v>
      </c>
      <c r="L320" s="5">
        <f t="shared" si="14"/>
        <v>1</v>
      </c>
    </row>
    <row r="321" spans="1:12" x14ac:dyDescent="0.3">
      <c r="A321" s="2">
        <v>45859</v>
      </c>
      <c r="B321" t="s">
        <v>24</v>
      </c>
      <c r="C321" t="s">
        <v>41</v>
      </c>
      <c r="E321" t="s">
        <v>14</v>
      </c>
      <c r="F321" t="s">
        <v>42</v>
      </c>
      <c r="G321">
        <v>1</v>
      </c>
      <c r="H321">
        <v>675</v>
      </c>
      <c r="I321" s="4"/>
      <c r="J321">
        <f t="shared" si="12"/>
        <v>675</v>
      </c>
      <c r="K321" s="4">
        <f t="shared" si="13"/>
        <v>675</v>
      </c>
      <c r="L321" s="5">
        <f t="shared" si="14"/>
        <v>1</v>
      </c>
    </row>
    <row r="322" spans="1:12" x14ac:dyDescent="0.3">
      <c r="A322" s="2">
        <v>45859</v>
      </c>
      <c r="B322" t="s">
        <v>97</v>
      </c>
      <c r="C322" t="s">
        <v>210</v>
      </c>
      <c r="E322" t="s">
        <v>26</v>
      </c>
      <c r="F322" t="s">
        <v>137</v>
      </c>
      <c r="G322">
        <v>125</v>
      </c>
      <c r="H322">
        <v>65</v>
      </c>
      <c r="I322" s="4"/>
      <c r="J322">
        <f t="shared" ref="J322:J385" si="15">G322*H322</f>
        <v>8125</v>
      </c>
      <c r="K322" s="4">
        <f t="shared" ref="K322:K385" si="16">(H322-I322)*G322</f>
        <v>8125</v>
      </c>
      <c r="L322" s="5">
        <f t="shared" ref="L322:L385" si="17">IF(H322&gt;0,(H322-I322)/H322,0)</f>
        <v>1</v>
      </c>
    </row>
    <row r="323" spans="1:12" x14ac:dyDescent="0.3">
      <c r="A323" s="2">
        <v>45860</v>
      </c>
      <c r="B323" t="s">
        <v>37</v>
      </c>
      <c r="C323" t="s">
        <v>48</v>
      </c>
      <c r="E323" t="s">
        <v>149</v>
      </c>
      <c r="F323" t="s">
        <v>100</v>
      </c>
      <c r="G323">
        <v>30</v>
      </c>
      <c r="H323">
        <v>85</v>
      </c>
      <c r="I323" s="4"/>
      <c r="J323">
        <f t="shared" si="15"/>
        <v>2550</v>
      </c>
      <c r="K323" s="4">
        <f t="shared" si="16"/>
        <v>2550</v>
      </c>
      <c r="L323" s="5">
        <f t="shared" si="17"/>
        <v>1</v>
      </c>
    </row>
    <row r="324" spans="1:12" x14ac:dyDescent="0.3">
      <c r="A324" s="2">
        <v>45860</v>
      </c>
      <c r="B324" t="s">
        <v>24</v>
      </c>
      <c r="C324" t="s">
        <v>211</v>
      </c>
      <c r="E324" t="s">
        <v>14</v>
      </c>
      <c r="F324" t="s">
        <v>82</v>
      </c>
      <c r="G324">
        <v>12</v>
      </c>
      <c r="H324">
        <v>470</v>
      </c>
      <c r="I324" s="4"/>
      <c r="J324">
        <f t="shared" si="15"/>
        <v>5640</v>
      </c>
      <c r="K324" s="4">
        <f t="shared" si="16"/>
        <v>5640</v>
      </c>
      <c r="L324" s="5">
        <f t="shared" si="17"/>
        <v>1</v>
      </c>
    </row>
    <row r="325" spans="1:12" x14ac:dyDescent="0.3">
      <c r="A325" s="2">
        <v>45860</v>
      </c>
      <c r="B325" t="s">
        <v>24</v>
      </c>
      <c r="C325" t="s">
        <v>133</v>
      </c>
      <c r="E325" t="s">
        <v>14</v>
      </c>
      <c r="F325" t="s">
        <v>55</v>
      </c>
      <c r="G325">
        <v>1</v>
      </c>
      <c r="H325">
        <v>55</v>
      </c>
      <c r="I325" s="4"/>
      <c r="J325">
        <f t="shared" si="15"/>
        <v>55</v>
      </c>
      <c r="K325" s="4">
        <f t="shared" si="16"/>
        <v>55</v>
      </c>
      <c r="L325" s="5">
        <f t="shared" si="17"/>
        <v>1</v>
      </c>
    </row>
    <row r="326" spans="1:12" x14ac:dyDescent="0.3">
      <c r="A326" s="2">
        <v>45860</v>
      </c>
      <c r="B326" t="s">
        <v>28</v>
      </c>
      <c r="C326" t="s">
        <v>212</v>
      </c>
      <c r="E326" t="s">
        <v>85</v>
      </c>
      <c r="F326" t="s">
        <v>50</v>
      </c>
      <c r="G326">
        <v>3</v>
      </c>
      <c r="H326">
        <v>70</v>
      </c>
      <c r="I326" s="4"/>
      <c r="J326">
        <f t="shared" si="15"/>
        <v>210</v>
      </c>
      <c r="K326" s="4">
        <f t="shared" si="16"/>
        <v>210</v>
      </c>
      <c r="L326" s="5">
        <f t="shared" si="17"/>
        <v>1</v>
      </c>
    </row>
    <row r="327" spans="1:12" x14ac:dyDescent="0.3">
      <c r="A327" s="2">
        <v>45860</v>
      </c>
      <c r="B327" t="s">
        <v>28</v>
      </c>
      <c r="C327" t="s">
        <v>212</v>
      </c>
      <c r="E327" t="s">
        <v>85</v>
      </c>
      <c r="F327" t="s">
        <v>31</v>
      </c>
      <c r="G327">
        <v>15</v>
      </c>
      <c r="H327">
        <v>50</v>
      </c>
      <c r="I327" s="4"/>
      <c r="J327">
        <f t="shared" si="15"/>
        <v>750</v>
      </c>
      <c r="K327" s="4">
        <f t="shared" si="16"/>
        <v>750</v>
      </c>
      <c r="L327" s="5">
        <f t="shared" si="17"/>
        <v>1</v>
      </c>
    </row>
    <row r="328" spans="1:12" x14ac:dyDescent="0.3">
      <c r="A328" s="2">
        <v>45860</v>
      </c>
      <c r="B328" t="s">
        <v>97</v>
      </c>
      <c r="C328" t="s">
        <v>213</v>
      </c>
      <c r="E328" t="s">
        <v>49</v>
      </c>
      <c r="F328" t="s">
        <v>27</v>
      </c>
      <c r="G328">
        <v>4</v>
      </c>
      <c r="H328">
        <v>625</v>
      </c>
      <c r="I328" s="4"/>
      <c r="J328">
        <f t="shared" si="15"/>
        <v>2500</v>
      </c>
      <c r="K328" s="4">
        <f t="shared" si="16"/>
        <v>2500</v>
      </c>
      <c r="L328" s="5">
        <f t="shared" si="17"/>
        <v>1</v>
      </c>
    </row>
    <row r="329" spans="1:12" x14ac:dyDescent="0.3">
      <c r="A329" s="2">
        <v>45860</v>
      </c>
      <c r="B329" t="s">
        <v>97</v>
      </c>
      <c r="C329" t="s">
        <v>213</v>
      </c>
      <c r="E329" t="s">
        <v>49</v>
      </c>
      <c r="F329" t="s">
        <v>214</v>
      </c>
      <c r="G329">
        <v>4</v>
      </c>
      <c r="H329">
        <v>625</v>
      </c>
      <c r="I329" s="4"/>
      <c r="J329">
        <f t="shared" si="15"/>
        <v>2500</v>
      </c>
      <c r="K329" s="4">
        <f t="shared" si="16"/>
        <v>2500</v>
      </c>
      <c r="L329" s="5">
        <f t="shared" si="17"/>
        <v>1</v>
      </c>
    </row>
    <row r="330" spans="1:12" x14ac:dyDescent="0.3">
      <c r="A330" s="2">
        <v>45860</v>
      </c>
      <c r="B330" t="s">
        <v>72</v>
      </c>
      <c r="C330" t="s">
        <v>215</v>
      </c>
      <c r="E330" t="s">
        <v>216</v>
      </c>
      <c r="F330" t="s">
        <v>42</v>
      </c>
      <c r="G330">
        <v>7</v>
      </c>
      <c r="H330">
        <v>775</v>
      </c>
      <c r="I330" s="4"/>
      <c r="J330">
        <f t="shared" si="15"/>
        <v>5425</v>
      </c>
      <c r="K330" s="4">
        <f t="shared" si="16"/>
        <v>5425</v>
      </c>
      <c r="L330" s="5">
        <f t="shared" si="17"/>
        <v>1</v>
      </c>
    </row>
    <row r="331" spans="1:12" x14ac:dyDescent="0.3">
      <c r="A331" s="2">
        <v>45860</v>
      </c>
      <c r="B331" t="s">
        <v>28</v>
      </c>
      <c r="C331" t="s">
        <v>217</v>
      </c>
      <c r="E331" t="s">
        <v>30</v>
      </c>
      <c r="F331" t="s">
        <v>31</v>
      </c>
      <c r="G331">
        <v>60</v>
      </c>
      <c r="H331">
        <v>39</v>
      </c>
      <c r="I331" s="4"/>
      <c r="J331">
        <f t="shared" si="15"/>
        <v>2340</v>
      </c>
      <c r="K331" s="4">
        <f t="shared" si="16"/>
        <v>2340</v>
      </c>
      <c r="L331" s="5">
        <f t="shared" si="17"/>
        <v>1</v>
      </c>
    </row>
    <row r="332" spans="1:12" x14ac:dyDescent="0.3">
      <c r="A332" s="2">
        <v>45860</v>
      </c>
      <c r="B332" t="s">
        <v>72</v>
      </c>
      <c r="C332" t="s">
        <v>84</v>
      </c>
      <c r="E332" t="s">
        <v>85</v>
      </c>
      <c r="F332" t="s">
        <v>137</v>
      </c>
      <c r="G332">
        <v>10</v>
      </c>
      <c r="H332">
        <v>52</v>
      </c>
      <c r="I332" s="4"/>
      <c r="J332">
        <f t="shared" si="15"/>
        <v>520</v>
      </c>
      <c r="K332" s="4">
        <f t="shared" si="16"/>
        <v>520</v>
      </c>
      <c r="L332" s="5">
        <f t="shared" si="17"/>
        <v>1</v>
      </c>
    </row>
    <row r="333" spans="1:12" x14ac:dyDescent="0.3">
      <c r="A333" s="2">
        <v>45860</v>
      </c>
      <c r="B333" t="s">
        <v>72</v>
      </c>
      <c r="C333" t="s">
        <v>84</v>
      </c>
      <c r="E333" t="s">
        <v>85</v>
      </c>
      <c r="F333" t="s">
        <v>218</v>
      </c>
      <c r="G333">
        <v>10</v>
      </c>
      <c r="H333">
        <v>68</v>
      </c>
      <c r="I333" s="4"/>
      <c r="J333">
        <f t="shared" si="15"/>
        <v>680</v>
      </c>
      <c r="K333" s="4">
        <f t="shared" si="16"/>
        <v>680</v>
      </c>
      <c r="L333" s="5">
        <f t="shared" si="17"/>
        <v>1</v>
      </c>
    </row>
    <row r="334" spans="1:12" x14ac:dyDescent="0.3">
      <c r="A334" s="2">
        <v>45860</v>
      </c>
      <c r="B334" t="s">
        <v>72</v>
      </c>
      <c r="C334" t="s">
        <v>84</v>
      </c>
      <c r="E334" t="s">
        <v>85</v>
      </c>
      <c r="F334" t="s">
        <v>219</v>
      </c>
      <c r="G334">
        <v>3</v>
      </c>
      <c r="H334">
        <v>390</v>
      </c>
      <c r="I334" s="4"/>
      <c r="J334">
        <f t="shared" si="15"/>
        <v>1170</v>
      </c>
      <c r="K334" s="4">
        <f t="shared" si="16"/>
        <v>1170</v>
      </c>
      <c r="L334" s="5">
        <f t="shared" si="17"/>
        <v>1</v>
      </c>
    </row>
    <row r="335" spans="1:12" x14ac:dyDescent="0.3">
      <c r="A335" s="2">
        <v>45860</v>
      </c>
      <c r="B335" t="s">
        <v>72</v>
      </c>
      <c r="C335" t="s">
        <v>84</v>
      </c>
      <c r="E335" t="s">
        <v>85</v>
      </c>
      <c r="F335" t="s">
        <v>63</v>
      </c>
      <c r="G335">
        <v>10</v>
      </c>
      <c r="H335">
        <v>365</v>
      </c>
      <c r="I335" s="4"/>
      <c r="J335">
        <f t="shared" si="15"/>
        <v>3650</v>
      </c>
      <c r="K335" s="4">
        <f t="shared" si="16"/>
        <v>3650</v>
      </c>
      <c r="L335" s="5">
        <f t="shared" si="17"/>
        <v>1</v>
      </c>
    </row>
    <row r="336" spans="1:12" x14ac:dyDescent="0.3">
      <c r="A336" s="2">
        <v>45860</v>
      </c>
      <c r="B336" t="s">
        <v>28</v>
      </c>
      <c r="C336" t="s">
        <v>48</v>
      </c>
      <c r="E336" t="s">
        <v>85</v>
      </c>
      <c r="F336" t="s">
        <v>109</v>
      </c>
      <c r="G336">
        <v>2</v>
      </c>
      <c r="H336">
        <v>385</v>
      </c>
      <c r="I336" s="4"/>
      <c r="J336">
        <f t="shared" si="15"/>
        <v>770</v>
      </c>
      <c r="K336" s="4">
        <f t="shared" si="16"/>
        <v>770</v>
      </c>
      <c r="L336" s="5">
        <f t="shared" si="17"/>
        <v>1</v>
      </c>
    </row>
    <row r="337" spans="1:12" x14ac:dyDescent="0.3">
      <c r="A337" s="2">
        <v>45861</v>
      </c>
      <c r="B337" t="s">
        <v>72</v>
      </c>
      <c r="C337" t="s">
        <v>198</v>
      </c>
      <c r="E337" t="s">
        <v>85</v>
      </c>
      <c r="F337" t="s">
        <v>16</v>
      </c>
      <c r="G337">
        <v>55</v>
      </c>
      <c r="H337">
        <v>275</v>
      </c>
      <c r="I337" s="4"/>
      <c r="J337">
        <f t="shared" si="15"/>
        <v>15125</v>
      </c>
      <c r="K337" s="4">
        <f t="shared" si="16"/>
        <v>15125</v>
      </c>
      <c r="L337" s="5">
        <f t="shared" si="17"/>
        <v>1</v>
      </c>
    </row>
    <row r="338" spans="1:12" x14ac:dyDescent="0.3">
      <c r="A338" s="2">
        <v>45861</v>
      </c>
      <c r="B338" t="s">
        <v>24</v>
      </c>
      <c r="C338" t="s">
        <v>103</v>
      </c>
      <c r="E338" t="s">
        <v>14</v>
      </c>
      <c r="F338" t="s">
        <v>18</v>
      </c>
      <c r="G338">
        <v>2</v>
      </c>
      <c r="H338">
        <v>180</v>
      </c>
      <c r="I338" s="4"/>
      <c r="J338">
        <f t="shared" si="15"/>
        <v>360</v>
      </c>
      <c r="K338" s="4">
        <f t="shared" si="16"/>
        <v>360</v>
      </c>
      <c r="L338" s="5">
        <f t="shared" si="17"/>
        <v>1</v>
      </c>
    </row>
    <row r="339" spans="1:12" x14ac:dyDescent="0.3">
      <c r="A339" s="2">
        <v>45861</v>
      </c>
      <c r="B339" t="s">
        <v>24</v>
      </c>
      <c r="C339" t="s">
        <v>103</v>
      </c>
      <c r="E339" t="s">
        <v>14</v>
      </c>
      <c r="F339" t="s">
        <v>17</v>
      </c>
      <c r="G339">
        <v>1</v>
      </c>
      <c r="H339">
        <v>150</v>
      </c>
      <c r="I339" s="4"/>
      <c r="J339">
        <f t="shared" si="15"/>
        <v>150</v>
      </c>
      <c r="K339" s="4">
        <f t="shared" si="16"/>
        <v>150</v>
      </c>
      <c r="L339" s="5">
        <f t="shared" si="17"/>
        <v>1</v>
      </c>
    </row>
    <row r="340" spans="1:12" x14ac:dyDescent="0.3">
      <c r="A340" s="2">
        <v>45861</v>
      </c>
      <c r="B340" t="s">
        <v>72</v>
      </c>
      <c r="C340" t="s">
        <v>156</v>
      </c>
      <c r="E340" t="s">
        <v>35</v>
      </c>
      <c r="F340" t="s">
        <v>220</v>
      </c>
      <c r="G340">
        <v>5</v>
      </c>
      <c r="H340">
        <v>335</v>
      </c>
      <c r="I340" s="4"/>
      <c r="J340">
        <f t="shared" si="15"/>
        <v>1675</v>
      </c>
      <c r="K340" s="4">
        <f t="shared" si="16"/>
        <v>1675</v>
      </c>
      <c r="L340" s="5">
        <f t="shared" si="17"/>
        <v>1</v>
      </c>
    </row>
    <row r="341" spans="1:12" x14ac:dyDescent="0.3">
      <c r="A341" s="2">
        <v>45861</v>
      </c>
      <c r="B341" t="s">
        <v>72</v>
      </c>
      <c r="C341" t="s">
        <v>156</v>
      </c>
      <c r="E341" t="s">
        <v>35</v>
      </c>
      <c r="F341" t="s">
        <v>129</v>
      </c>
      <c r="G341">
        <v>10</v>
      </c>
      <c r="H341">
        <v>335</v>
      </c>
      <c r="I341" s="4"/>
      <c r="J341">
        <f t="shared" si="15"/>
        <v>3350</v>
      </c>
      <c r="K341" s="4">
        <f t="shared" si="16"/>
        <v>3350</v>
      </c>
      <c r="L341" s="5">
        <f t="shared" si="17"/>
        <v>1</v>
      </c>
    </row>
    <row r="342" spans="1:12" x14ac:dyDescent="0.3">
      <c r="A342" s="2">
        <v>45861</v>
      </c>
      <c r="B342" t="s">
        <v>72</v>
      </c>
      <c r="C342" t="s">
        <v>156</v>
      </c>
      <c r="E342" t="s">
        <v>35</v>
      </c>
      <c r="F342" t="s">
        <v>128</v>
      </c>
      <c r="G342">
        <v>15</v>
      </c>
      <c r="H342">
        <v>335</v>
      </c>
      <c r="I342" s="4"/>
      <c r="J342">
        <f t="shared" si="15"/>
        <v>5025</v>
      </c>
      <c r="K342" s="4">
        <f t="shared" si="16"/>
        <v>5025</v>
      </c>
      <c r="L342" s="5">
        <f t="shared" si="17"/>
        <v>1</v>
      </c>
    </row>
    <row r="343" spans="1:12" x14ac:dyDescent="0.3">
      <c r="A343" s="2">
        <v>45861</v>
      </c>
      <c r="B343" t="s">
        <v>72</v>
      </c>
      <c r="C343" t="s">
        <v>156</v>
      </c>
      <c r="E343" t="s">
        <v>35</v>
      </c>
      <c r="F343" t="s">
        <v>42</v>
      </c>
      <c r="G343">
        <v>10</v>
      </c>
      <c r="H343">
        <v>680</v>
      </c>
      <c r="I343" s="4"/>
      <c r="J343">
        <f t="shared" si="15"/>
        <v>6800</v>
      </c>
      <c r="K343" s="4">
        <f t="shared" si="16"/>
        <v>6800</v>
      </c>
      <c r="L343" s="5">
        <f t="shared" si="17"/>
        <v>1</v>
      </c>
    </row>
    <row r="344" spans="1:12" x14ac:dyDescent="0.3">
      <c r="A344" s="2">
        <v>45861</v>
      </c>
      <c r="B344" t="s">
        <v>24</v>
      </c>
      <c r="C344" t="s">
        <v>103</v>
      </c>
      <c r="E344" t="s">
        <v>14</v>
      </c>
      <c r="F344" t="s">
        <v>42</v>
      </c>
      <c r="G344">
        <v>1</v>
      </c>
      <c r="H344">
        <v>715</v>
      </c>
      <c r="I344" s="4"/>
      <c r="J344">
        <f t="shared" si="15"/>
        <v>715</v>
      </c>
      <c r="K344" s="4">
        <f t="shared" si="16"/>
        <v>715</v>
      </c>
      <c r="L344" s="5">
        <f t="shared" si="17"/>
        <v>1</v>
      </c>
    </row>
    <row r="345" spans="1:12" x14ac:dyDescent="0.3">
      <c r="A345" s="2">
        <v>45861</v>
      </c>
      <c r="B345" t="s">
        <v>24</v>
      </c>
      <c r="C345" t="s">
        <v>221</v>
      </c>
      <c r="E345" t="s">
        <v>26</v>
      </c>
      <c r="F345" t="s">
        <v>50</v>
      </c>
      <c r="G345">
        <v>40</v>
      </c>
      <c r="H345">
        <v>60</v>
      </c>
      <c r="I345" s="4"/>
      <c r="J345">
        <f t="shared" si="15"/>
        <v>2400</v>
      </c>
      <c r="K345" s="4">
        <f t="shared" si="16"/>
        <v>2400</v>
      </c>
      <c r="L345" s="5">
        <f t="shared" si="17"/>
        <v>1</v>
      </c>
    </row>
    <row r="346" spans="1:12" x14ac:dyDescent="0.3">
      <c r="A346" s="2">
        <v>45861</v>
      </c>
      <c r="B346" t="s">
        <v>24</v>
      </c>
      <c r="C346" t="s">
        <v>221</v>
      </c>
      <c r="E346" t="s">
        <v>26</v>
      </c>
      <c r="F346" t="s">
        <v>50</v>
      </c>
      <c r="G346">
        <v>10</v>
      </c>
      <c r="H346">
        <v>60</v>
      </c>
      <c r="I346" s="4"/>
      <c r="J346">
        <f t="shared" si="15"/>
        <v>600</v>
      </c>
      <c r="K346" s="4">
        <f t="shared" si="16"/>
        <v>600</v>
      </c>
      <c r="L346" s="5">
        <f t="shared" si="17"/>
        <v>1</v>
      </c>
    </row>
    <row r="347" spans="1:12" x14ac:dyDescent="0.3">
      <c r="A347" s="2">
        <v>45861</v>
      </c>
      <c r="B347" t="s">
        <v>37</v>
      </c>
      <c r="C347" t="s">
        <v>164</v>
      </c>
      <c r="E347" t="s">
        <v>106</v>
      </c>
      <c r="F347" t="s">
        <v>17</v>
      </c>
      <c r="G347">
        <v>1</v>
      </c>
      <c r="H347">
        <v>110</v>
      </c>
      <c r="I347" s="4"/>
      <c r="J347">
        <f t="shared" si="15"/>
        <v>110</v>
      </c>
      <c r="K347" s="4">
        <f t="shared" si="16"/>
        <v>110</v>
      </c>
      <c r="L347" s="5">
        <f t="shared" si="17"/>
        <v>1</v>
      </c>
    </row>
    <row r="348" spans="1:12" x14ac:dyDescent="0.3">
      <c r="A348" s="2">
        <v>45861</v>
      </c>
      <c r="B348" t="s">
        <v>37</v>
      </c>
      <c r="C348" t="s">
        <v>164</v>
      </c>
      <c r="E348" t="s">
        <v>106</v>
      </c>
      <c r="F348" t="s">
        <v>166</v>
      </c>
      <c r="G348">
        <v>1</v>
      </c>
      <c r="H348">
        <v>170</v>
      </c>
      <c r="I348" s="4"/>
      <c r="J348">
        <f t="shared" si="15"/>
        <v>170</v>
      </c>
      <c r="K348" s="4">
        <f t="shared" si="16"/>
        <v>170</v>
      </c>
      <c r="L348" s="5">
        <f t="shared" si="17"/>
        <v>1</v>
      </c>
    </row>
    <row r="349" spans="1:12" x14ac:dyDescent="0.3">
      <c r="A349" s="2">
        <v>45861</v>
      </c>
      <c r="B349" t="s">
        <v>37</v>
      </c>
      <c r="C349" t="s">
        <v>164</v>
      </c>
      <c r="E349" t="s">
        <v>106</v>
      </c>
      <c r="F349" t="s">
        <v>17</v>
      </c>
      <c r="G349">
        <v>1</v>
      </c>
      <c r="H349">
        <v>110</v>
      </c>
      <c r="I349" s="4"/>
      <c r="J349">
        <f t="shared" si="15"/>
        <v>110</v>
      </c>
      <c r="K349" s="4">
        <f t="shared" si="16"/>
        <v>110</v>
      </c>
      <c r="L349" s="5">
        <f t="shared" si="17"/>
        <v>1</v>
      </c>
    </row>
    <row r="350" spans="1:12" x14ac:dyDescent="0.3">
      <c r="A350" s="2">
        <v>45861</v>
      </c>
      <c r="B350" t="s">
        <v>37</v>
      </c>
      <c r="C350" t="s">
        <v>164</v>
      </c>
      <c r="E350" t="s">
        <v>106</v>
      </c>
      <c r="F350" t="s">
        <v>166</v>
      </c>
      <c r="G350">
        <v>1</v>
      </c>
      <c r="H350">
        <v>170</v>
      </c>
      <c r="I350" s="4"/>
      <c r="J350">
        <f t="shared" si="15"/>
        <v>170</v>
      </c>
      <c r="K350" s="4">
        <f t="shared" si="16"/>
        <v>170</v>
      </c>
      <c r="L350" s="5">
        <f t="shared" si="17"/>
        <v>1</v>
      </c>
    </row>
    <row r="351" spans="1:12" x14ac:dyDescent="0.3">
      <c r="A351" s="2">
        <v>45861</v>
      </c>
      <c r="B351" t="s">
        <v>72</v>
      </c>
      <c r="C351" t="s">
        <v>84</v>
      </c>
      <c r="E351" t="s">
        <v>85</v>
      </c>
      <c r="F351" t="s">
        <v>222</v>
      </c>
      <c r="G351">
        <v>15</v>
      </c>
      <c r="H351">
        <v>100</v>
      </c>
      <c r="I351" s="4"/>
      <c r="J351">
        <f t="shared" si="15"/>
        <v>1500</v>
      </c>
      <c r="K351" s="4">
        <f t="shared" si="16"/>
        <v>1500</v>
      </c>
      <c r="L351" s="5">
        <f t="shared" si="17"/>
        <v>1</v>
      </c>
    </row>
    <row r="352" spans="1:12" x14ac:dyDescent="0.3">
      <c r="A352" s="2">
        <v>45861</v>
      </c>
      <c r="B352" t="s">
        <v>72</v>
      </c>
      <c r="C352" t="s">
        <v>84</v>
      </c>
      <c r="E352" t="s">
        <v>85</v>
      </c>
      <c r="F352" t="s">
        <v>63</v>
      </c>
      <c r="G352">
        <v>10</v>
      </c>
      <c r="H352">
        <v>365</v>
      </c>
      <c r="I352" s="4"/>
      <c r="J352">
        <f t="shared" si="15"/>
        <v>3650</v>
      </c>
      <c r="K352" s="4">
        <f t="shared" si="16"/>
        <v>3650</v>
      </c>
      <c r="L352" s="5">
        <f t="shared" si="17"/>
        <v>1</v>
      </c>
    </row>
    <row r="353" spans="1:12" x14ac:dyDescent="0.3">
      <c r="A353" s="2">
        <v>45862</v>
      </c>
      <c r="B353" t="s">
        <v>28</v>
      </c>
      <c r="C353" t="s">
        <v>176</v>
      </c>
      <c r="E353" t="s">
        <v>115</v>
      </c>
      <c r="F353" t="s">
        <v>81</v>
      </c>
      <c r="G353">
        <v>1</v>
      </c>
      <c r="H353">
        <v>590</v>
      </c>
      <c r="I353" s="4"/>
      <c r="J353">
        <f t="shared" si="15"/>
        <v>590</v>
      </c>
      <c r="K353" s="4">
        <f t="shared" si="16"/>
        <v>590</v>
      </c>
      <c r="L353" s="5">
        <f t="shared" si="17"/>
        <v>1</v>
      </c>
    </row>
    <row r="354" spans="1:12" x14ac:dyDescent="0.3">
      <c r="A354" s="2">
        <v>45862</v>
      </c>
      <c r="B354" t="s">
        <v>28</v>
      </c>
      <c r="C354" t="s">
        <v>138</v>
      </c>
      <c r="E354" t="s">
        <v>49</v>
      </c>
      <c r="F354" t="s">
        <v>63</v>
      </c>
      <c r="G354">
        <v>6</v>
      </c>
      <c r="H354">
        <v>361.75</v>
      </c>
      <c r="I354" s="4"/>
      <c r="J354">
        <f t="shared" si="15"/>
        <v>2170.5</v>
      </c>
      <c r="K354" s="4">
        <f t="shared" si="16"/>
        <v>2170.5</v>
      </c>
      <c r="L354" s="5">
        <f t="shared" si="17"/>
        <v>1</v>
      </c>
    </row>
    <row r="355" spans="1:12" x14ac:dyDescent="0.3">
      <c r="A355" s="2">
        <v>45862</v>
      </c>
      <c r="B355" t="s">
        <v>28</v>
      </c>
      <c r="C355" t="s">
        <v>48</v>
      </c>
      <c r="E355" t="s">
        <v>115</v>
      </c>
      <c r="F355" t="s">
        <v>223</v>
      </c>
      <c r="G355">
        <v>2</v>
      </c>
      <c r="H355">
        <v>200</v>
      </c>
      <c r="I355" s="4"/>
      <c r="J355">
        <f t="shared" si="15"/>
        <v>400</v>
      </c>
      <c r="K355" s="4">
        <f t="shared" si="16"/>
        <v>400</v>
      </c>
      <c r="L355" s="5">
        <f t="shared" si="17"/>
        <v>1</v>
      </c>
    </row>
    <row r="356" spans="1:12" x14ac:dyDescent="0.3">
      <c r="A356" s="2">
        <v>45862</v>
      </c>
      <c r="B356" t="s">
        <v>28</v>
      </c>
      <c r="C356" t="s">
        <v>48</v>
      </c>
      <c r="E356" t="s">
        <v>115</v>
      </c>
      <c r="F356" t="s">
        <v>222</v>
      </c>
      <c r="G356">
        <v>2</v>
      </c>
      <c r="H356">
        <v>200</v>
      </c>
      <c r="I356" s="4"/>
      <c r="J356">
        <f t="shared" si="15"/>
        <v>400</v>
      </c>
      <c r="K356" s="4">
        <f t="shared" si="16"/>
        <v>400</v>
      </c>
      <c r="L356" s="5">
        <f t="shared" si="17"/>
        <v>1</v>
      </c>
    </row>
    <row r="357" spans="1:12" x14ac:dyDescent="0.3">
      <c r="A357" s="2">
        <v>45862</v>
      </c>
      <c r="B357" t="s">
        <v>24</v>
      </c>
      <c r="C357" t="s">
        <v>224</v>
      </c>
      <c r="E357" t="s">
        <v>14</v>
      </c>
      <c r="F357" t="s">
        <v>225</v>
      </c>
      <c r="G357">
        <v>2</v>
      </c>
      <c r="H357">
        <v>570</v>
      </c>
      <c r="I357" s="4"/>
      <c r="J357">
        <f t="shared" si="15"/>
        <v>1140</v>
      </c>
      <c r="K357" s="4">
        <f t="shared" si="16"/>
        <v>1140</v>
      </c>
      <c r="L357" s="5">
        <f t="shared" si="17"/>
        <v>1</v>
      </c>
    </row>
    <row r="358" spans="1:12" x14ac:dyDescent="0.3">
      <c r="A358" s="2">
        <v>45862</v>
      </c>
      <c r="B358" t="s">
        <v>24</v>
      </c>
      <c r="C358" t="s">
        <v>41</v>
      </c>
      <c r="E358" t="s">
        <v>14</v>
      </c>
      <c r="F358" t="s">
        <v>42</v>
      </c>
      <c r="G358">
        <v>1</v>
      </c>
      <c r="H358">
        <v>675</v>
      </c>
      <c r="I358" s="4"/>
      <c r="J358">
        <f t="shared" si="15"/>
        <v>675</v>
      </c>
      <c r="K358" s="4">
        <f t="shared" si="16"/>
        <v>675</v>
      </c>
      <c r="L358" s="5">
        <f t="shared" si="17"/>
        <v>1</v>
      </c>
    </row>
    <row r="359" spans="1:12" x14ac:dyDescent="0.3">
      <c r="A359" s="2">
        <v>45862</v>
      </c>
      <c r="B359" t="s">
        <v>59</v>
      </c>
      <c r="C359" t="s">
        <v>226</v>
      </c>
      <c r="E359" t="s">
        <v>44</v>
      </c>
      <c r="F359" t="s">
        <v>23</v>
      </c>
      <c r="G359">
        <v>20</v>
      </c>
      <c r="H359">
        <v>52</v>
      </c>
      <c r="I359" s="4"/>
      <c r="J359">
        <f t="shared" si="15"/>
        <v>1040</v>
      </c>
      <c r="K359" s="4">
        <f t="shared" si="16"/>
        <v>1040</v>
      </c>
      <c r="L359" s="5">
        <f t="shared" si="17"/>
        <v>1</v>
      </c>
    </row>
    <row r="360" spans="1:12" x14ac:dyDescent="0.3">
      <c r="A360" s="2">
        <v>45862</v>
      </c>
      <c r="B360" t="s">
        <v>59</v>
      </c>
      <c r="C360" t="s">
        <v>226</v>
      </c>
      <c r="E360" t="s">
        <v>44</v>
      </c>
      <c r="F360" t="s">
        <v>31</v>
      </c>
      <c r="G360">
        <v>280</v>
      </c>
      <c r="H360">
        <v>40</v>
      </c>
      <c r="I360" s="4"/>
      <c r="J360">
        <f t="shared" si="15"/>
        <v>11200</v>
      </c>
      <c r="K360" s="4">
        <f t="shared" si="16"/>
        <v>11200</v>
      </c>
      <c r="L360" s="5">
        <f t="shared" si="17"/>
        <v>1</v>
      </c>
    </row>
    <row r="361" spans="1:12" x14ac:dyDescent="0.3">
      <c r="A361" s="2">
        <v>45862</v>
      </c>
      <c r="B361" t="s">
        <v>59</v>
      </c>
      <c r="C361" t="s">
        <v>226</v>
      </c>
      <c r="E361" t="s">
        <v>44</v>
      </c>
      <c r="F361" t="s">
        <v>227</v>
      </c>
      <c r="G361">
        <v>2</v>
      </c>
      <c r="H361">
        <v>535</v>
      </c>
      <c r="I361" s="4"/>
      <c r="J361">
        <f t="shared" si="15"/>
        <v>1070</v>
      </c>
      <c r="K361" s="4">
        <f t="shared" si="16"/>
        <v>1070</v>
      </c>
      <c r="L361" s="5">
        <f t="shared" si="17"/>
        <v>1</v>
      </c>
    </row>
    <row r="362" spans="1:12" x14ac:dyDescent="0.3">
      <c r="A362" s="2">
        <v>45862</v>
      </c>
      <c r="B362" t="s">
        <v>59</v>
      </c>
      <c r="C362" t="s">
        <v>226</v>
      </c>
      <c r="E362" t="s">
        <v>44</v>
      </c>
      <c r="F362" t="s">
        <v>228</v>
      </c>
      <c r="G362">
        <v>1</v>
      </c>
      <c r="H362">
        <v>535</v>
      </c>
      <c r="I362" s="4"/>
      <c r="J362">
        <f t="shared" si="15"/>
        <v>535</v>
      </c>
      <c r="K362" s="4">
        <f t="shared" si="16"/>
        <v>535</v>
      </c>
      <c r="L362" s="5">
        <f t="shared" si="17"/>
        <v>1</v>
      </c>
    </row>
    <row r="363" spans="1:12" x14ac:dyDescent="0.3">
      <c r="A363" s="2">
        <v>45862</v>
      </c>
      <c r="B363" t="s">
        <v>59</v>
      </c>
      <c r="C363" t="s">
        <v>226</v>
      </c>
      <c r="E363" t="s">
        <v>44</v>
      </c>
      <c r="F363" t="s">
        <v>229</v>
      </c>
      <c r="G363">
        <v>5</v>
      </c>
      <c r="H363">
        <v>535</v>
      </c>
      <c r="I363" s="4"/>
      <c r="J363">
        <f t="shared" si="15"/>
        <v>2675</v>
      </c>
      <c r="K363" s="4">
        <f t="shared" si="16"/>
        <v>2675</v>
      </c>
      <c r="L363" s="5">
        <f t="shared" si="17"/>
        <v>1</v>
      </c>
    </row>
    <row r="364" spans="1:12" x14ac:dyDescent="0.3">
      <c r="A364" s="2">
        <v>45862</v>
      </c>
      <c r="B364" t="s">
        <v>59</v>
      </c>
      <c r="C364" t="s">
        <v>226</v>
      </c>
      <c r="E364" t="s">
        <v>44</v>
      </c>
      <c r="F364" t="s">
        <v>230</v>
      </c>
      <c r="G364">
        <v>2</v>
      </c>
      <c r="H364">
        <v>535</v>
      </c>
      <c r="I364" s="4"/>
      <c r="J364">
        <f t="shared" si="15"/>
        <v>1070</v>
      </c>
      <c r="K364" s="4">
        <f t="shared" si="16"/>
        <v>1070</v>
      </c>
      <c r="L364" s="5">
        <f t="shared" si="17"/>
        <v>1</v>
      </c>
    </row>
    <row r="365" spans="1:12" x14ac:dyDescent="0.3">
      <c r="A365" s="2">
        <v>45862</v>
      </c>
      <c r="B365" t="s">
        <v>59</v>
      </c>
      <c r="C365" t="s">
        <v>226</v>
      </c>
      <c r="E365" t="s">
        <v>44</v>
      </c>
      <c r="F365" t="s">
        <v>82</v>
      </c>
      <c r="G365">
        <v>2</v>
      </c>
      <c r="H365">
        <v>399</v>
      </c>
      <c r="I365" s="4"/>
      <c r="J365">
        <f t="shared" si="15"/>
        <v>798</v>
      </c>
      <c r="K365" s="4">
        <f t="shared" si="16"/>
        <v>798</v>
      </c>
      <c r="L365" s="5">
        <f t="shared" si="17"/>
        <v>1</v>
      </c>
    </row>
    <row r="366" spans="1:12" x14ac:dyDescent="0.3">
      <c r="A366" s="2">
        <v>45862</v>
      </c>
      <c r="B366" t="s">
        <v>37</v>
      </c>
      <c r="C366" t="s">
        <v>164</v>
      </c>
      <c r="E366" t="s">
        <v>106</v>
      </c>
      <c r="F366" t="s">
        <v>17</v>
      </c>
      <c r="G366">
        <v>1</v>
      </c>
      <c r="H366">
        <v>110</v>
      </c>
      <c r="I366" s="4"/>
      <c r="J366">
        <f t="shared" si="15"/>
        <v>110</v>
      </c>
      <c r="K366" s="4">
        <f t="shared" si="16"/>
        <v>110</v>
      </c>
      <c r="L366" s="5">
        <f t="shared" si="17"/>
        <v>1</v>
      </c>
    </row>
    <row r="367" spans="1:12" x14ac:dyDescent="0.3">
      <c r="A367" s="2">
        <v>45862</v>
      </c>
      <c r="B367" t="s">
        <v>37</v>
      </c>
      <c r="C367" t="s">
        <v>164</v>
      </c>
      <c r="E367" t="s">
        <v>106</v>
      </c>
      <c r="F367" t="s">
        <v>166</v>
      </c>
      <c r="G367">
        <v>1</v>
      </c>
      <c r="H367">
        <v>170</v>
      </c>
      <c r="I367" s="4"/>
      <c r="J367">
        <f t="shared" si="15"/>
        <v>170</v>
      </c>
      <c r="K367" s="4">
        <f t="shared" si="16"/>
        <v>170</v>
      </c>
      <c r="L367" s="5">
        <f t="shared" si="17"/>
        <v>1</v>
      </c>
    </row>
    <row r="368" spans="1:12" x14ac:dyDescent="0.3">
      <c r="A368" s="2">
        <v>45862</v>
      </c>
      <c r="B368" t="s">
        <v>37</v>
      </c>
      <c r="C368" t="s">
        <v>164</v>
      </c>
      <c r="E368" t="s">
        <v>106</v>
      </c>
      <c r="F368" t="s">
        <v>17</v>
      </c>
      <c r="G368">
        <v>1</v>
      </c>
      <c r="H368">
        <v>110</v>
      </c>
      <c r="I368" s="4"/>
      <c r="J368">
        <f t="shared" si="15"/>
        <v>110</v>
      </c>
      <c r="K368" s="4">
        <f t="shared" si="16"/>
        <v>110</v>
      </c>
      <c r="L368" s="5">
        <f t="shared" si="17"/>
        <v>1</v>
      </c>
    </row>
    <row r="369" spans="1:12" x14ac:dyDescent="0.3">
      <c r="A369" s="2">
        <v>45862</v>
      </c>
      <c r="B369" t="s">
        <v>37</v>
      </c>
      <c r="C369" t="s">
        <v>164</v>
      </c>
      <c r="E369" t="s">
        <v>106</v>
      </c>
      <c r="F369" t="s">
        <v>166</v>
      </c>
      <c r="G369">
        <v>1</v>
      </c>
      <c r="H369">
        <v>170</v>
      </c>
      <c r="I369" s="4"/>
      <c r="J369">
        <f t="shared" si="15"/>
        <v>170</v>
      </c>
      <c r="K369" s="4">
        <f t="shared" si="16"/>
        <v>170</v>
      </c>
      <c r="L369" s="5">
        <f t="shared" si="17"/>
        <v>1</v>
      </c>
    </row>
    <row r="370" spans="1:12" x14ac:dyDescent="0.3">
      <c r="A370" s="2">
        <v>45862</v>
      </c>
      <c r="B370" t="s">
        <v>37</v>
      </c>
      <c r="C370" t="s">
        <v>164</v>
      </c>
      <c r="E370" t="s">
        <v>106</v>
      </c>
      <c r="F370" t="s">
        <v>17</v>
      </c>
      <c r="G370">
        <v>1</v>
      </c>
      <c r="H370">
        <v>110</v>
      </c>
      <c r="I370" s="4"/>
      <c r="J370">
        <f t="shared" si="15"/>
        <v>110</v>
      </c>
      <c r="K370" s="4">
        <f t="shared" si="16"/>
        <v>110</v>
      </c>
      <c r="L370" s="5">
        <f t="shared" si="17"/>
        <v>1</v>
      </c>
    </row>
    <row r="371" spans="1:12" x14ac:dyDescent="0.3">
      <c r="A371" s="2">
        <v>45862</v>
      </c>
      <c r="B371" t="s">
        <v>37</v>
      </c>
      <c r="C371" t="s">
        <v>164</v>
      </c>
      <c r="E371" t="s">
        <v>106</v>
      </c>
      <c r="F371" t="s">
        <v>166</v>
      </c>
      <c r="G371">
        <v>1</v>
      </c>
      <c r="H371">
        <v>170</v>
      </c>
      <c r="I371" s="4"/>
      <c r="J371">
        <f t="shared" si="15"/>
        <v>170</v>
      </c>
      <c r="K371" s="4">
        <f t="shared" si="16"/>
        <v>170</v>
      </c>
      <c r="L371" s="5">
        <f t="shared" si="17"/>
        <v>1</v>
      </c>
    </row>
    <row r="372" spans="1:12" x14ac:dyDescent="0.3">
      <c r="A372" s="2">
        <v>45862</v>
      </c>
      <c r="B372" t="s">
        <v>37</v>
      </c>
      <c r="C372" t="s">
        <v>48</v>
      </c>
      <c r="E372" t="s">
        <v>117</v>
      </c>
      <c r="F372" t="s">
        <v>112</v>
      </c>
      <c r="G372">
        <v>10</v>
      </c>
      <c r="H372">
        <v>580</v>
      </c>
      <c r="I372" s="4"/>
      <c r="J372">
        <f t="shared" si="15"/>
        <v>5800</v>
      </c>
      <c r="K372" s="4">
        <f t="shared" si="16"/>
        <v>5800</v>
      </c>
      <c r="L372" s="5">
        <f t="shared" si="17"/>
        <v>1</v>
      </c>
    </row>
    <row r="373" spans="1:12" x14ac:dyDescent="0.3">
      <c r="A373" s="2">
        <v>45862</v>
      </c>
      <c r="B373" t="s">
        <v>28</v>
      </c>
      <c r="C373" t="s">
        <v>231</v>
      </c>
      <c r="E373" t="s">
        <v>216</v>
      </c>
      <c r="F373" t="s">
        <v>40</v>
      </c>
      <c r="G373">
        <v>566</v>
      </c>
      <c r="H373">
        <v>64</v>
      </c>
      <c r="I373" s="4"/>
      <c r="J373">
        <f t="shared" si="15"/>
        <v>36224</v>
      </c>
      <c r="K373" s="4">
        <f t="shared" si="16"/>
        <v>36224</v>
      </c>
      <c r="L373" s="5">
        <f t="shared" si="17"/>
        <v>1</v>
      </c>
    </row>
    <row r="374" spans="1:12" x14ac:dyDescent="0.3">
      <c r="A374" s="2">
        <v>45862</v>
      </c>
      <c r="B374" t="s">
        <v>37</v>
      </c>
      <c r="C374" t="s">
        <v>232</v>
      </c>
      <c r="E374" t="s">
        <v>106</v>
      </c>
      <c r="F374" t="s">
        <v>233</v>
      </c>
      <c r="G374">
        <v>6</v>
      </c>
      <c r="H374">
        <v>475</v>
      </c>
      <c r="I374" s="4"/>
      <c r="J374">
        <f t="shared" si="15"/>
        <v>2850</v>
      </c>
      <c r="K374" s="4">
        <f t="shared" si="16"/>
        <v>2850</v>
      </c>
      <c r="L374" s="5">
        <f t="shared" si="17"/>
        <v>1</v>
      </c>
    </row>
    <row r="375" spans="1:12" x14ac:dyDescent="0.3">
      <c r="A375" s="2">
        <v>45862</v>
      </c>
      <c r="B375" t="s">
        <v>28</v>
      </c>
      <c r="C375" t="s">
        <v>234</v>
      </c>
      <c r="E375" t="s">
        <v>49</v>
      </c>
      <c r="F375" t="s">
        <v>112</v>
      </c>
      <c r="G375">
        <v>3</v>
      </c>
      <c r="H375">
        <v>841.06</v>
      </c>
      <c r="I375" s="4"/>
      <c r="J375">
        <f t="shared" si="15"/>
        <v>2523.1799999999998</v>
      </c>
      <c r="K375" s="4">
        <f t="shared" si="16"/>
        <v>2523.1799999999998</v>
      </c>
      <c r="L375" s="5">
        <f t="shared" si="17"/>
        <v>1</v>
      </c>
    </row>
    <row r="376" spans="1:12" x14ac:dyDescent="0.3">
      <c r="A376" s="2">
        <v>45862</v>
      </c>
      <c r="B376" t="s">
        <v>37</v>
      </c>
      <c r="C376" t="s">
        <v>235</v>
      </c>
      <c r="E376" t="s">
        <v>117</v>
      </c>
      <c r="F376" t="s">
        <v>233</v>
      </c>
      <c r="G376">
        <v>1</v>
      </c>
      <c r="H376">
        <v>578</v>
      </c>
      <c r="I376" s="4"/>
      <c r="J376">
        <f t="shared" si="15"/>
        <v>578</v>
      </c>
      <c r="K376" s="4">
        <f t="shared" si="16"/>
        <v>578</v>
      </c>
      <c r="L376" s="5">
        <f t="shared" si="17"/>
        <v>1</v>
      </c>
    </row>
    <row r="377" spans="1:12" x14ac:dyDescent="0.3">
      <c r="A377" s="2">
        <v>45862</v>
      </c>
      <c r="B377" t="s">
        <v>24</v>
      </c>
      <c r="C377" t="s">
        <v>171</v>
      </c>
      <c r="E377" t="s">
        <v>14</v>
      </c>
      <c r="F377" t="s">
        <v>233</v>
      </c>
      <c r="G377">
        <v>2</v>
      </c>
      <c r="H377">
        <v>580</v>
      </c>
      <c r="I377" s="4"/>
      <c r="J377">
        <f t="shared" si="15"/>
        <v>1160</v>
      </c>
      <c r="K377" s="4">
        <f t="shared" si="16"/>
        <v>1160</v>
      </c>
      <c r="L377" s="5">
        <f t="shared" si="17"/>
        <v>1</v>
      </c>
    </row>
    <row r="378" spans="1:12" x14ac:dyDescent="0.3">
      <c r="A378" s="2">
        <v>45862</v>
      </c>
      <c r="B378" t="s">
        <v>37</v>
      </c>
      <c r="C378" t="s">
        <v>48</v>
      </c>
      <c r="E378" t="s">
        <v>117</v>
      </c>
      <c r="F378" t="s">
        <v>112</v>
      </c>
      <c r="G378">
        <v>2</v>
      </c>
      <c r="H378">
        <v>600</v>
      </c>
      <c r="I378" s="4"/>
      <c r="J378">
        <f t="shared" si="15"/>
        <v>1200</v>
      </c>
      <c r="K378" s="4">
        <f t="shared" si="16"/>
        <v>1200</v>
      </c>
      <c r="L378" s="5">
        <f t="shared" si="17"/>
        <v>1</v>
      </c>
    </row>
    <row r="379" spans="1:12" x14ac:dyDescent="0.3">
      <c r="A379" s="2">
        <v>45863</v>
      </c>
      <c r="B379" t="s">
        <v>59</v>
      </c>
      <c r="C379" t="s">
        <v>108</v>
      </c>
      <c r="E379" t="s">
        <v>44</v>
      </c>
      <c r="F379" t="s">
        <v>112</v>
      </c>
      <c r="G379">
        <v>6</v>
      </c>
      <c r="H379">
        <v>530</v>
      </c>
      <c r="I379" s="4"/>
      <c r="J379">
        <f t="shared" si="15"/>
        <v>3180</v>
      </c>
      <c r="K379" s="4">
        <f t="shared" si="16"/>
        <v>3180</v>
      </c>
      <c r="L379" s="5">
        <f t="shared" si="17"/>
        <v>1</v>
      </c>
    </row>
    <row r="380" spans="1:12" x14ac:dyDescent="0.3">
      <c r="A380" s="2">
        <v>45863</v>
      </c>
      <c r="B380" t="s">
        <v>72</v>
      </c>
      <c r="C380" t="s">
        <v>76</v>
      </c>
      <c r="E380" t="s">
        <v>14</v>
      </c>
      <c r="F380" t="s">
        <v>129</v>
      </c>
      <c r="G380">
        <v>10</v>
      </c>
      <c r="H380">
        <v>335</v>
      </c>
      <c r="I380" s="4"/>
      <c r="J380">
        <f t="shared" si="15"/>
        <v>3350</v>
      </c>
      <c r="K380" s="4">
        <f t="shared" si="16"/>
        <v>3350</v>
      </c>
      <c r="L380" s="5">
        <f t="shared" si="17"/>
        <v>1</v>
      </c>
    </row>
    <row r="381" spans="1:12" x14ac:dyDescent="0.3">
      <c r="A381" s="2">
        <v>45863</v>
      </c>
      <c r="B381" t="s">
        <v>72</v>
      </c>
      <c r="C381" t="s">
        <v>76</v>
      </c>
      <c r="E381" t="s">
        <v>14</v>
      </c>
      <c r="F381" t="s">
        <v>15</v>
      </c>
      <c r="G381">
        <v>100</v>
      </c>
      <c r="H381">
        <v>48</v>
      </c>
      <c r="I381" s="4"/>
      <c r="J381">
        <f t="shared" si="15"/>
        <v>4800</v>
      </c>
      <c r="K381" s="4">
        <f t="shared" si="16"/>
        <v>4800</v>
      </c>
      <c r="L381" s="5">
        <f t="shared" si="17"/>
        <v>1</v>
      </c>
    </row>
    <row r="382" spans="1:12" x14ac:dyDescent="0.3">
      <c r="A382" s="2">
        <v>45863</v>
      </c>
      <c r="B382" t="s">
        <v>37</v>
      </c>
      <c r="C382" t="s">
        <v>211</v>
      </c>
      <c r="E382" t="s">
        <v>154</v>
      </c>
      <c r="F382" t="s">
        <v>89</v>
      </c>
      <c r="G382">
        <v>500</v>
      </c>
      <c r="H382">
        <v>41.8</v>
      </c>
      <c r="I382" s="4"/>
      <c r="J382">
        <f t="shared" si="15"/>
        <v>20900</v>
      </c>
      <c r="K382" s="4">
        <f t="shared" si="16"/>
        <v>20900</v>
      </c>
      <c r="L382" s="5">
        <f t="shared" si="17"/>
        <v>1</v>
      </c>
    </row>
    <row r="383" spans="1:12" x14ac:dyDescent="0.3">
      <c r="A383" s="2">
        <v>45863</v>
      </c>
      <c r="B383" t="s">
        <v>37</v>
      </c>
      <c r="C383" t="s">
        <v>177</v>
      </c>
      <c r="E383" t="s">
        <v>71</v>
      </c>
      <c r="F383" t="s">
        <v>90</v>
      </c>
      <c r="G383">
        <v>100</v>
      </c>
      <c r="H383">
        <v>298</v>
      </c>
      <c r="I383" s="4"/>
      <c r="J383">
        <f t="shared" si="15"/>
        <v>29800</v>
      </c>
      <c r="K383" s="4">
        <f t="shared" si="16"/>
        <v>29800</v>
      </c>
      <c r="L383" s="5">
        <f t="shared" si="17"/>
        <v>1</v>
      </c>
    </row>
    <row r="384" spans="1:12" x14ac:dyDescent="0.3">
      <c r="A384" s="2">
        <v>45863</v>
      </c>
      <c r="B384" t="s">
        <v>24</v>
      </c>
      <c r="C384" t="s">
        <v>211</v>
      </c>
      <c r="E384" t="s">
        <v>14</v>
      </c>
      <c r="F384" t="s">
        <v>236</v>
      </c>
      <c r="G384">
        <v>7</v>
      </c>
      <c r="H384">
        <v>590</v>
      </c>
      <c r="I384" s="4"/>
      <c r="J384">
        <f t="shared" si="15"/>
        <v>4130</v>
      </c>
      <c r="K384" s="4">
        <f t="shared" si="16"/>
        <v>4130</v>
      </c>
      <c r="L384" s="5">
        <f t="shared" si="17"/>
        <v>1</v>
      </c>
    </row>
    <row r="385" spans="1:12" x14ac:dyDescent="0.3">
      <c r="A385" s="2">
        <v>45863</v>
      </c>
      <c r="B385" t="s">
        <v>72</v>
      </c>
      <c r="C385" t="s">
        <v>237</v>
      </c>
      <c r="E385" t="s">
        <v>195</v>
      </c>
      <c r="F385" t="s">
        <v>129</v>
      </c>
      <c r="G385">
        <v>5</v>
      </c>
      <c r="H385">
        <v>335</v>
      </c>
      <c r="I385" s="4"/>
      <c r="J385">
        <f t="shared" si="15"/>
        <v>1675</v>
      </c>
      <c r="K385" s="4">
        <f t="shared" si="16"/>
        <v>1675</v>
      </c>
      <c r="L385" s="5">
        <f t="shared" si="17"/>
        <v>1</v>
      </c>
    </row>
    <row r="386" spans="1:12" x14ac:dyDescent="0.3">
      <c r="A386" s="2">
        <v>45863</v>
      </c>
      <c r="B386" t="s">
        <v>72</v>
      </c>
      <c r="C386" t="s">
        <v>237</v>
      </c>
      <c r="E386" t="s">
        <v>195</v>
      </c>
      <c r="F386" t="s">
        <v>15</v>
      </c>
      <c r="G386">
        <v>70</v>
      </c>
      <c r="H386">
        <v>48</v>
      </c>
      <c r="I386" s="4"/>
      <c r="J386">
        <f t="shared" ref="J386:J449" si="18">G386*H386</f>
        <v>3360</v>
      </c>
      <c r="K386" s="4">
        <f t="shared" ref="K386:K449" si="19">(H386-I386)*G386</f>
        <v>3360</v>
      </c>
      <c r="L386" s="5">
        <f t="shared" ref="L386:L449" si="20">IF(H386&gt;0,(H386-I386)/H386,0)</f>
        <v>1</v>
      </c>
    </row>
    <row r="387" spans="1:12" x14ac:dyDescent="0.3">
      <c r="A387" s="2">
        <v>45863</v>
      </c>
      <c r="B387" t="s">
        <v>24</v>
      </c>
      <c r="C387" t="s">
        <v>133</v>
      </c>
      <c r="E387" t="s">
        <v>14</v>
      </c>
      <c r="F387" t="s">
        <v>42</v>
      </c>
      <c r="G387">
        <v>1</v>
      </c>
      <c r="H387">
        <v>750</v>
      </c>
      <c r="I387" s="4"/>
      <c r="J387">
        <f t="shared" si="18"/>
        <v>750</v>
      </c>
      <c r="K387" s="4">
        <f t="shared" si="19"/>
        <v>750</v>
      </c>
      <c r="L387" s="5">
        <f t="shared" si="20"/>
        <v>1</v>
      </c>
    </row>
    <row r="388" spans="1:12" x14ac:dyDescent="0.3">
      <c r="A388" s="2">
        <v>45863</v>
      </c>
      <c r="B388" t="s">
        <v>72</v>
      </c>
      <c r="C388" t="s">
        <v>238</v>
      </c>
      <c r="E388" t="s">
        <v>239</v>
      </c>
      <c r="F388" t="s">
        <v>240</v>
      </c>
      <c r="G388">
        <v>10</v>
      </c>
      <c r="H388">
        <v>115</v>
      </c>
      <c r="I388" s="4"/>
      <c r="J388">
        <f t="shared" si="18"/>
        <v>1150</v>
      </c>
      <c r="K388" s="4">
        <f t="shared" si="19"/>
        <v>1150</v>
      </c>
      <c r="L388" s="5">
        <f t="shared" si="20"/>
        <v>1</v>
      </c>
    </row>
    <row r="389" spans="1:12" x14ac:dyDescent="0.3">
      <c r="A389" s="2">
        <v>45863</v>
      </c>
      <c r="B389" t="s">
        <v>12</v>
      </c>
      <c r="C389" t="s">
        <v>241</v>
      </c>
      <c r="E389" t="s">
        <v>115</v>
      </c>
      <c r="F389" t="s">
        <v>218</v>
      </c>
      <c r="G389">
        <v>2</v>
      </c>
      <c r="H389">
        <v>125</v>
      </c>
      <c r="I389" s="4"/>
      <c r="J389">
        <f t="shared" si="18"/>
        <v>250</v>
      </c>
      <c r="K389" s="4">
        <f t="shared" si="19"/>
        <v>250</v>
      </c>
      <c r="L389" s="5">
        <f t="shared" si="20"/>
        <v>1</v>
      </c>
    </row>
    <row r="390" spans="1:12" x14ac:dyDescent="0.3">
      <c r="A390" s="2">
        <v>45863</v>
      </c>
      <c r="B390" t="s">
        <v>28</v>
      </c>
      <c r="C390" t="s">
        <v>234</v>
      </c>
      <c r="E390" t="s">
        <v>49</v>
      </c>
      <c r="F390" t="s">
        <v>109</v>
      </c>
      <c r="G390">
        <v>10</v>
      </c>
      <c r="H390">
        <v>524.96</v>
      </c>
      <c r="I390" s="4"/>
      <c r="J390">
        <f t="shared" si="18"/>
        <v>5249.6</v>
      </c>
      <c r="K390" s="4">
        <f t="shared" si="19"/>
        <v>5249.6</v>
      </c>
      <c r="L390" s="5">
        <f t="shared" si="20"/>
        <v>1</v>
      </c>
    </row>
    <row r="391" spans="1:12" x14ac:dyDescent="0.3">
      <c r="A391" s="2">
        <v>45863</v>
      </c>
      <c r="B391" t="s">
        <v>28</v>
      </c>
      <c r="C391" t="s">
        <v>242</v>
      </c>
      <c r="E391" t="s">
        <v>30</v>
      </c>
      <c r="F391" t="s">
        <v>63</v>
      </c>
      <c r="G391">
        <v>1</v>
      </c>
      <c r="H391">
        <v>460</v>
      </c>
      <c r="I391" s="4"/>
      <c r="J391">
        <f t="shared" si="18"/>
        <v>460</v>
      </c>
      <c r="K391" s="4">
        <f t="shared" si="19"/>
        <v>460</v>
      </c>
      <c r="L391" s="5">
        <f t="shared" si="20"/>
        <v>1</v>
      </c>
    </row>
    <row r="392" spans="1:12" x14ac:dyDescent="0.3">
      <c r="A392" s="2">
        <v>45863</v>
      </c>
      <c r="B392" t="s">
        <v>12</v>
      </c>
      <c r="C392" t="s">
        <v>19</v>
      </c>
      <c r="E392" t="s">
        <v>14</v>
      </c>
      <c r="F392" t="s">
        <v>20</v>
      </c>
      <c r="G392">
        <v>15</v>
      </c>
      <c r="H392">
        <v>65</v>
      </c>
      <c r="I392" s="4"/>
      <c r="J392">
        <f t="shared" si="18"/>
        <v>975</v>
      </c>
      <c r="K392" s="4">
        <f t="shared" si="19"/>
        <v>975</v>
      </c>
      <c r="L392" s="5">
        <f t="shared" si="20"/>
        <v>1</v>
      </c>
    </row>
    <row r="393" spans="1:12" x14ac:dyDescent="0.3">
      <c r="A393" s="2">
        <v>45863</v>
      </c>
      <c r="B393" t="s">
        <v>24</v>
      </c>
      <c r="C393" t="s">
        <v>160</v>
      </c>
      <c r="E393" t="s">
        <v>14</v>
      </c>
      <c r="F393" t="s">
        <v>31</v>
      </c>
      <c r="G393">
        <v>10</v>
      </c>
      <c r="H393">
        <v>45</v>
      </c>
      <c r="I393" s="4"/>
      <c r="J393">
        <f t="shared" si="18"/>
        <v>450</v>
      </c>
      <c r="K393" s="4">
        <f t="shared" si="19"/>
        <v>450</v>
      </c>
      <c r="L393" s="5">
        <f t="shared" si="20"/>
        <v>1</v>
      </c>
    </row>
    <row r="394" spans="1:12" x14ac:dyDescent="0.3">
      <c r="A394" s="2">
        <v>45863</v>
      </c>
      <c r="B394" t="s">
        <v>28</v>
      </c>
      <c r="C394" t="s">
        <v>68</v>
      </c>
      <c r="E394" t="s">
        <v>115</v>
      </c>
      <c r="F394" t="s">
        <v>31</v>
      </c>
      <c r="G394">
        <v>2</v>
      </c>
      <c r="H394">
        <v>91</v>
      </c>
      <c r="I394" s="4"/>
      <c r="J394">
        <f t="shared" si="18"/>
        <v>182</v>
      </c>
      <c r="K394" s="4">
        <f t="shared" si="19"/>
        <v>182</v>
      </c>
      <c r="L394" s="5">
        <f t="shared" si="20"/>
        <v>1</v>
      </c>
    </row>
    <row r="395" spans="1:12" x14ac:dyDescent="0.3">
      <c r="A395" s="2">
        <v>45863</v>
      </c>
      <c r="B395" t="s">
        <v>37</v>
      </c>
      <c r="C395" t="s">
        <v>164</v>
      </c>
      <c r="E395" t="s">
        <v>106</v>
      </c>
      <c r="F395" t="s">
        <v>166</v>
      </c>
      <c r="G395">
        <v>1</v>
      </c>
      <c r="H395">
        <v>170</v>
      </c>
      <c r="I395" s="4"/>
      <c r="J395">
        <f t="shared" si="18"/>
        <v>170</v>
      </c>
      <c r="K395" s="4">
        <f t="shared" si="19"/>
        <v>170</v>
      </c>
      <c r="L395" s="5">
        <f t="shared" si="20"/>
        <v>1</v>
      </c>
    </row>
    <row r="396" spans="1:12" x14ac:dyDescent="0.3">
      <c r="A396" s="2">
        <v>45863</v>
      </c>
      <c r="B396" t="s">
        <v>37</v>
      </c>
      <c r="C396" t="s">
        <v>164</v>
      </c>
      <c r="E396" t="s">
        <v>106</v>
      </c>
      <c r="F396" t="s">
        <v>166</v>
      </c>
      <c r="G396">
        <v>1</v>
      </c>
      <c r="H396">
        <v>170</v>
      </c>
      <c r="I396" s="4"/>
      <c r="J396">
        <f t="shared" si="18"/>
        <v>170</v>
      </c>
      <c r="K396" s="4">
        <f t="shared" si="19"/>
        <v>170</v>
      </c>
      <c r="L396" s="5">
        <f t="shared" si="20"/>
        <v>1</v>
      </c>
    </row>
    <row r="397" spans="1:12" x14ac:dyDescent="0.3">
      <c r="A397" s="2">
        <v>45866</v>
      </c>
      <c r="B397" t="s">
        <v>24</v>
      </c>
      <c r="C397" t="s">
        <v>243</v>
      </c>
      <c r="E397" t="s">
        <v>14</v>
      </c>
      <c r="F397" t="s">
        <v>31</v>
      </c>
      <c r="G397">
        <v>5</v>
      </c>
      <c r="H397">
        <v>55</v>
      </c>
      <c r="I397" s="4"/>
      <c r="J397">
        <f t="shared" si="18"/>
        <v>275</v>
      </c>
      <c r="K397" s="4">
        <f t="shared" si="19"/>
        <v>275</v>
      </c>
      <c r="L397" s="5">
        <f t="shared" si="20"/>
        <v>1</v>
      </c>
    </row>
    <row r="398" spans="1:12" x14ac:dyDescent="0.3">
      <c r="A398" s="2">
        <v>45866</v>
      </c>
      <c r="B398" t="s">
        <v>24</v>
      </c>
      <c r="C398" t="s">
        <v>243</v>
      </c>
      <c r="E398" t="s">
        <v>14</v>
      </c>
      <c r="F398" t="s">
        <v>89</v>
      </c>
      <c r="G398">
        <v>5</v>
      </c>
      <c r="H398">
        <v>52</v>
      </c>
      <c r="I398" s="4"/>
      <c r="J398">
        <f t="shared" si="18"/>
        <v>260</v>
      </c>
      <c r="K398" s="4">
        <f t="shared" si="19"/>
        <v>260</v>
      </c>
      <c r="L398" s="5">
        <f t="shared" si="20"/>
        <v>1</v>
      </c>
    </row>
    <row r="399" spans="1:12" x14ac:dyDescent="0.3">
      <c r="A399" s="2">
        <v>45866</v>
      </c>
      <c r="B399" t="s">
        <v>12</v>
      </c>
      <c r="C399" t="s">
        <v>241</v>
      </c>
      <c r="E399" t="s">
        <v>115</v>
      </c>
      <c r="F399" t="s">
        <v>50</v>
      </c>
      <c r="G399">
        <v>10</v>
      </c>
      <c r="H399">
        <v>65</v>
      </c>
      <c r="I399" s="4"/>
      <c r="J399">
        <f t="shared" si="18"/>
        <v>650</v>
      </c>
      <c r="K399" s="4">
        <f t="shared" si="19"/>
        <v>650</v>
      </c>
      <c r="L399" s="5">
        <f t="shared" si="20"/>
        <v>1</v>
      </c>
    </row>
    <row r="400" spans="1:12" x14ac:dyDescent="0.3">
      <c r="A400" s="2">
        <v>45866</v>
      </c>
      <c r="B400" t="s">
        <v>28</v>
      </c>
      <c r="C400" t="s">
        <v>43</v>
      </c>
      <c r="E400" t="s">
        <v>85</v>
      </c>
      <c r="F400" t="s">
        <v>15</v>
      </c>
      <c r="G400">
        <v>100</v>
      </c>
      <c r="H400">
        <v>53</v>
      </c>
      <c r="I400" s="4"/>
      <c r="J400">
        <f t="shared" si="18"/>
        <v>5300</v>
      </c>
      <c r="K400" s="4">
        <f t="shared" si="19"/>
        <v>5300</v>
      </c>
      <c r="L400" s="5">
        <f t="shared" si="20"/>
        <v>1</v>
      </c>
    </row>
    <row r="401" spans="1:12" x14ac:dyDescent="0.3">
      <c r="A401" s="2">
        <v>45866</v>
      </c>
      <c r="B401" t="s">
        <v>37</v>
      </c>
      <c r="C401" t="s">
        <v>48</v>
      </c>
      <c r="E401" t="s">
        <v>244</v>
      </c>
      <c r="F401" t="s">
        <v>245</v>
      </c>
      <c r="G401">
        <v>3</v>
      </c>
      <c r="H401">
        <v>1180</v>
      </c>
      <c r="I401" s="4"/>
      <c r="J401">
        <f t="shared" si="18"/>
        <v>3540</v>
      </c>
      <c r="K401" s="4">
        <f t="shared" si="19"/>
        <v>3540</v>
      </c>
      <c r="L401" s="5">
        <f t="shared" si="20"/>
        <v>1</v>
      </c>
    </row>
    <row r="402" spans="1:12" x14ac:dyDescent="0.3">
      <c r="A402" s="2">
        <v>45866</v>
      </c>
      <c r="B402" t="s">
        <v>12</v>
      </c>
      <c r="C402" t="s">
        <v>246</v>
      </c>
      <c r="E402" t="s">
        <v>39</v>
      </c>
      <c r="F402" t="s">
        <v>42</v>
      </c>
      <c r="G402">
        <v>1</v>
      </c>
      <c r="H402">
        <v>950</v>
      </c>
      <c r="I402" s="4"/>
      <c r="J402">
        <f t="shared" si="18"/>
        <v>950</v>
      </c>
      <c r="K402" s="4">
        <f t="shared" si="19"/>
        <v>950</v>
      </c>
      <c r="L402" s="5">
        <f t="shared" si="20"/>
        <v>1</v>
      </c>
    </row>
    <row r="403" spans="1:12" x14ac:dyDescent="0.3">
      <c r="A403" s="2">
        <v>45866</v>
      </c>
      <c r="B403" t="s">
        <v>59</v>
      </c>
      <c r="C403" t="s">
        <v>144</v>
      </c>
      <c r="E403" t="s">
        <v>44</v>
      </c>
      <c r="F403" t="s">
        <v>236</v>
      </c>
      <c r="G403">
        <v>2</v>
      </c>
      <c r="H403">
        <v>225</v>
      </c>
      <c r="I403" s="4"/>
      <c r="J403">
        <f t="shared" si="18"/>
        <v>450</v>
      </c>
      <c r="K403" s="4">
        <f t="shared" si="19"/>
        <v>450</v>
      </c>
      <c r="L403" s="5">
        <f t="shared" si="20"/>
        <v>1</v>
      </c>
    </row>
    <row r="404" spans="1:12" x14ac:dyDescent="0.3">
      <c r="A404" s="2">
        <v>45866</v>
      </c>
      <c r="B404" t="s">
        <v>59</v>
      </c>
      <c r="C404" t="s">
        <v>144</v>
      </c>
      <c r="E404" t="s">
        <v>44</v>
      </c>
      <c r="F404" t="s">
        <v>27</v>
      </c>
      <c r="G404">
        <v>1</v>
      </c>
      <c r="H404">
        <v>225</v>
      </c>
      <c r="I404" s="4"/>
      <c r="J404">
        <f t="shared" si="18"/>
        <v>225</v>
      </c>
      <c r="K404" s="4">
        <f t="shared" si="19"/>
        <v>225</v>
      </c>
      <c r="L404" s="5">
        <f t="shared" si="20"/>
        <v>1</v>
      </c>
    </row>
    <row r="405" spans="1:12" x14ac:dyDescent="0.3">
      <c r="A405" s="2">
        <v>45866</v>
      </c>
      <c r="B405" t="s">
        <v>59</v>
      </c>
      <c r="C405" t="s">
        <v>144</v>
      </c>
      <c r="E405" t="s">
        <v>44</v>
      </c>
      <c r="F405" t="s">
        <v>247</v>
      </c>
      <c r="G405">
        <v>2</v>
      </c>
      <c r="H405">
        <v>225</v>
      </c>
      <c r="I405" s="4"/>
      <c r="J405">
        <f t="shared" si="18"/>
        <v>450</v>
      </c>
      <c r="K405" s="4">
        <f t="shared" si="19"/>
        <v>450</v>
      </c>
      <c r="L405" s="5">
        <f t="shared" si="20"/>
        <v>1</v>
      </c>
    </row>
    <row r="406" spans="1:12" x14ac:dyDescent="0.3">
      <c r="A406" s="2">
        <v>45866</v>
      </c>
      <c r="B406" t="s">
        <v>59</v>
      </c>
      <c r="C406" t="s">
        <v>144</v>
      </c>
      <c r="E406" t="s">
        <v>44</v>
      </c>
      <c r="F406" t="s">
        <v>137</v>
      </c>
      <c r="G406">
        <v>20</v>
      </c>
      <c r="H406">
        <v>52</v>
      </c>
      <c r="I406" s="4"/>
      <c r="J406">
        <f t="shared" si="18"/>
        <v>1040</v>
      </c>
      <c r="K406" s="4">
        <f t="shared" si="19"/>
        <v>1040</v>
      </c>
      <c r="L406" s="5">
        <f t="shared" si="20"/>
        <v>1</v>
      </c>
    </row>
    <row r="407" spans="1:12" x14ac:dyDescent="0.3">
      <c r="A407" s="2">
        <v>45866</v>
      </c>
      <c r="B407" t="s">
        <v>59</v>
      </c>
      <c r="C407" t="s">
        <v>144</v>
      </c>
      <c r="E407" t="s">
        <v>44</v>
      </c>
      <c r="F407" t="s">
        <v>36</v>
      </c>
      <c r="G407">
        <v>50</v>
      </c>
      <c r="H407">
        <v>85</v>
      </c>
      <c r="I407" s="4"/>
      <c r="J407">
        <f t="shared" si="18"/>
        <v>4250</v>
      </c>
      <c r="K407" s="4">
        <f t="shared" si="19"/>
        <v>4250</v>
      </c>
      <c r="L407" s="5">
        <f t="shared" si="20"/>
        <v>1</v>
      </c>
    </row>
    <row r="408" spans="1:12" x14ac:dyDescent="0.3">
      <c r="A408" s="2">
        <v>45866</v>
      </c>
      <c r="B408" t="s">
        <v>37</v>
      </c>
      <c r="C408" t="s">
        <v>248</v>
      </c>
      <c r="E408" t="s">
        <v>106</v>
      </c>
      <c r="F408" t="s">
        <v>92</v>
      </c>
      <c r="G408">
        <v>60</v>
      </c>
      <c r="H408">
        <v>400</v>
      </c>
      <c r="I408" s="4"/>
      <c r="J408">
        <f t="shared" si="18"/>
        <v>24000</v>
      </c>
      <c r="K408" s="4">
        <f t="shared" si="19"/>
        <v>24000</v>
      </c>
      <c r="L408" s="5">
        <f t="shared" si="20"/>
        <v>1</v>
      </c>
    </row>
    <row r="409" spans="1:12" x14ac:dyDescent="0.3">
      <c r="A409" s="2">
        <v>45866</v>
      </c>
      <c r="B409" t="s">
        <v>12</v>
      </c>
      <c r="C409" t="s">
        <v>249</v>
      </c>
      <c r="E409" t="s">
        <v>39</v>
      </c>
      <c r="F409" t="s">
        <v>23</v>
      </c>
      <c r="G409">
        <v>30</v>
      </c>
      <c r="H409">
        <v>65</v>
      </c>
      <c r="I409" s="4"/>
      <c r="J409">
        <f t="shared" si="18"/>
        <v>1950</v>
      </c>
      <c r="K409" s="4">
        <f t="shared" si="19"/>
        <v>1950</v>
      </c>
      <c r="L409" s="5">
        <f t="shared" si="20"/>
        <v>1</v>
      </c>
    </row>
    <row r="410" spans="1:12" x14ac:dyDescent="0.3">
      <c r="A410" s="2">
        <v>45866</v>
      </c>
      <c r="B410" t="s">
        <v>12</v>
      </c>
      <c r="C410" t="s">
        <v>249</v>
      </c>
      <c r="E410" t="s">
        <v>39</v>
      </c>
      <c r="F410" t="s">
        <v>50</v>
      </c>
      <c r="G410">
        <v>40</v>
      </c>
      <c r="H410">
        <v>65</v>
      </c>
      <c r="I410" s="4"/>
      <c r="J410">
        <f t="shared" si="18"/>
        <v>2600</v>
      </c>
      <c r="K410" s="4">
        <f t="shared" si="19"/>
        <v>2600</v>
      </c>
      <c r="L410" s="5">
        <f t="shared" si="20"/>
        <v>1</v>
      </c>
    </row>
    <row r="411" spans="1:12" x14ac:dyDescent="0.3">
      <c r="A411" s="2">
        <v>45866</v>
      </c>
      <c r="B411" t="s">
        <v>37</v>
      </c>
      <c r="C411" t="s">
        <v>248</v>
      </c>
      <c r="E411" t="s">
        <v>106</v>
      </c>
      <c r="F411" t="s">
        <v>92</v>
      </c>
      <c r="G411">
        <v>40</v>
      </c>
      <c r="H411">
        <v>400</v>
      </c>
      <c r="I411" s="4"/>
      <c r="J411">
        <f t="shared" si="18"/>
        <v>16000</v>
      </c>
      <c r="K411" s="4">
        <f t="shared" si="19"/>
        <v>16000</v>
      </c>
      <c r="L411" s="5">
        <f t="shared" si="20"/>
        <v>1</v>
      </c>
    </row>
    <row r="412" spans="1:12" x14ac:dyDescent="0.3">
      <c r="A412" s="2">
        <v>45866</v>
      </c>
      <c r="B412" t="s">
        <v>12</v>
      </c>
      <c r="C412" t="s">
        <v>13</v>
      </c>
      <c r="E412" t="s">
        <v>14</v>
      </c>
      <c r="F412" t="s">
        <v>15</v>
      </c>
      <c r="G412">
        <v>1</v>
      </c>
      <c r="H412">
        <v>120</v>
      </c>
      <c r="I412" s="4"/>
      <c r="J412">
        <f t="shared" si="18"/>
        <v>120</v>
      </c>
      <c r="K412" s="4">
        <f t="shared" si="19"/>
        <v>120</v>
      </c>
      <c r="L412" s="5">
        <f t="shared" si="20"/>
        <v>1</v>
      </c>
    </row>
    <row r="413" spans="1:12" x14ac:dyDescent="0.3">
      <c r="A413" s="2">
        <v>45866</v>
      </c>
      <c r="B413" t="s">
        <v>12</v>
      </c>
      <c r="C413" t="s">
        <v>13</v>
      </c>
      <c r="E413" t="s">
        <v>14</v>
      </c>
      <c r="F413" t="s">
        <v>16</v>
      </c>
      <c r="G413">
        <v>1</v>
      </c>
      <c r="H413">
        <v>350</v>
      </c>
      <c r="I413" s="4"/>
      <c r="J413">
        <f t="shared" si="18"/>
        <v>350</v>
      </c>
      <c r="K413" s="4">
        <f t="shared" si="19"/>
        <v>350</v>
      </c>
      <c r="L413" s="5">
        <f t="shared" si="20"/>
        <v>1</v>
      </c>
    </row>
    <row r="414" spans="1:12" x14ac:dyDescent="0.3">
      <c r="A414" s="2">
        <v>45866</v>
      </c>
      <c r="B414" t="s">
        <v>12</v>
      </c>
      <c r="C414" t="s">
        <v>13</v>
      </c>
      <c r="E414" t="s">
        <v>14</v>
      </c>
      <c r="F414" t="s">
        <v>17</v>
      </c>
      <c r="G414">
        <v>2</v>
      </c>
      <c r="H414">
        <v>110</v>
      </c>
      <c r="I414" s="4"/>
      <c r="J414">
        <f t="shared" si="18"/>
        <v>220</v>
      </c>
      <c r="K414" s="4">
        <f t="shared" si="19"/>
        <v>220</v>
      </c>
      <c r="L414" s="5">
        <f t="shared" si="20"/>
        <v>1</v>
      </c>
    </row>
    <row r="415" spans="1:12" x14ac:dyDescent="0.3">
      <c r="A415" s="2">
        <v>45866</v>
      </c>
      <c r="B415" t="s">
        <v>24</v>
      </c>
      <c r="C415" t="s">
        <v>250</v>
      </c>
      <c r="E415" t="s">
        <v>26</v>
      </c>
      <c r="F415" t="s">
        <v>251</v>
      </c>
      <c r="G415">
        <v>1</v>
      </c>
      <c r="H415">
        <v>1200</v>
      </c>
      <c r="I415" s="4"/>
      <c r="J415">
        <f t="shared" si="18"/>
        <v>1200</v>
      </c>
      <c r="K415" s="4">
        <f t="shared" si="19"/>
        <v>1200</v>
      </c>
      <c r="L415" s="5">
        <f t="shared" si="20"/>
        <v>1</v>
      </c>
    </row>
    <row r="416" spans="1:12" x14ac:dyDescent="0.3">
      <c r="A416" s="2">
        <v>45866</v>
      </c>
      <c r="B416" t="s">
        <v>24</v>
      </c>
      <c r="C416" t="s">
        <v>250</v>
      </c>
      <c r="E416" t="s">
        <v>26</v>
      </c>
      <c r="F416" t="s">
        <v>252</v>
      </c>
      <c r="G416">
        <v>1</v>
      </c>
      <c r="H416">
        <v>1200</v>
      </c>
      <c r="I416" s="4"/>
      <c r="J416">
        <f t="shared" si="18"/>
        <v>1200</v>
      </c>
      <c r="K416" s="4">
        <f t="shared" si="19"/>
        <v>1200</v>
      </c>
      <c r="L416" s="5">
        <f t="shared" si="20"/>
        <v>1</v>
      </c>
    </row>
    <row r="417" spans="1:12" x14ac:dyDescent="0.3">
      <c r="A417" s="2">
        <v>45867</v>
      </c>
      <c r="B417" t="s">
        <v>24</v>
      </c>
      <c r="C417" t="s">
        <v>41</v>
      </c>
      <c r="E417" t="s">
        <v>14</v>
      </c>
      <c r="F417" t="s">
        <v>42</v>
      </c>
      <c r="G417">
        <v>1</v>
      </c>
      <c r="H417">
        <v>675</v>
      </c>
      <c r="I417" s="4"/>
      <c r="J417">
        <f t="shared" si="18"/>
        <v>675</v>
      </c>
      <c r="K417" s="4">
        <f t="shared" si="19"/>
        <v>675</v>
      </c>
      <c r="L417" s="5">
        <f t="shared" si="20"/>
        <v>1</v>
      </c>
    </row>
    <row r="418" spans="1:12" x14ac:dyDescent="0.3">
      <c r="A418" s="2">
        <v>45867</v>
      </c>
      <c r="B418" t="s">
        <v>24</v>
      </c>
      <c r="C418" t="s">
        <v>41</v>
      </c>
      <c r="E418" t="s">
        <v>14</v>
      </c>
      <c r="F418" t="s">
        <v>42</v>
      </c>
      <c r="G418">
        <v>1</v>
      </c>
      <c r="H418">
        <v>675</v>
      </c>
      <c r="I418" s="4"/>
      <c r="J418">
        <f t="shared" si="18"/>
        <v>675</v>
      </c>
      <c r="K418" s="4">
        <f t="shared" si="19"/>
        <v>675</v>
      </c>
      <c r="L418" s="5">
        <f t="shared" si="20"/>
        <v>1</v>
      </c>
    </row>
    <row r="419" spans="1:12" x14ac:dyDescent="0.3">
      <c r="A419" s="2">
        <v>45867</v>
      </c>
      <c r="B419" t="s">
        <v>24</v>
      </c>
      <c r="C419" t="s">
        <v>103</v>
      </c>
      <c r="E419" t="s">
        <v>14</v>
      </c>
      <c r="F419" t="s">
        <v>18</v>
      </c>
      <c r="G419">
        <v>1</v>
      </c>
      <c r="H419">
        <v>180</v>
      </c>
      <c r="I419" s="4"/>
      <c r="J419">
        <f t="shared" si="18"/>
        <v>180</v>
      </c>
      <c r="K419" s="4">
        <f t="shared" si="19"/>
        <v>180</v>
      </c>
      <c r="L419" s="5">
        <f t="shared" si="20"/>
        <v>1</v>
      </c>
    </row>
    <row r="420" spans="1:12" x14ac:dyDescent="0.3">
      <c r="A420" s="2">
        <v>45867</v>
      </c>
      <c r="B420" t="s">
        <v>24</v>
      </c>
      <c r="C420" t="s">
        <v>103</v>
      </c>
      <c r="E420" t="s">
        <v>14</v>
      </c>
      <c r="F420" t="s">
        <v>18</v>
      </c>
      <c r="G420">
        <v>1</v>
      </c>
      <c r="H420">
        <v>180</v>
      </c>
      <c r="I420" s="4"/>
      <c r="J420">
        <f t="shared" si="18"/>
        <v>180</v>
      </c>
      <c r="K420" s="4">
        <f t="shared" si="19"/>
        <v>180</v>
      </c>
      <c r="L420" s="5">
        <f t="shared" si="20"/>
        <v>1</v>
      </c>
    </row>
    <row r="421" spans="1:12" x14ac:dyDescent="0.3">
      <c r="A421" s="2">
        <v>45867</v>
      </c>
      <c r="B421" t="s">
        <v>24</v>
      </c>
      <c r="C421" t="s">
        <v>103</v>
      </c>
      <c r="E421" t="s">
        <v>14</v>
      </c>
      <c r="F421" t="s">
        <v>17</v>
      </c>
      <c r="G421">
        <v>1</v>
      </c>
      <c r="H421">
        <v>150</v>
      </c>
      <c r="I421" s="4"/>
      <c r="J421">
        <f t="shared" si="18"/>
        <v>150</v>
      </c>
      <c r="K421" s="4">
        <f t="shared" si="19"/>
        <v>150</v>
      </c>
      <c r="L421" s="5">
        <f t="shared" si="20"/>
        <v>1</v>
      </c>
    </row>
    <row r="422" spans="1:12" x14ac:dyDescent="0.3">
      <c r="A422" s="2">
        <v>45867</v>
      </c>
      <c r="B422" t="s">
        <v>24</v>
      </c>
      <c r="C422" t="s">
        <v>56</v>
      </c>
      <c r="E422" t="s">
        <v>14</v>
      </c>
      <c r="F422" t="s">
        <v>42</v>
      </c>
      <c r="G422">
        <v>1</v>
      </c>
      <c r="H422">
        <v>715</v>
      </c>
      <c r="I422" s="4"/>
      <c r="J422">
        <f t="shared" si="18"/>
        <v>715</v>
      </c>
      <c r="K422" s="4">
        <f t="shared" si="19"/>
        <v>715</v>
      </c>
      <c r="L422" s="5">
        <f t="shared" si="20"/>
        <v>1</v>
      </c>
    </row>
    <row r="423" spans="1:12" x14ac:dyDescent="0.3">
      <c r="A423" s="2">
        <v>45867</v>
      </c>
      <c r="B423" t="s">
        <v>12</v>
      </c>
      <c r="C423" t="s">
        <v>13</v>
      </c>
      <c r="E423" t="s">
        <v>14</v>
      </c>
      <c r="F423" t="s">
        <v>54</v>
      </c>
      <c r="G423">
        <v>1</v>
      </c>
      <c r="H423">
        <v>150</v>
      </c>
      <c r="I423" s="4"/>
      <c r="J423">
        <f t="shared" si="18"/>
        <v>150</v>
      </c>
      <c r="K423" s="4">
        <f t="shared" si="19"/>
        <v>150</v>
      </c>
      <c r="L423" s="5">
        <f t="shared" si="20"/>
        <v>1</v>
      </c>
    </row>
    <row r="424" spans="1:12" x14ac:dyDescent="0.3">
      <c r="A424" s="2">
        <v>45867</v>
      </c>
      <c r="B424" t="s">
        <v>12</v>
      </c>
      <c r="C424" t="s">
        <v>13</v>
      </c>
      <c r="E424" t="s">
        <v>14</v>
      </c>
      <c r="F424" t="s">
        <v>15</v>
      </c>
      <c r="G424">
        <v>1</v>
      </c>
      <c r="H424">
        <v>120</v>
      </c>
      <c r="I424" s="4"/>
      <c r="J424">
        <f t="shared" si="18"/>
        <v>120</v>
      </c>
      <c r="K424" s="4">
        <f t="shared" si="19"/>
        <v>120</v>
      </c>
      <c r="L424" s="5">
        <f t="shared" si="20"/>
        <v>1</v>
      </c>
    </row>
    <row r="425" spans="1:12" x14ac:dyDescent="0.3">
      <c r="A425" s="2">
        <v>45867</v>
      </c>
      <c r="B425" t="s">
        <v>12</v>
      </c>
      <c r="C425" t="s">
        <v>13</v>
      </c>
      <c r="E425" t="s">
        <v>14</v>
      </c>
      <c r="F425" t="s">
        <v>17</v>
      </c>
      <c r="G425">
        <v>1</v>
      </c>
      <c r="H425">
        <v>110</v>
      </c>
      <c r="I425" s="4"/>
      <c r="J425">
        <f t="shared" si="18"/>
        <v>110</v>
      </c>
      <c r="K425" s="4">
        <f t="shared" si="19"/>
        <v>110</v>
      </c>
      <c r="L425" s="5">
        <f t="shared" si="20"/>
        <v>1</v>
      </c>
    </row>
    <row r="426" spans="1:12" x14ac:dyDescent="0.3">
      <c r="A426" s="2">
        <v>45867</v>
      </c>
      <c r="B426" t="s">
        <v>12</v>
      </c>
      <c r="C426" t="s">
        <v>13</v>
      </c>
      <c r="E426" t="s">
        <v>14</v>
      </c>
      <c r="F426" t="s">
        <v>17</v>
      </c>
      <c r="G426">
        <v>1</v>
      </c>
      <c r="H426">
        <v>110</v>
      </c>
      <c r="I426" s="4"/>
      <c r="J426">
        <f t="shared" si="18"/>
        <v>110</v>
      </c>
      <c r="K426" s="4">
        <f t="shared" si="19"/>
        <v>110</v>
      </c>
      <c r="L426" s="5">
        <f t="shared" si="20"/>
        <v>1</v>
      </c>
    </row>
    <row r="427" spans="1:12" x14ac:dyDescent="0.3">
      <c r="A427" s="2">
        <v>45867</v>
      </c>
      <c r="B427" t="s">
        <v>24</v>
      </c>
      <c r="C427" t="s">
        <v>41</v>
      </c>
      <c r="E427" t="s">
        <v>14</v>
      </c>
      <c r="F427" t="s">
        <v>42</v>
      </c>
      <c r="G427">
        <v>1</v>
      </c>
      <c r="H427">
        <v>675</v>
      </c>
      <c r="I427" s="4"/>
      <c r="J427">
        <f t="shared" si="18"/>
        <v>675</v>
      </c>
      <c r="K427" s="4">
        <f t="shared" si="19"/>
        <v>675</v>
      </c>
      <c r="L427" s="5">
        <f t="shared" si="20"/>
        <v>1</v>
      </c>
    </row>
    <row r="428" spans="1:12" x14ac:dyDescent="0.3">
      <c r="A428" s="2">
        <v>45867</v>
      </c>
      <c r="B428" t="s">
        <v>24</v>
      </c>
      <c r="C428" t="s">
        <v>41</v>
      </c>
      <c r="E428" t="s">
        <v>14</v>
      </c>
      <c r="F428" t="s">
        <v>42</v>
      </c>
      <c r="G428">
        <v>1</v>
      </c>
      <c r="H428">
        <v>675</v>
      </c>
      <c r="I428" s="4"/>
      <c r="J428">
        <f t="shared" si="18"/>
        <v>675</v>
      </c>
      <c r="K428" s="4">
        <f t="shared" si="19"/>
        <v>675</v>
      </c>
      <c r="L428" s="5">
        <f t="shared" si="20"/>
        <v>1</v>
      </c>
    </row>
    <row r="429" spans="1:12" x14ac:dyDescent="0.3">
      <c r="A429" s="2">
        <v>45867</v>
      </c>
      <c r="B429" t="s">
        <v>24</v>
      </c>
      <c r="C429" t="s">
        <v>103</v>
      </c>
      <c r="E429" t="s">
        <v>14</v>
      </c>
      <c r="F429" t="s">
        <v>18</v>
      </c>
      <c r="G429">
        <v>1</v>
      </c>
      <c r="H429">
        <v>180</v>
      </c>
      <c r="I429" s="4"/>
      <c r="J429">
        <f t="shared" si="18"/>
        <v>180</v>
      </c>
      <c r="K429" s="4">
        <f t="shared" si="19"/>
        <v>180</v>
      </c>
      <c r="L429" s="5">
        <f t="shared" si="20"/>
        <v>1</v>
      </c>
    </row>
    <row r="430" spans="1:12" x14ac:dyDescent="0.3">
      <c r="A430" s="2">
        <v>45867</v>
      </c>
      <c r="B430" t="s">
        <v>12</v>
      </c>
      <c r="C430" t="s">
        <v>13</v>
      </c>
      <c r="E430" t="s">
        <v>14</v>
      </c>
      <c r="F430" t="s">
        <v>18</v>
      </c>
      <c r="G430">
        <v>2</v>
      </c>
      <c r="H430">
        <v>120</v>
      </c>
      <c r="I430" s="4"/>
      <c r="J430">
        <f t="shared" si="18"/>
        <v>240</v>
      </c>
      <c r="K430" s="4">
        <f t="shared" si="19"/>
        <v>240</v>
      </c>
      <c r="L430" s="5">
        <f t="shared" si="20"/>
        <v>1</v>
      </c>
    </row>
    <row r="431" spans="1:12" x14ac:dyDescent="0.3">
      <c r="A431" s="2">
        <v>45867</v>
      </c>
      <c r="B431" t="s">
        <v>12</v>
      </c>
      <c r="C431" t="s">
        <v>13</v>
      </c>
      <c r="E431" t="s">
        <v>14</v>
      </c>
      <c r="F431" t="s">
        <v>16</v>
      </c>
      <c r="G431">
        <v>1</v>
      </c>
      <c r="H431">
        <v>350</v>
      </c>
      <c r="I431" s="4"/>
      <c r="J431">
        <f t="shared" si="18"/>
        <v>350</v>
      </c>
      <c r="K431" s="4">
        <f t="shared" si="19"/>
        <v>350</v>
      </c>
      <c r="L431" s="5">
        <f t="shared" si="20"/>
        <v>1</v>
      </c>
    </row>
    <row r="432" spans="1:12" x14ac:dyDescent="0.3">
      <c r="A432" s="2">
        <v>45867</v>
      </c>
      <c r="B432" t="s">
        <v>12</v>
      </c>
      <c r="C432" t="s">
        <v>13</v>
      </c>
      <c r="E432" t="s">
        <v>14</v>
      </c>
      <c r="F432" t="s">
        <v>17</v>
      </c>
      <c r="G432">
        <v>1</v>
      </c>
      <c r="H432">
        <v>110</v>
      </c>
      <c r="I432" s="4"/>
      <c r="J432">
        <f t="shared" si="18"/>
        <v>110</v>
      </c>
      <c r="K432" s="4">
        <f t="shared" si="19"/>
        <v>110</v>
      </c>
      <c r="L432" s="5">
        <f t="shared" si="20"/>
        <v>1</v>
      </c>
    </row>
    <row r="433" spans="1:12" x14ac:dyDescent="0.3">
      <c r="A433" s="2">
        <v>45867</v>
      </c>
      <c r="B433" t="s">
        <v>24</v>
      </c>
      <c r="C433" t="s">
        <v>103</v>
      </c>
      <c r="E433" t="s">
        <v>14</v>
      </c>
      <c r="F433" t="s">
        <v>18</v>
      </c>
      <c r="G433">
        <v>1</v>
      </c>
      <c r="H433">
        <v>180</v>
      </c>
      <c r="I433" s="4"/>
      <c r="J433">
        <f t="shared" si="18"/>
        <v>180</v>
      </c>
      <c r="K433" s="4">
        <f t="shared" si="19"/>
        <v>180</v>
      </c>
      <c r="L433" s="5">
        <f t="shared" si="20"/>
        <v>1</v>
      </c>
    </row>
    <row r="434" spans="1:12" x14ac:dyDescent="0.3">
      <c r="A434" s="2">
        <v>45867</v>
      </c>
      <c r="B434" t="s">
        <v>24</v>
      </c>
      <c r="C434" t="s">
        <v>103</v>
      </c>
      <c r="E434" t="s">
        <v>14</v>
      </c>
      <c r="F434" t="s">
        <v>17</v>
      </c>
      <c r="G434">
        <v>1</v>
      </c>
      <c r="H434">
        <v>150</v>
      </c>
      <c r="I434" s="4"/>
      <c r="J434">
        <f t="shared" si="18"/>
        <v>150</v>
      </c>
      <c r="K434" s="4">
        <f t="shared" si="19"/>
        <v>150</v>
      </c>
      <c r="L434" s="5">
        <f t="shared" si="20"/>
        <v>1</v>
      </c>
    </row>
    <row r="435" spans="1:12" x14ac:dyDescent="0.3">
      <c r="A435" s="2">
        <v>45867</v>
      </c>
      <c r="B435" t="s">
        <v>37</v>
      </c>
      <c r="C435" t="s">
        <v>48</v>
      </c>
      <c r="E435" t="s">
        <v>22</v>
      </c>
      <c r="F435" t="s">
        <v>222</v>
      </c>
      <c r="G435">
        <v>100</v>
      </c>
      <c r="H435">
        <v>75</v>
      </c>
      <c r="I435" s="4"/>
      <c r="J435">
        <f t="shared" si="18"/>
        <v>7500</v>
      </c>
      <c r="K435" s="4">
        <f t="shared" si="19"/>
        <v>7500</v>
      </c>
      <c r="L435" s="5">
        <f t="shared" si="20"/>
        <v>1</v>
      </c>
    </row>
    <row r="436" spans="1:12" x14ac:dyDescent="0.3">
      <c r="A436" s="2">
        <v>45867</v>
      </c>
      <c r="B436" t="s">
        <v>12</v>
      </c>
      <c r="C436" t="s">
        <v>253</v>
      </c>
      <c r="E436" t="s">
        <v>14</v>
      </c>
      <c r="F436" t="s">
        <v>31</v>
      </c>
      <c r="G436">
        <v>20</v>
      </c>
      <c r="H436">
        <v>42.5</v>
      </c>
      <c r="I436" s="4"/>
      <c r="J436">
        <f t="shared" si="18"/>
        <v>850</v>
      </c>
      <c r="K436" s="4">
        <f t="shared" si="19"/>
        <v>850</v>
      </c>
      <c r="L436" s="5">
        <f t="shared" si="20"/>
        <v>1</v>
      </c>
    </row>
    <row r="437" spans="1:12" x14ac:dyDescent="0.3">
      <c r="A437" s="2">
        <v>45867</v>
      </c>
      <c r="B437" t="s">
        <v>72</v>
      </c>
      <c r="C437" t="s">
        <v>254</v>
      </c>
      <c r="E437" t="s">
        <v>35</v>
      </c>
      <c r="F437" t="s">
        <v>109</v>
      </c>
      <c r="G437">
        <v>11</v>
      </c>
      <c r="H437">
        <v>480</v>
      </c>
      <c r="I437" s="4"/>
      <c r="J437">
        <f t="shared" si="18"/>
        <v>5280</v>
      </c>
      <c r="K437" s="4">
        <f t="shared" si="19"/>
        <v>5280</v>
      </c>
      <c r="L437" s="5">
        <f t="shared" si="20"/>
        <v>1</v>
      </c>
    </row>
    <row r="438" spans="1:12" x14ac:dyDescent="0.3">
      <c r="A438" s="2">
        <v>45868</v>
      </c>
      <c r="B438" t="s">
        <v>24</v>
      </c>
      <c r="C438" t="s">
        <v>103</v>
      </c>
      <c r="E438" t="s">
        <v>14</v>
      </c>
      <c r="F438" t="s">
        <v>18</v>
      </c>
      <c r="G438">
        <v>1</v>
      </c>
      <c r="H438">
        <v>180</v>
      </c>
      <c r="I438" s="4"/>
      <c r="J438">
        <f t="shared" si="18"/>
        <v>180</v>
      </c>
      <c r="K438" s="4">
        <f t="shared" si="19"/>
        <v>180</v>
      </c>
      <c r="L438" s="5">
        <f t="shared" si="20"/>
        <v>1</v>
      </c>
    </row>
    <row r="439" spans="1:12" x14ac:dyDescent="0.3">
      <c r="A439" s="2">
        <v>45868</v>
      </c>
      <c r="B439" t="s">
        <v>24</v>
      </c>
      <c r="C439" t="s">
        <v>103</v>
      </c>
      <c r="E439" t="s">
        <v>14</v>
      </c>
      <c r="F439" t="s">
        <v>17</v>
      </c>
      <c r="G439">
        <v>1</v>
      </c>
      <c r="H439">
        <v>150</v>
      </c>
      <c r="I439" s="4"/>
      <c r="J439">
        <f t="shared" si="18"/>
        <v>150</v>
      </c>
      <c r="K439" s="4">
        <f t="shared" si="19"/>
        <v>150</v>
      </c>
      <c r="L439" s="5">
        <f t="shared" si="20"/>
        <v>1</v>
      </c>
    </row>
    <row r="440" spans="1:12" x14ac:dyDescent="0.3">
      <c r="A440" s="2">
        <v>45868</v>
      </c>
      <c r="B440" t="s">
        <v>37</v>
      </c>
      <c r="C440" t="s">
        <v>164</v>
      </c>
      <c r="E440" t="s">
        <v>106</v>
      </c>
      <c r="F440" t="s">
        <v>17</v>
      </c>
      <c r="G440">
        <v>1</v>
      </c>
      <c r="H440">
        <v>110</v>
      </c>
      <c r="I440" s="4"/>
      <c r="J440">
        <f t="shared" si="18"/>
        <v>110</v>
      </c>
      <c r="K440" s="4">
        <f t="shared" si="19"/>
        <v>110</v>
      </c>
      <c r="L440" s="5">
        <f t="shared" si="20"/>
        <v>1</v>
      </c>
    </row>
    <row r="441" spans="1:12" x14ac:dyDescent="0.3">
      <c r="A441" s="2">
        <v>45868</v>
      </c>
      <c r="B441" t="s">
        <v>37</v>
      </c>
      <c r="C441" t="s">
        <v>164</v>
      </c>
      <c r="E441" t="s">
        <v>106</v>
      </c>
      <c r="F441" t="s">
        <v>166</v>
      </c>
      <c r="G441">
        <v>1</v>
      </c>
      <c r="H441">
        <v>170</v>
      </c>
      <c r="I441" s="4"/>
      <c r="J441">
        <f t="shared" si="18"/>
        <v>170</v>
      </c>
      <c r="K441" s="4">
        <f t="shared" si="19"/>
        <v>170</v>
      </c>
      <c r="L441" s="5">
        <f t="shared" si="20"/>
        <v>1</v>
      </c>
    </row>
    <row r="442" spans="1:12" x14ac:dyDescent="0.3">
      <c r="A442" s="2">
        <v>45868</v>
      </c>
      <c r="B442" t="s">
        <v>37</v>
      </c>
      <c r="C442" t="s">
        <v>164</v>
      </c>
      <c r="E442" t="s">
        <v>106</v>
      </c>
      <c r="F442" t="s">
        <v>17</v>
      </c>
      <c r="G442">
        <v>1</v>
      </c>
      <c r="H442">
        <v>110</v>
      </c>
      <c r="I442" s="4"/>
      <c r="J442">
        <f t="shared" si="18"/>
        <v>110</v>
      </c>
      <c r="K442" s="4">
        <f t="shared" si="19"/>
        <v>110</v>
      </c>
      <c r="L442" s="5">
        <f t="shared" si="20"/>
        <v>1</v>
      </c>
    </row>
    <row r="443" spans="1:12" x14ac:dyDescent="0.3">
      <c r="A443" s="2">
        <v>45868</v>
      </c>
      <c r="B443" t="s">
        <v>37</v>
      </c>
      <c r="C443" t="s">
        <v>164</v>
      </c>
      <c r="E443" t="s">
        <v>106</v>
      </c>
      <c r="F443" t="s">
        <v>166</v>
      </c>
      <c r="G443">
        <v>1</v>
      </c>
      <c r="H443">
        <v>170</v>
      </c>
      <c r="I443" s="4"/>
      <c r="J443">
        <f t="shared" si="18"/>
        <v>170</v>
      </c>
      <c r="K443" s="4">
        <f t="shared" si="19"/>
        <v>170</v>
      </c>
      <c r="L443" s="5">
        <f t="shared" si="20"/>
        <v>1</v>
      </c>
    </row>
    <row r="444" spans="1:12" x14ac:dyDescent="0.3">
      <c r="A444" s="2">
        <v>45868</v>
      </c>
      <c r="B444" t="s">
        <v>37</v>
      </c>
      <c r="C444" t="s">
        <v>164</v>
      </c>
      <c r="E444" t="s">
        <v>106</v>
      </c>
      <c r="F444" t="s">
        <v>17</v>
      </c>
      <c r="G444">
        <v>1</v>
      </c>
      <c r="H444">
        <v>110</v>
      </c>
      <c r="I444" s="4"/>
      <c r="J444">
        <f t="shared" si="18"/>
        <v>110</v>
      </c>
      <c r="K444" s="4">
        <f t="shared" si="19"/>
        <v>110</v>
      </c>
      <c r="L444" s="5">
        <f t="shared" si="20"/>
        <v>1</v>
      </c>
    </row>
    <row r="445" spans="1:12" x14ac:dyDescent="0.3">
      <c r="A445" s="2">
        <v>45868</v>
      </c>
      <c r="B445" t="s">
        <v>37</v>
      </c>
      <c r="C445" t="s">
        <v>164</v>
      </c>
      <c r="E445" t="s">
        <v>106</v>
      </c>
      <c r="F445" t="s">
        <v>166</v>
      </c>
      <c r="G445">
        <v>1</v>
      </c>
      <c r="H445">
        <v>170</v>
      </c>
      <c r="I445" s="4"/>
      <c r="J445">
        <f t="shared" si="18"/>
        <v>170</v>
      </c>
      <c r="K445" s="4">
        <f t="shared" si="19"/>
        <v>170</v>
      </c>
      <c r="L445" s="5">
        <f t="shared" si="20"/>
        <v>1</v>
      </c>
    </row>
    <row r="446" spans="1:12" x14ac:dyDescent="0.3">
      <c r="A446" s="2">
        <v>45868</v>
      </c>
      <c r="B446" t="s">
        <v>37</v>
      </c>
      <c r="C446" t="s">
        <v>164</v>
      </c>
      <c r="E446" t="s">
        <v>106</v>
      </c>
      <c r="F446" t="s">
        <v>17</v>
      </c>
      <c r="G446">
        <v>1</v>
      </c>
      <c r="H446">
        <v>110</v>
      </c>
      <c r="I446" s="4"/>
      <c r="J446">
        <f t="shared" si="18"/>
        <v>110</v>
      </c>
      <c r="K446" s="4">
        <f t="shared" si="19"/>
        <v>110</v>
      </c>
      <c r="L446" s="5">
        <f t="shared" si="20"/>
        <v>1</v>
      </c>
    </row>
    <row r="447" spans="1:12" x14ac:dyDescent="0.3">
      <c r="A447" s="2">
        <v>45868</v>
      </c>
      <c r="B447" t="s">
        <v>37</v>
      </c>
      <c r="C447" t="s">
        <v>164</v>
      </c>
      <c r="E447" t="s">
        <v>106</v>
      </c>
      <c r="F447" t="s">
        <v>166</v>
      </c>
      <c r="G447">
        <v>1</v>
      </c>
      <c r="H447">
        <v>170</v>
      </c>
      <c r="I447" s="4"/>
      <c r="J447">
        <f t="shared" si="18"/>
        <v>170</v>
      </c>
      <c r="K447" s="4">
        <f t="shared" si="19"/>
        <v>170</v>
      </c>
      <c r="L447" s="5">
        <f t="shared" si="20"/>
        <v>1</v>
      </c>
    </row>
    <row r="448" spans="1:12" x14ac:dyDescent="0.3">
      <c r="A448" s="2">
        <v>45868</v>
      </c>
      <c r="B448" t="s">
        <v>37</v>
      </c>
      <c r="C448" t="s">
        <v>164</v>
      </c>
      <c r="E448" t="s">
        <v>106</v>
      </c>
      <c r="F448" t="s">
        <v>17</v>
      </c>
      <c r="G448">
        <v>1</v>
      </c>
      <c r="H448">
        <v>110</v>
      </c>
      <c r="I448" s="4"/>
      <c r="J448">
        <f t="shared" si="18"/>
        <v>110</v>
      </c>
      <c r="K448" s="4">
        <f t="shared" si="19"/>
        <v>110</v>
      </c>
      <c r="L448" s="5">
        <f t="shared" si="20"/>
        <v>1</v>
      </c>
    </row>
    <row r="449" spans="1:12" x14ac:dyDescent="0.3">
      <c r="A449" s="2">
        <v>45868</v>
      </c>
      <c r="B449" t="s">
        <v>37</v>
      </c>
      <c r="C449" t="s">
        <v>164</v>
      </c>
      <c r="E449" t="s">
        <v>106</v>
      </c>
      <c r="F449" t="s">
        <v>166</v>
      </c>
      <c r="G449">
        <v>1</v>
      </c>
      <c r="H449">
        <v>170</v>
      </c>
      <c r="I449" s="4"/>
      <c r="J449">
        <f t="shared" si="18"/>
        <v>170</v>
      </c>
      <c r="K449" s="4">
        <f t="shared" si="19"/>
        <v>170</v>
      </c>
      <c r="L449" s="5">
        <f t="shared" si="20"/>
        <v>1</v>
      </c>
    </row>
    <row r="450" spans="1:12" x14ac:dyDescent="0.3">
      <c r="A450" s="2">
        <v>45868</v>
      </c>
      <c r="B450" t="s">
        <v>24</v>
      </c>
      <c r="C450" t="s">
        <v>255</v>
      </c>
      <c r="E450" t="s">
        <v>14</v>
      </c>
      <c r="F450" t="s">
        <v>42</v>
      </c>
      <c r="G450">
        <v>4</v>
      </c>
      <c r="H450">
        <v>780</v>
      </c>
      <c r="I450" s="4"/>
      <c r="J450">
        <f t="shared" ref="J450:J513" si="21">G450*H450</f>
        <v>3120</v>
      </c>
      <c r="K450" s="4">
        <f t="shared" ref="K450:K513" si="22">(H450-I450)*G450</f>
        <v>3120</v>
      </c>
      <c r="L450" s="5">
        <f t="shared" ref="L450:L513" si="23">IF(H450&gt;0,(H450-I450)/H450,0)</f>
        <v>1</v>
      </c>
    </row>
    <row r="451" spans="1:12" x14ac:dyDescent="0.3">
      <c r="A451" s="2">
        <v>45868</v>
      </c>
      <c r="B451" t="s">
        <v>24</v>
      </c>
      <c r="C451" t="s">
        <v>243</v>
      </c>
      <c r="E451" t="s">
        <v>14</v>
      </c>
      <c r="F451" t="s">
        <v>31</v>
      </c>
      <c r="G451">
        <v>5</v>
      </c>
      <c r="H451">
        <v>55</v>
      </c>
      <c r="I451" s="4"/>
      <c r="J451">
        <f t="shared" si="21"/>
        <v>275</v>
      </c>
      <c r="K451" s="4">
        <f t="shared" si="22"/>
        <v>275</v>
      </c>
      <c r="L451" s="5">
        <f t="shared" si="23"/>
        <v>1</v>
      </c>
    </row>
    <row r="452" spans="1:12" x14ac:dyDescent="0.3">
      <c r="A452" s="2">
        <v>45868</v>
      </c>
      <c r="B452" t="s">
        <v>12</v>
      </c>
      <c r="C452" t="s">
        <v>256</v>
      </c>
      <c r="E452" t="s">
        <v>30</v>
      </c>
      <c r="F452" t="s">
        <v>63</v>
      </c>
      <c r="G452">
        <v>8</v>
      </c>
      <c r="H452">
        <v>480</v>
      </c>
      <c r="I452" s="4"/>
      <c r="J452">
        <f t="shared" si="21"/>
        <v>3840</v>
      </c>
      <c r="K452" s="4">
        <f t="shared" si="22"/>
        <v>3840</v>
      </c>
      <c r="L452" s="5">
        <f t="shared" si="23"/>
        <v>1</v>
      </c>
    </row>
    <row r="453" spans="1:12" x14ac:dyDescent="0.3">
      <c r="A453" s="2">
        <v>45868</v>
      </c>
      <c r="B453" t="s">
        <v>72</v>
      </c>
      <c r="C453" t="s">
        <v>185</v>
      </c>
      <c r="E453" t="s">
        <v>64</v>
      </c>
      <c r="F453" t="s">
        <v>69</v>
      </c>
      <c r="G453">
        <v>2</v>
      </c>
      <c r="H453">
        <v>680</v>
      </c>
      <c r="I453" s="4"/>
      <c r="J453">
        <f t="shared" si="21"/>
        <v>1360</v>
      </c>
      <c r="K453" s="4">
        <f t="shared" si="22"/>
        <v>1360</v>
      </c>
      <c r="L453" s="5">
        <f t="shared" si="23"/>
        <v>1</v>
      </c>
    </row>
    <row r="454" spans="1:12" x14ac:dyDescent="0.3">
      <c r="A454" s="2">
        <v>45868</v>
      </c>
      <c r="B454" t="s">
        <v>72</v>
      </c>
      <c r="C454" t="s">
        <v>185</v>
      </c>
      <c r="E454" t="s">
        <v>64</v>
      </c>
      <c r="F454" t="s">
        <v>42</v>
      </c>
      <c r="G454">
        <v>3</v>
      </c>
      <c r="H454">
        <v>680</v>
      </c>
      <c r="I454" s="4"/>
      <c r="J454">
        <f t="shared" si="21"/>
        <v>2040</v>
      </c>
      <c r="K454" s="4">
        <f t="shared" si="22"/>
        <v>2040</v>
      </c>
      <c r="L454" s="5">
        <f t="shared" si="23"/>
        <v>1</v>
      </c>
    </row>
    <row r="455" spans="1:12" x14ac:dyDescent="0.3">
      <c r="A455" s="2">
        <v>45868</v>
      </c>
      <c r="B455" t="s">
        <v>72</v>
      </c>
      <c r="C455" t="s">
        <v>185</v>
      </c>
      <c r="E455" t="s">
        <v>64</v>
      </c>
      <c r="F455" t="s">
        <v>121</v>
      </c>
      <c r="G455">
        <v>20</v>
      </c>
      <c r="H455">
        <v>335</v>
      </c>
      <c r="I455" s="4"/>
      <c r="J455">
        <f t="shared" si="21"/>
        <v>6700</v>
      </c>
      <c r="K455" s="4">
        <f t="shared" si="22"/>
        <v>6700</v>
      </c>
      <c r="L455" s="5">
        <f t="shared" si="23"/>
        <v>1</v>
      </c>
    </row>
    <row r="456" spans="1:12" x14ac:dyDescent="0.3">
      <c r="A456" s="2">
        <v>45868</v>
      </c>
      <c r="B456" t="s">
        <v>37</v>
      </c>
      <c r="C456" t="s">
        <v>164</v>
      </c>
      <c r="E456" t="s">
        <v>106</v>
      </c>
      <c r="F456" t="s">
        <v>166</v>
      </c>
      <c r="G456">
        <v>3</v>
      </c>
      <c r="H456">
        <v>170</v>
      </c>
      <c r="I456" s="4"/>
      <c r="J456">
        <f t="shared" si="21"/>
        <v>510</v>
      </c>
      <c r="K456" s="4">
        <f t="shared" si="22"/>
        <v>510</v>
      </c>
      <c r="L456" s="5">
        <f t="shared" si="23"/>
        <v>1</v>
      </c>
    </row>
    <row r="457" spans="1:12" x14ac:dyDescent="0.3">
      <c r="A457" s="2">
        <v>45868</v>
      </c>
      <c r="B457" t="s">
        <v>12</v>
      </c>
      <c r="C457" t="s">
        <v>13</v>
      </c>
      <c r="E457" t="s">
        <v>14</v>
      </c>
      <c r="F457" t="s">
        <v>16</v>
      </c>
      <c r="G457">
        <v>1</v>
      </c>
      <c r="H457">
        <v>350</v>
      </c>
      <c r="I457" s="4"/>
      <c r="J457">
        <f t="shared" si="21"/>
        <v>350</v>
      </c>
      <c r="K457" s="4">
        <f t="shared" si="22"/>
        <v>350</v>
      </c>
      <c r="L457" s="5">
        <f t="shared" si="23"/>
        <v>1</v>
      </c>
    </row>
    <row r="458" spans="1:12" x14ac:dyDescent="0.3">
      <c r="A458" s="2">
        <v>45868</v>
      </c>
      <c r="B458" t="s">
        <v>12</v>
      </c>
      <c r="C458" t="s">
        <v>13</v>
      </c>
      <c r="E458" t="s">
        <v>14</v>
      </c>
      <c r="F458" t="s">
        <v>17</v>
      </c>
      <c r="G458">
        <v>2</v>
      </c>
      <c r="H458">
        <v>110</v>
      </c>
      <c r="I458" s="4"/>
      <c r="J458">
        <f t="shared" si="21"/>
        <v>220</v>
      </c>
      <c r="K458" s="4">
        <f t="shared" si="22"/>
        <v>220</v>
      </c>
      <c r="L458" s="5">
        <f t="shared" si="23"/>
        <v>1</v>
      </c>
    </row>
    <row r="459" spans="1:12" x14ac:dyDescent="0.3">
      <c r="A459" s="2">
        <v>45868</v>
      </c>
      <c r="B459" t="s">
        <v>24</v>
      </c>
      <c r="C459" t="s">
        <v>41</v>
      </c>
      <c r="E459" t="s">
        <v>14</v>
      </c>
      <c r="F459" t="s">
        <v>42</v>
      </c>
      <c r="G459">
        <v>1</v>
      </c>
      <c r="H459">
        <v>675</v>
      </c>
      <c r="I459" s="4"/>
      <c r="J459">
        <f t="shared" si="21"/>
        <v>675</v>
      </c>
      <c r="K459" s="4">
        <f t="shared" si="22"/>
        <v>675</v>
      </c>
      <c r="L459" s="5">
        <f t="shared" si="23"/>
        <v>1</v>
      </c>
    </row>
    <row r="460" spans="1:12" x14ac:dyDescent="0.3">
      <c r="A460" s="2">
        <v>45868</v>
      </c>
      <c r="B460" t="s">
        <v>24</v>
      </c>
      <c r="C460" t="s">
        <v>41</v>
      </c>
      <c r="E460" t="s">
        <v>14</v>
      </c>
      <c r="F460" t="s">
        <v>42</v>
      </c>
      <c r="G460">
        <v>1</v>
      </c>
      <c r="H460">
        <v>675</v>
      </c>
      <c r="I460" s="4"/>
      <c r="J460">
        <f t="shared" si="21"/>
        <v>675</v>
      </c>
      <c r="K460" s="4">
        <f t="shared" si="22"/>
        <v>675</v>
      </c>
      <c r="L460" s="5">
        <f t="shared" si="23"/>
        <v>1</v>
      </c>
    </row>
    <row r="461" spans="1:12" x14ac:dyDescent="0.3">
      <c r="A461" s="2">
        <v>45868</v>
      </c>
      <c r="B461" t="s">
        <v>24</v>
      </c>
      <c r="C461" t="s">
        <v>41</v>
      </c>
      <c r="E461" t="s">
        <v>14</v>
      </c>
      <c r="F461" t="s">
        <v>42</v>
      </c>
      <c r="G461">
        <v>1</v>
      </c>
      <c r="H461">
        <v>675</v>
      </c>
      <c r="I461" s="4"/>
      <c r="J461">
        <f t="shared" si="21"/>
        <v>675</v>
      </c>
      <c r="K461" s="4">
        <f t="shared" si="22"/>
        <v>675</v>
      </c>
      <c r="L461" s="5">
        <f t="shared" si="23"/>
        <v>1</v>
      </c>
    </row>
    <row r="462" spans="1:12" x14ac:dyDescent="0.3">
      <c r="A462" s="2">
        <v>45868</v>
      </c>
      <c r="B462" t="s">
        <v>24</v>
      </c>
      <c r="C462" t="s">
        <v>171</v>
      </c>
      <c r="E462" t="s">
        <v>14</v>
      </c>
      <c r="F462" t="s">
        <v>172</v>
      </c>
      <c r="G462">
        <v>90</v>
      </c>
      <c r="H462">
        <v>58</v>
      </c>
      <c r="I462" s="4"/>
      <c r="J462">
        <f t="shared" si="21"/>
        <v>5220</v>
      </c>
      <c r="K462" s="4">
        <f t="shared" si="22"/>
        <v>5220</v>
      </c>
      <c r="L462" s="5">
        <f t="shared" si="23"/>
        <v>1</v>
      </c>
    </row>
    <row r="463" spans="1:12" x14ac:dyDescent="0.3">
      <c r="A463" s="2">
        <v>45868</v>
      </c>
      <c r="B463" t="s">
        <v>28</v>
      </c>
      <c r="C463" t="s">
        <v>257</v>
      </c>
      <c r="E463" t="s">
        <v>49</v>
      </c>
      <c r="F463" t="s">
        <v>258</v>
      </c>
      <c r="G463">
        <v>100</v>
      </c>
      <c r="H463">
        <v>92</v>
      </c>
      <c r="I463" s="4"/>
      <c r="J463">
        <f t="shared" si="21"/>
        <v>9200</v>
      </c>
      <c r="K463" s="4">
        <f t="shared" si="22"/>
        <v>9200</v>
      </c>
      <c r="L463" s="5">
        <f t="shared" si="23"/>
        <v>1</v>
      </c>
    </row>
    <row r="464" spans="1:12" x14ac:dyDescent="0.3">
      <c r="A464" s="2">
        <v>45868</v>
      </c>
      <c r="B464" t="s">
        <v>28</v>
      </c>
      <c r="C464" t="s">
        <v>257</v>
      </c>
      <c r="E464" t="s">
        <v>49</v>
      </c>
      <c r="F464" t="s">
        <v>36</v>
      </c>
      <c r="G464">
        <v>150</v>
      </c>
      <c r="H464">
        <v>92</v>
      </c>
      <c r="I464" s="4"/>
      <c r="J464">
        <f t="shared" si="21"/>
        <v>13800</v>
      </c>
      <c r="K464" s="4">
        <f t="shared" si="22"/>
        <v>13800</v>
      </c>
      <c r="L464" s="5">
        <f t="shared" si="23"/>
        <v>1</v>
      </c>
    </row>
    <row r="465" spans="1:12" x14ac:dyDescent="0.3">
      <c r="A465" s="2">
        <v>45868</v>
      </c>
      <c r="B465" t="s">
        <v>24</v>
      </c>
      <c r="C465" t="s">
        <v>171</v>
      </c>
      <c r="E465" t="s">
        <v>14</v>
      </c>
      <c r="F465" t="s">
        <v>259</v>
      </c>
      <c r="G465">
        <v>7</v>
      </c>
      <c r="H465">
        <v>490</v>
      </c>
      <c r="I465" s="4"/>
      <c r="J465">
        <f t="shared" si="21"/>
        <v>3430</v>
      </c>
      <c r="K465" s="4">
        <f t="shared" si="22"/>
        <v>3430</v>
      </c>
      <c r="L465" s="5">
        <f t="shared" si="23"/>
        <v>1</v>
      </c>
    </row>
    <row r="466" spans="1:12" x14ac:dyDescent="0.3">
      <c r="A466" s="2">
        <v>45868</v>
      </c>
      <c r="B466" t="s">
        <v>37</v>
      </c>
      <c r="C466" t="s">
        <v>164</v>
      </c>
      <c r="E466" t="s">
        <v>106</v>
      </c>
      <c r="F466" t="s">
        <v>166</v>
      </c>
      <c r="G466">
        <v>1</v>
      </c>
      <c r="H466">
        <v>170</v>
      </c>
      <c r="I466" s="4"/>
      <c r="J466">
        <f t="shared" si="21"/>
        <v>170</v>
      </c>
      <c r="K466" s="4">
        <f t="shared" si="22"/>
        <v>170</v>
      </c>
      <c r="L466" s="5">
        <f t="shared" si="23"/>
        <v>1</v>
      </c>
    </row>
    <row r="467" spans="1:12" x14ac:dyDescent="0.3">
      <c r="A467" s="2">
        <v>45868</v>
      </c>
      <c r="B467" t="s">
        <v>37</v>
      </c>
      <c r="C467" t="s">
        <v>164</v>
      </c>
      <c r="E467" t="s">
        <v>106</v>
      </c>
      <c r="F467" t="s">
        <v>166</v>
      </c>
      <c r="G467">
        <v>1</v>
      </c>
      <c r="H467">
        <v>170</v>
      </c>
      <c r="I467" s="4"/>
      <c r="J467">
        <f t="shared" si="21"/>
        <v>170</v>
      </c>
      <c r="K467" s="4">
        <f t="shared" si="22"/>
        <v>170</v>
      </c>
      <c r="L467" s="5">
        <f t="shared" si="23"/>
        <v>1</v>
      </c>
    </row>
    <row r="468" spans="1:12" x14ac:dyDescent="0.3">
      <c r="A468" s="2">
        <v>45868</v>
      </c>
      <c r="B468" t="s">
        <v>24</v>
      </c>
      <c r="C468" t="s">
        <v>260</v>
      </c>
      <c r="E468" t="s">
        <v>14</v>
      </c>
      <c r="F468" t="s">
        <v>259</v>
      </c>
      <c r="G468">
        <v>22</v>
      </c>
      <c r="H468">
        <v>600</v>
      </c>
      <c r="I468" s="4"/>
      <c r="J468">
        <f t="shared" si="21"/>
        <v>13200</v>
      </c>
      <c r="K468" s="4">
        <f t="shared" si="22"/>
        <v>13200</v>
      </c>
      <c r="L468" s="5">
        <f t="shared" si="23"/>
        <v>1</v>
      </c>
    </row>
    <row r="469" spans="1:12" x14ac:dyDescent="0.3">
      <c r="A469" s="2">
        <v>45868</v>
      </c>
      <c r="B469" t="s">
        <v>37</v>
      </c>
      <c r="C469" t="s">
        <v>164</v>
      </c>
      <c r="E469" t="s">
        <v>106</v>
      </c>
      <c r="F469" t="s">
        <v>166</v>
      </c>
      <c r="G469">
        <v>2</v>
      </c>
      <c r="H469">
        <v>170</v>
      </c>
      <c r="I469" s="4"/>
      <c r="J469">
        <f t="shared" si="21"/>
        <v>340</v>
      </c>
      <c r="K469" s="4">
        <f t="shared" si="22"/>
        <v>340</v>
      </c>
      <c r="L469" s="5">
        <f t="shared" si="23"/>
        <v>1</v>
      </c>
    </row>
    <row r="470" spans="1:12" x14ac:dyDescent="0.3">
      <c r="A470" s="2">
        <v>45868</v>
      </c>
      <c r="B470" t="s">
        <v>37</v>
      </c>
      <c r="C470" t="s">
        <v>164</v>
      </c>
      <c r="E470" t="s">
        <v>106</v>
      </c>
      <c r="F470" t="s">
        <v>166</v>
      </c>
      <c r="G470">
        <v>2</v>
      </c>
      <c r="H470">
        <v>170</v>
      </c>
      <c r="I470" s="4"/>
      <c r="J470">
        <f t="shared" si="21"/>
        <v>340</v>
      </c>
      <c r="K470" s="4">
        <f t="shared" si="22"/>
        <v>340</v>
      </c>
      <c r="L470" s="5">
        <f t="shared" si="23"/>
        <v>1</v>
      </c>
    </row>
    <row r="471" spans="1:12" x14ac:dyDescent="0.3">
      <c r="A471" s="2">
        <v>45868</v>
      </c>
      <c r="B471" t="s">
        <v>37</v>
      </c>
      <c r="C471" t="s">
        <v>164</v>
      </c>
      <c r="E471" t="s">
        <v>106</v>
      </c>
      <c r="F471" t="s">
        <v>166</v>
      </c>
      <c r="G471">
        <v>2</v>
      </c>
      <c r="H471">
        <v>170</v>
      </c>
      <c r="I471" s="4"/>
      <c r="J471">
        <f t="shared" si="21"/>
        <v>340</v>
      </c>
      <c r="K471" s="4">
        <f t="shared" si="22"/>
        <v>340</v>
      </c>
      <c r="L471" s="5">
        <f t="shared" si="23"/>
        <v>1</v>
      </c>
    </row>
    <row r="472" spans="1:12" x14ac:dyDescent="0.3">
      <c r="A472" s="2">
        <v>45869</v>
      </c>
      <c r="B472" t="s">
        <v>72</v>
      </c>
      <c r="C472" t="s">
        <v>76</v>
      </c>
      <c r="E472" t="s">
        <v>14</v>
      </c>
      <c r="F472" t="s">
        <v>261</v>
      </c>
      <c r="G472">
        <v>20</v>
      </c>
      <c r="H472">
        <v>130</v>
      </c>
      <c r="I472" s="4"/>
      <c r="J472">
        <f t="shared" si="21"/>
        <v>2600</v>
      </c>
      <c r="K472" s="4">
        <f t="shared" si="22"/>
        <v>2600</v>
      </c>
      <c r="L472" s="5">
        <f t="shared" si="23"/>
        <v>1</v>
      </c>
    </row>
    <row r="473" spans="1:12" x14ac:dyDescent="0.3">
      <c r="A473" s="2">
        <v>45869</v>
      </c>
      <c r="B473" t="s">
        <v>37</v>
      </c>
      <c r="C473" t="s">
        <v>262</v>
      </c>
      <c r="E473" t="s">
        <v>239</v>
      </c>
      <c r="F473" t="s">
        <v>151</v>
      </c>
      <c r="G473">
        <v>120</v>
      </c>
      <c r="H473">
        <v>90</v>
      </c>
      <c r="I473" s="4"/>
      <c r="J473">
        <f t="shared" si="21"/>
        <v>10800</v>
      </c>
      <c r="K473" s="4">
        <f t="shared" si="22"/>
        <v>10800</v>
      </c>
      <c r="L473" s="5">
        <f t="shared" si="23"/>
        <v>1</v>
      </c>
    </row>
    <row r="474" spans="1:12" x14ac:dyDescent="0.3">
      <c r="A474" s="2">
        <v>45869</v>
      </c>
      <c r="B474" t="s">
        <v>72</v>
      </c>
      <c r="C474" t="s">
        <v>263</v>
      </c>
      <c r="E474" t="s">
        <v>14</v>
      </c>
      <c r="F474" t="s">
        <v>31</v>
      </c>
      <c r="G474">
        <v>14</v>
      </c>
      <c r="H474">
        <v>49</v>
      </c>
      <c r="I474" s="4"/>
      <c r="J474">
        <f t="shared" si="21"/>
        <v>686</v>
      </c>
      <c r="K474" s="4">
        <f t="shared" si="22"/>
        <v>686</v>
      </c>
      <c r="L474" s="5">
        <f t="shared" si="23"/>
        <v>1</v>
      </c>
    </row>
    <row r="475" spans="1:12" x14ac:dyDescent="0.3">
      <c r="A475" s="2">
        <v>45869</v>
      </c>
      <c r="B475" t="s">
        <v>72</v>
      </c>
      <c r="C475" t="s">
        <v>263</v>
      </c>
      <c r="E475" t="s">
        <v>14</v>
      </c>
      <c r="F475" t="s">
        <v>50</v>
      </c>
      <c r="G475">
        <v>19</v>
      </c>
      <c r="H475">
        <v>65</v>
      </c>
      <c r="I475" s="4"/>
      <c r="J475">
        <f t="shared" si="21"/>
        <v>1235</v>
      </c>
      <c r="K475" s="4">
        <f t="shared" si="22"/>
        <v>1235</v>
      </c>
      <c r="L475" s="5">
        <f t="shared" si="23"/>
        <v>1</v>
      </c>
    </row>
    <row r="476" spans="1:12" x14ac:dyDescent="0.3">
      <c r="A476" s="2">
        <v>45869</v>
      </c>
      <c r="B476" t="s">
        <v>72</v>
      </c>
      <c r="C476" t="s">
        <v>263</v>
      </c>
      <c r="E476" t="s">
        <v>14</v>
      </c>
      <c r="F476" t="s">
        <v>20</v>
      </c>
      <c r="G476">
        <v>21</v>
      </c>
      <c r="H476">
        <v>65</v>
      </c>
      <c r="I476" s="4"/>
      <c r="J476">
        <f t="shared" si="21"/>
        <v>1365</v>
      </c>
      <c r="K476" s="4">
        <f t="shared" si="22"/>
        <v>1365</v>
      </c>
      <c r="L476" s="5">
        <f t="shared" si="23"/>
        <v>1</v>
      </c>
    </row>
    <row r="477" spans="1:12" x14ac:dyDescent="0.3">
      <c r="A477" s="2">
        <v>45869</v>
      </c>
      <c r="B477" t="s">
        <v>72</v>
      </c>
      <c r="C477" t="s">
        <v>263</v>
      </c>
      <c r="E477" t="s">
        <v>14</v>
      </c>
      <c r="F477" t="s">
        <v>23</v>
      </c>
      <c r="G477">
        <v>30</v>
      </c>
      <c r="H477">
        <v>65</v>
      </c>
      <c r="I477" s="4"/>
      <c r="J477">
        <f t="shared" si="21"/>
        <v>1950</v>
      </c>
      <c r="K477" s="4">
        <f t="shared" si="22"/>
        <v>1950</v>
      </c>
      <c r="L477" s="5">
        <f t="shared" si="23"/>
        <v>1</v>
      </c>
    </row>
    <row r="478" spans="1:12" x14ac:dyDescent="0.3">
      <c r="A478" s="2">
        <v>45869</v>
      </c>
      <c r="B478" t="s">
        <v>28</v>
      </c>
      <c r="C478" t="s">
        <v>217</v>
      </c>
      <c r="E478" t="s">
        <v>30</v>
      </c>
      <c r="F478" t="s">
        <v>31</v>
      </c>
      <c r="G478">
        <v>20</v>
      </c>
      <c r="H478">
        <v>39</v>
      </c>
      <c r="I478" s="4"/>
      <c r="J478">
        <f t="shared" si="21"/>
        <v>780</v>
      </c>
      <c r="K478" s="4">
        <f t="shared" si="22"/>
        <v>780</v>
      </c>
      <c r="L478" s="5">
        <f t="shared" si="23"/>
        <v>1</v>
      </c>
    </row>
    <row r="479" spans="1:12" x14ac:dyDescent="0.3">
      <c r="A479" s="2">
        <v>45869</v>
      </c>
      <c r="B479" t="s">
        <v>28</v>
      </c>
      <c r="C479" t="s">
        <v>242</v>
      </c>
      <c r="E479" t="s">
        <v>30</v>
      </c>
      <c r="F479" t="s">
        <v>50</v>
      </c>
      <c r="G479">
        <v>10</v>
      </c>
      <c r="H479">
        <v>87.5</v>
      </c>
      <c r="I479" s="4"/>
      <c r="J479">
        <f t="shared" si="21"/>
        <v>875</v>
      </c>
      <c r="K479" s="4">
        <f t="shared" si="22"/>
        <v>875</v>
      </c>
      <c r="L479" s="5">
        <f t="shared" si="23"/>
        <v>1</v>
      </c>
    </row>
    <row r="480" spans="1:12" x14ac:dyDescent="0.3">
      <c r="A480" s="2">
        <v>45869</v>
      </c>
      <c r="B480" t="s">
        <v>72</v>
      </c>
      <c r="C480" t="s">
        <v>264</v>
      </c>
      <c r="E480" t="s">
        <v>14</v>
      </c>
      <c r="F480" t="s">
        <v>137</v>
      </c>
      <c r="G480">
        <v>20</v>
      </c>
      <c r="H480">
        <v>52</v>
      </c>
      <c r="I480" s="4"/>
      <c r="J480">
        <f t="shared" si="21"/>
        <v>1040</v>
      </c>
      <c r="K480" s="4">
        <f t="shared" si="22"/>
        <v>1040</v>
      </c>
      <c r="L480" s="5">
        <f t="shared" si="23"/>
        <v>1</v>
      </c>
    </row>
    <row r="481" spans="1:12" x14ac:dyDescent="0.3">
      <c r="A481" s="2">
        <v>45869</v>
      </c>
      <c r="B481" t="s">
        <v>72</v>
      </c>
      <c r="C481" t="s">
        <v>264</v>
      </c>
      <c r="E481" t="s">
        <v>14</v>
      </c>
      <c r="F481" t="s">
        <v>31</v>
      </c>
      <c r="G481">
        <v>50</v>
      </c>
      <c r="H481">
        <v>40</v>
      </c>
      <c r="I481" s="4"/>
      <c r="J481">
        <f t="shared" si="21"/>
        <v>2000</v>
      </c>
      <c r="K481" s="4">
        <f t="shared" si="22"/>
        <v>2000</v>
      </c>
      <c r="L481" s="5">
        <f t="shared" si="23"/>
        <v>1</v>
      </c>
    </row>
    <row r="482" spans="1:12" x14ac:dyDescent="0.3">
      <c r="A482" s="2">
        <v>45869</v>
      </c>
      <c r="B482" t="s">
        <v>72</v>
      </c>
      <c r="C482" t="s">
        <v>264</v>
      </c>
      <c r="E482" t="s">
        <v>14</v>
      </c>
      <c r="F482" t="s">
        <v>265</v>
      </c>
      <c r="G482">
        <v>150</v>
      </c>
      <c r="H482">
        <v>53</v>
      </c>
      <c r="I482" s="4"/>
      <c r="J482">
        <f t="shared" si="21"/>
        <v>7950</v>
      </c>
      <c r="K482" s="4">
        <f t="shared" si="22"/>
        <v>7950</v>
      </c>
      <c r="L482" s="5">
        <f t="shared" si="23"/>
        <v>1</v>
      </c>
    </row>
    <row r="483" spans="1:12" x14ac:dyDescent="0.3">
      <c r="A483" s="2">
        <v>45869</v>
      </c>
      <c r="B483" t="s">
        <v>12</v>
      </c>
      <c r="C483" t="s">
        <v>57</v>
      </c>
      <c r="E483" t="s">
        <v>162</v>
      </c>
      <c r="F483" t="s">
        <v>50</v>
      </c>
      <c r="G483">
        <v>6</v>
      </c>
      <c r="H483">
        <v>60</v>
      </c>
      <c r="I483" s="4"/>
      <c r="J483">
        <f t="shared" si="21"/>
        <v>360</v>
      </c>
      <c r="K483" s="4">
        <f t="shared" si="22"/>
        <v>360</v>
      </c>
      <c r="L483" s="5">
        <f t="shared" si="23"/>
        <v>1</v>
      </c>
    </row>
    <row r="484" spans="1:12" x14ac:dyDescent="0.3">
      <c r="A484" s="2">
        <v>45869</v>
      </c>
      <c r="B484" t="s">
        <v>12</v>
      </c>
      <c r="C484" t="s">
        <v>57</v>
      </c>
      <c r="E484" t="s">
        <v>162</v>
      </c>
      <c r="F484" t="s">
        <v>42</v>
      </c>
      <c r="G484">
        <v>3</v>
      </c>
      <c r="H484">
        <v>950</v>
      </c>
      <c r="I484" s="4"/>
      <c r="J484">
        <f t="shared" si="21"/>
        <v>2850</v>
      </c>
      <c r="K484" s="4">
        <f t="shared" si="22"/>
        <v>2850</v>
      </c>
      <c r="L484" s="5">
        <f t="shared" si="23"/>
        <v>1</v>
      </c>
    </row>
    <row r="485" spans="1:12" x14ac:dyDescent="0.3">
      <c r="A485" s="2">
        <v>45869</v>
      </c>
      <c r="B485" t="s">
        <v>12</v>
      </c>
      <c r="C485" t="s">
        <v>266</v>
      </c>
      <c r="E485" t="s">
        <v>14</v>
      </c>
      <c r="F485" t="s">
        <v>87</v>
      </c>
      <c r="G485">
        <v>6</v>
      </c>
      <c r="H485">
        <v>350</v>
      </c>
      <c r="I485" s="4"/>
      <c r="J485">
        <f t="shared" si="21"/>
        <v>2100</v>
      </c>
      <c r="K485" s="4">
        <f t="shared" si="22"/>
        <v>2100</v>
      </c>
      <c r="L485" s="5">
        <f t="shared" si="23"/>
        <v>1</v>
      </c>
    </row>
    <row r="486" spans="1:12" x14ac:dyDescent="0.3">
      <c r="A486" s="2">
        <v>45869</v>
      </c>
      <c r="B486" t="s">
        <v>12</v>
      </c>
      <c r="C486" t="s">
        <v>266</v>
      </c>
      <c r="E486" t="s">
        <v>14</v>
      </c>
      <c r="F486" t="s">
        <v>63</v>
      </c>
      <c r="G486">
        <v>10</v>
      </c>
      <c r="H486">
        <v>470</v>
      </c>
      <c r="I486" s="4"/>
      <c r="J486">
        <f t="shared" si="21"/>
        <v>4700</v>
      </c>
      <c r="K486" s="4">
        <f t="shared" si="22"/>
        <v>4700</v>
      </c>
      <c r="L486" s="5">
        <f t="shared" si="23"/>
        <v>1</v>
      </c>
    </row>
    <row r="487" spans="1:12" x14ac:dyDescent="0.3">
      <c r="A487" s="2">
        <v>45869</v>
      </c>
      <c r="B487" t="s">
        <v>37</v>
      </c>
      <c r="C487" t="s">
        <v>164</v>
      </c>
      <c r="E487" t="s">
        <v>106</v>
      </c>
      <c r="F487" t="s">
        <v>17</v>
      </c>
      <c r="G487">
        <v>1</v>
      </c>
      <c r="H487">
        <v>110</v>
      </c>
      <c r="I487" s="4"/>
      <c r="J487">
        <f t="shared" si="21"/>
        <v>110</v>
      </c>
      <c r="K487" s="4">
        <f t="shared" si="22"/>
        <v>110</v>
      </c>
      <c r="L487" s="5">
        <f t="shared" si="23"/>
        <v>1</v>
      </c>
    </row>
    <row r="488" spans="1:12" x14ac:dyDescent="0.3">
      <c r="A488" s="2">
        <v>45869</v>
      </c>
      <c r="B488" t="s">
        <v>37</v>
      </c>
      <c r="C488" t="s">
        <v>164</v>
      </c>
      <c r="E488" t="s">
        <v>106</v>
      </c>
      <c r="F488" t="s">
        <v>17</v>
      </c>
      <c r="G488">
        <v>1</v>
      </c>
      <c r="H488">
        <v>110</v>
      </c>
      <c r="I488" s="4"/>
      <c r="J488">
        <f t="shared" si="21"/>
        <v>110</v>
      </c>
      <c r="K488" s="4">
        <f t="shared" si="22"/>
        <v>110</v>
      </c>
      <c r="L488" s="5">
        <f t="shared" si="23"/>
        <v>1</v>
      </c>
    </row>
    <row r="489" spans="1:12" x14ac:dyDescent="0.3">
      <c r="A489" s="2">
        <v>45869</v>
      </c>
      <c r="B489" t="s">
        <v>37</v>
      </c>
      <c r="C489" t="s">
        <v>164</v>
      </c>
      <c r="E489" t="s">
        <v>106</v>
      </c>
      <c r="F489" t="s">
        <v>17</v>
      </c>
      <c r="G489">
        <v>1</v>
      </c>
      <c r="H489">
        <v>110</v>
      </c>
      <c r="I489" s="4"/>
      <c r="J489">
        <f t="shared" si="21"/>
        <v>110</v>
      </c>
      <c r="K489" s="4">
        <f t="shared" si="22"/>
        <v>110</v>
      </c>
      <c r="L489" s="5">
        <f t="shared" si="23"/>
        <v>1</v>
      </c>
    </row>
    <row r="490" spans="1:12" x14ac:dyDescent="0.3">
      <c r="A490" s="2">
        <v>45869</v>
      </c>
      <c r="B490" t="s">
        <v>37</v>
      </c>
      <c r="C490" t="s">
        <v>164</v>
      </c>
      <c r="E490" t="s">
        <v>106</v>
      </c>
      <c r="F490" t="s">
        <v>17</v>
      </c>
      <c r="G490">
        <v>1</v>
      </c>
      <c r="H490">
        <v>110</v>
      </c>
      <c r="I490" s="4"/>
      <c r="J490">
        <f t="shared" si="21"/>
        <v>110</v>
      </c>
      <c r="K490" s="4">
        <f t="shared" si="22"/>
        <v>110</v>
      </c>
      <c r="L490" s="5">
        <f t="shared" si="23"/>
        <v>1</v>
      </c>
    </row>
    <row r="491" spans="1:12" x14ac:dyDescent="0.3">
      <c r="A491" s="2">
        <v>45869</v>
      </c>
      <c r="B491" t="s">
        <v>37</v>
      </c>
      <c r="C491" t="s">
        <v>164</v>
      </c>
      <c r="E491" t="s">
        <v>106</v>
      </c>
      <c r="F491" t="s">
        <v>166</v>
      </c>
      <c r="G491">
        <v>1</v>
      </c>
      <c r="H491">
        <v>170</v>
      </c>
      <c r="I491" s="4"/>
      <c r="J491">
        <f t="shared" si="21"/>
        <v>170</v>
      </c>
      <c r="K491" s="4">
        <f t="shared" si="22"/>
        <v>170</v>
      </c>
      <c r="L491" s="5">
        <f t="shared" si="23"/>
        <v>1</v>
      </c>
    </row>
    <row r="492" spans="1:12" x14ac:dyDescent="0.3">
      <c r="A492" s="2">
        <v>45869</v>
      </c>
      <c r="B492" t="s">
        <v>37</v>
      </c>
      <c r="C492" t="s">
        <v>164</v>
      </c>
      <c r="E492" t="s">
        <v>106</v>
      </c>
      <c r="F492" t="s">
        <v>81</v>
      </c>
      <c r="G492">
        <v>1</v>
      </c>
      <c r="H492">
        <v>705</v>
      </c>
      <c r="I492" s="4"/>
      <c r="J492">
        <f t="shared" si="21"/>
        <v>705</v>
      </c>
      <c r="K492" s="4">
        <f t="shared" si="22"/>
        <v>705</v>
      </c>
      <c r="L492" s="5">
        <f t="shared" si="23"/>
        <v>1</v>
      </c>
    </row>
    <row r="493" spans="1:12" x14ac:dyDescent="0.3">
      <c r="A493" s="2">
        <v>45869</v>
      </c>
      <c r="B493" t="s">
        <v>24</v>
      </c>
      <c r="C493" t="s">
        <v>25</v>
      </c>
      <c r="E493" t="s">
        <v>26</v>
      </c>
      <c r="F493" t="s">
        <v>229</v>
      </c>
      <c r="G493">
        <v>3</v>
      </c>
      <c r="H493">
        <v>533</v>
      </c>
      <c r="I493" s="4"/>
      <c r="J493">
        <f t="shared" si="21"/>
        <v>1599</v>
      </c>
      <c r="K493" s="4">
        <f t="shared" si="22"/>
        <v>1599</v>
      </c>
      <c r="L493" s="5">
        <f t="shared" si="23"/>
        <v>1</v>
      </c>
    </row>
    <row r="494" spans="1:12" x14ac:dyDescent="0.3">
      <c r="A494" s="2">
        <v>45869</v>
      </c>
      <c r="B494" t="s">
        <v>28</v>
      </c>
      <c r="C494" t="s">
        <v>267</v>
      </c>
      <c r="E494" t="s">
        <v>49</v>
      </c>
      <c r="F494" t="s">
        <v>111</v>
      </c>
      <c r="G494">
        <v>1</v>
      </c>
      <c r="H494">
        <v>750</v>
      </c>
      <c r="I494" s="4"/>
      <c r="J494">
        <f t="shared" si="21"/>
        <v>750</v>
      </c>
      <c r="K494" s="4">
        <f t="shared" si="22"/>
        <v>750</v>
      </c>
      <c r="L494" s="5">
        <f t="shared" si="23"/>
        <v>1</v>
      </c>
    </row>
    <row r="495" spans="1:12" x14ac:dyDescent="0.3">
      <c r="A495" s="2">
        <v>45869</v>
      </c>
      <c r="B495" t="s">
        <v>28</v>
      </c>
      <c r="C495" t="s">
        <v>267</v>
      </c>
      <c r="E495" t="s">
        <v>49</v>
      </c>
      <c r="F495" t="s">
        <v>233</v>
      </c>
      <c r="G495">
        <v>3</v>
      </c>
      <c r="H495">
        <v>750</v>
      </c>
      <c r="I495" s="4"/>
      <c r="J495">
        <f t="shared" si="21"/>
        <v>2250</v>
      </c>
      <c r="K495" s="4">
        <f t="shared" si="22"/>
        <v>2250</v>
      </c>
      <c r="L495" s="5">
        <f t="shared" si="23"/>
        <v>1</v>
      </c>
    </row>
    <row r="496" spans="1:12" x14ac:dyDescent="0.3">
      <c r="A496" s="2">
        <v>45869</v>
      </c>
      <c r="B496" t="s">
        <v>37</v>
      </c>
      <c r="C496" t="s">
        <v>164</v>
      </c>
      <c r="E496" t="s">
        <v>106</v>
      </c>
      <c r="F496" t="s">
        <v>17</v>
      </c>
      <c r="G496">
        <v>1</v>
      </c>
      <c r="H496">
        <v>110</v>
      </c>
      <c r="I496" s="4"/>
      <c r="J496">
        <f t="shared" si="21"/>
        <v>110</v>
      </c>
      <c r="K496" s="4">
        <f t="shared" si="22"/>
        <v>110</v>
      </c>
      <c r="L496" s="5">
        <f t="shared" si="23"/>
        <v>1</v>
      </c>
    </row>
    <row r="497" spans="1:12" x14ac:dyDescent="0.3">
      <c r="A497" s="2">
        <v>45869</v>
      </c>
      <c r="B497" t="s">
        <v>37</v>
      </c>
      <c r="C497" t="s">
        <v>164</v>
      </c>
      <c r="E497" t="s">
        <v>106</v>
      </c>
      <c r="F497" t="s">
        <v>166</v>
      </c>
      <c r="G497">
        <v>1</v>
      </c>
      <c r="H497">
        <v>170</v>
      </c>
      <c r="I497" s="4"/>
      <c r="J497">
        <f t="shared" si="21"/>
        <v>170</v>
      </c>
      <c r="K497" s="4">
        <f t="shared" si="22"/>
        <v>170</v>
      </c>
      <c r="L497" s="5">
        <f t="shared" si="23"/>
        <v>1</v>
      </c>
    </row>
    <row r="498" spans="1:12" x14ac:dyDescent="0.3">
      <c r="A498" s="2">
        <v>45869</v>
      </c>
      <c r="B498" t="s">
        <v>37</v>
      </c>
      <c r="C498" t="s">
        <v>164</v>
      </c>
      <c r="E498" t="s">
        <v>106</v>
      </c>
      <c r="F498" t="s">
        <v>17</v>
      </c>
      <c r="G498">
        <v>1</v>
      </c>
      <c r="H498">
        <v>110</v>
      </c>
      <c r="I498" s="4"/>
      <c r="J498">
        <f t="shared" si="21"/>
        <v>110</v>
      </c>
      <c r="K498" s="4">
        <f t="shared" si="22"/>
        <v>110</v>
      </c>
      <c r="L498" s="5">
        <f t="shared" si="23"/>
        <v>1</v>
      </c>
    </row>
    <row r="499" spans="1:12" x14ac:dyDescent="0.3">
      <c r="A499" s="2">
        <v>45869</v>
      </c>
      <c r="B499" t="s">
        <v>37</v>
      </c>
      <c r="C499" t="s">
        <v>164</v>
      </c>
      <c r="E499" t="s">
        <v>106</v>
      </c>
      <c r="F499" t="s">
        <v>166</v>
      </c>
      <c r="G499">
        <v>1</v>
      </c>
      <c r="H499">
        <v>170</v>
      </c>
      <c r="I499" s="4"/>
      <c r="J499">
        <f t="shared" si="21"/>
        <v>170</v>
      </c>
      <c r="K499" s="4">
        <f t="shared" si="22"/>
        <v>170</v>
      </c>
      <c r="L499" s="5">
        <f t="shared" si="23"/>
        <v>1</v>
      </c>
    </row>
    <row r="500" spans="1:12" x14ac:dyDescent="0.3">
      <c r="A500" s="2">
        <v>45870</v>
      </c>
      <c r="B500" t="s">
        <v>72</v>
      </c>
      <c r="C500" t="s">
        <v>73</v>
      </c>
      <c r="E500" t="s">
        <v>14</v>
      </c>
      <c r="F500" t="s">
        <v>74</v>
      </c>
      <c r="G500">
        <v>10</v>
      </c>
      <c r="H500">
        <v>395</v>
      </c>
      <c r="I500" s="4"/>
      <c r="J500">
        <f t="shared" si="21"/>
        <v>3950</v>
      </c>
      <c r="K500" s="4">
        <f t="shared" si="22"/>
        <v>3950</v>
      </c>
      <c r="L500" s="5">
        <f t="shared" si="23"/>
        <v>1</v>
      </c>
    </row>
    <row r="501" spans="1:12" x14ac:dyDescent="0.3">
      <c r="A501" s="2">
        <v>45870</v>
      </c>
      <c r="B501" t="s">
        <v>59</v>
      </c>
      <c r="C501" t="s">
        <v>268</v>
      </c>
      <c r="E501" t="s">
        <v>44</v>
      </c>
      <c r="F501" t="s">
        <v>40</v>
      </c>
      <c r="G501">
        <v>5</v>
      </c>
      <c r="H501">
        <v>83</v>
      </c>
      <c r="I501" s="4"/>
      <c r="J501">
        <f t="shared" si="21"/>
        <v>415</v>
      </c>
      <c r="K501" s="4">
        <f t="shared" si="22"/>
        <v>415</v>
      </c>
      <c r="L501" s="5">
        <f t="shared" si="23"/>
        <v>1</v>
      </c>
    </row>
    <row r="502" spans="1:12" x14ac:dyDescent="0.3">
      <c r="A502" s="2">
        <v>45870</v>
      </c>
      <c r="B502" t="s">
        <v>59</v>
      </c>
      <c r="C502" t="s">
        <v>268</v>
      </c>
      <c r="E502" t="s">
        <v>44</v>
      </c>
      <c r="F502" t="s">
        <v>258</v>
      </c>
      <c r="G502">
        <v>5</v>
      </c>
      <c r="H502">
        <v>83</v>
      </c>
      <c r="I502" s="4"/>
      <c r="J502">
        <f t="shared" si="21"/>
        <v>415</v>
      </c>
      <c r="K502" s="4">
        <f t="shared" si="22"/>
        <v>415</v>
      </c>
      <c r="L502" s="5">
        <f t="shared" si="23"/>
        <v>1</v>
      </c>
    </row>
    <row r="503" spans="1:12" x14ac:dyDescent="0.3">
      <c r="A503" s="2">
        <v>45870</v>
      </c>
      <c r="B503" t="s">
        <v>24</v>
      </c>
      <c r="C503" t="s">
        <v>193</v>
      </c>
      <c r="E503" t="s">
        <v>14</v>
      </c>
      <c r="F503" t="s">
        <v>42</v>
      </c>
      <c r="G503">
        <v>4</v>
      </c>
      <c r="H503">
        <v>650</v>
      </c>
      <c r="I503" s="4"/>
      <c r="J503">
        <f t="shared" si="21"/>
        <v>2600</v>
      </c>
      <c r="K503" s="4">
        <f t="shared" si="22"/>
        <v>2600</v>
      </c>
      <c r="L503" s="5">
        <f t="shared" si="23"/>
        <v>1</v>
      </c>
    </row>
    <row r="504" spans="1:12" x14ac:dyDescent="0.3">
      <c r="A504" s="2">
        <v>45870</v>
      </c>
      <c r="B504" t="s">
        <v>24</v>
      </c>
      <c r="C504" t="s">
        <v>269</v>
      </c>
      <c r="E504" t="s">
        <v>26</v>
      </c>
      <c r="F504" t="s">
        <v>109</v>
      </c>
      <c r="G504">
        <v>15</v>
      </c>
      <c r="H504">
        <v>390</v>
      </c>
      <c r="I504" s="4"/>
      <c r="J504">
        <f t="shared" si="21"/>
        <v>5850</v>
      </c>
      <c r="K504" s="4">
        <f t="shared" si="22"/>
        <v>5850</v>
      </c>
      <c r="L504" s="5">
        <f t="shared" si="23"/>
        <v>1</v>
      </c>
    </row>
    <row r="505" spans="1:12" x14ac:dyDescent="0.3">
      <c r="A505" s="2">
        <v>45870</v>
      </c>
      <c r="B505" t="s">
        <v>24</v>
      </c>
      <c r="C505" t="s">
        <v>140</v>
      </c>
      <c r="E505" t="s">
        <v>14</v>
      </c>
      <c r="F505" t="s">
        <v>219</v>
      </c>
      <c r="G505">
        <v>2</v>
      </c>
      <c r="H505">
        <v>450</v>
      </c>
      <c r="I505" s="4"/>
      <c r="J505">
        <f t="shared" si="21"/>
        <v>900</v>
      </c>
      <c r="K505" s="4">
        <f t="shared" si="22"/>
        <v>900</v>
      </c>
      <c r="L505" s="5">
        <f t="shared" si="23"/>
        <v>1</v>
      </c>
    </row>
    <row r="506" spans="1:12" x14ac:dyDescent="0.3">
      <c r="A506" s="2">
        <v>45870</v>
      </c>
      <c r="B506" t="s">
        <v>37</v>
      </c>
      <c r="C506" t="s">
        <v>262</v>
      </c>
      <c r="E506" t="s">
        <v>239</v>
      </c>
      <c r="F506" t="s">
        <v>27</v>
      </c>
      <c r="G506">
        <v>16</v>
      </c>
      <c r="H506">
        <v>617</v>
      </c>
      <c r="I506" s="4"/>
      <c r="J506">
        <f t="shared" si="21"/>
        <v>9872</v>
      </c>
      <c r="K506" s="4">
        <f t="shared" si="22"/>
        <v>9872</v>
      </c>
      <c r="L506" s="5">
        <f t="shared" si="23"/>
        <v>1</v>
      </c>
    </row>
    <row r="507" spans="1:12" x14ac:dyDescent="0.3">
      <c r="A507" s="2">
        <v>45870</v>
      </c>
      <c r="B507" t="s">
        <v>37</v>
      </c>
      <c r="C507" t="s">
        <v>262</v>
      </c>
      <c r="E507" t="s">
        <v>239</v>
      </c>
      <c r="F507" t="s">
        <v>270</v>
      </c>
      <c r="G507">
        <v>35</v>
      </c>
      <c r="H507">
        <v>606</v>
      </c>
      <c r="I507" s="4"/>
      <c r="J507">
        <f t="shared" si="21"/>
        <v>21210</v>
      </c>
      <c r="K507" s="4">
        <f t="shared" si="22"/>
        <v>21210</v>
      </c>
      <c r="L507" s="5">
        <f t="shared" si="23"/>
        <v>1</v>
      </c>
    </row>
    <row r="508" spans="1:12" x14ac:dyDescent="0.3">
      <c r="A508" s="2">
        <v>45870</v>
      </c>
      <c r="B508" t="s">
        <v>37</v>
      </c>
      <c r="C508" t="s">
        <v>262</v>
      </c>
      <c r="E508" t="s">
        <v>239</v>
      </c>
      <c r="F508" t="s">
        <v>214</v>
      </c>
      <c r="G508">
        <v>26</v>
      </c>
      <c r="H508">
        <v>628</v>
      </c>
      <c r="I508" s="4"/>
      <c r="J508">
        <f t="shared" si="21"/>
        <v>16328</v>
      </c>
      <c r="K508" s="4">
        <f t="shared" si="22"/>
        <v>16328</v>
      </c>
      <c r="L508" s="5">
        <f t="shared" si="23"/>
        <v>1</v>
      </c>
    </row>
    <row r="509" spans="1:12" x14ac:dyDescent="0.3">
      <c r="A509" s="2">
        <v>45870</v>
      </c>
      <c r="B509" t="s">
        <v>37</v>
      </c>
      <c r="C509" t="s">
        <v>262</v>
      </c>
      <c r="E509" t="s">
        <v>239</v>
      </c>
      <c r="F509" t="s">
        <v>247</v>
      </c>
      <c r="G509">
        <v>16</v>
      </c>
      <c r="H509">
        <v>622</v>
      </c>
      <c r="I509" s="4"/>
      <c r="J509">
        <f t="shared" si="21"/>
        <v>9952</v>
      </c>
      <c r="K509" s="4">
        <f t="shared" si="22"/>
        <v>9952</v>
      </c>
      <c r="L509" s="5">
        <f t="shared" si="23"/>
        <v>1</v>
      </c>
    </row>
    <row r="510" spans="1:12" x14ac:dyDescent="0.3">
      <c r="A510" s="2">
        <v>45870</v>
      </c>
      <c r="B510" t="s">
        <v>37</v>
      </c>
      <c r="C510" t="s">
        <v>262</v>
      </c>
      <c r="E510" t="s">
        <v>239</v>
      </c>
      <c r="F510" t="s">
        <v>206</v>
      </c>
      <c r="G510">
        <v>25</v>
      </c>
      <c r="H510">
        <v>612</v>
      </c>
      <c r="I510" s="4"/>
      <c r="J510">
        <f t="shared" si="21"/>
        <v>15300</v>
      </c>
      <c r="K510" s="4">
        <f t="shared" si="22"/>
        <v>15300</v>
      </c>
      <c r="L510" s="5">
        <f t="shared" si="23"/>
        <v>1</v>
      </c>
    </row>
    <row r="511" spans="1:12" x14ac:dyDescent="0.3">
      <c r="A511" s="2">
        <v>45870</v>
      </c>
      <c r="B511" t="s">
        <v>37</v>
      </c>
      <c r="C511" t="s">
        <v>262</v>
      </c>
      <c r="E511" t="s">
        <v>239</v>
      </c>
      <c r="F511" t="s">
        <v>228</v>
      </c>
      <c r="G511">
        <v>20</v>
      </c>
      <c r="H511">
        <v>617</v>
      </c>
      <c r="I511" s="4"/>
      <c r="J511">
        <f t="shared" si="21"/>
        <v>12340</v>
      </c>
      <c r="K511" s="4">
        <f t="shared" si="22"/>
        <v>12340</v>
      </c>
      <c r="L511" s="5">
        <f t="shared" si="23"/>
        <v>1</v>
      </c>
    </row>
    <row r="512" spans="1:12" x14ac:dyDescent="0.3">
      <c r="A512" s="2">
        <v>45870</v>
      </c>
      <c r="B512" t="s">
        <v>37</v>
      </c>
      <c r="C512" t="s">
        <v>262</v>
      </c>
      <c r="E512" t="s">
        <v>239</v>
      </c>
      <c r="F512" t="s">
        <v>271</v>
      </c>
      <c r="G512">
        <v>20</v>
      </c>
      <c r="H512">
        <v>594</v>
      </c>
      <c r="I512" s="4"/>
      <c r="J512">
        <f t="shared" si="21"/>
        <v>11880</v>
      </c>
      <c r="K512" s="4">
        <f t="shared" si="22"/>
        <v>11880</v>
      </c>
      <c r="L512" s="5">
        <f t="shared" si="23"/>
        <v>1</v>
      </c>
    </row>
    <row r="513" spans="1:12" x14ac:dyDescent="0.3">
      <c r="A513" s="2">
        <v>45870</v>
      </c>
      <c r="B513" t="s">
        <v>37</v>
      </c>
      <c r="C513" t="s">
        <v>262</v>
      </c>
      <c r="E513" t="s">
        <v>239</v>
      </c>
      <c r="F513" t="s">
        <v>229</v>
      </c>
      <c r="G513">
        <v>25</v>
      </c>
      <c r="H513">
        <v>600</v>
      </c>
      <c r="I513" s="4"/>
      <c r="J513">
        <f t="shared" si="21"/>
        <v>15000</v>
      </c>
      <c r="K513" s="4">
        <f t="shared" si="22"/>
        <v>15000</v>
      </c>
      <c r="L513" s="5">
        <f t="shared" si="23"/>
        <v>1</v>
      </c>
    </row>
    <row r="514" spans="1:12" x14ac:dyDescent="0.3">
      <c r="A514" s="2">
        <v>45870</v>
      </c>
      <c r="B514" t="s">
        <v>37</v>
      </c>
      <c r="C514" t="s">
        <v>262</v>
      </c>
      <c r="E514" t="s">
        <v>239</v>
      </c>
      <c r="F514" t="s">
        <v>67</v>
      </c>
      <c r="G514">
        <v>20</v>
      </c>
      <c r="H514">
        <v>588</v>
      </c>
      <c r="I514" s="4"/>
      <c r="J514">
        <f t="shared" ref="J514:J577" si="24">G514*H514</f>
        <v>11760</v>
      </c>
      <c r="K514" s="4">
        <f t="shared" ref="K514:K577" si="25">(H514-I514)*G514</f>
        <v>11760</v>
      </c>
      <c r="L514" s="5">
        <f t="shared" ref="L514:L577" si="26">IF(H514&gt;0,(H514-I514)/H514,0)</f>
        <v>1</v>
      </c>
    </row>
    <row r="515" spans="1:12" x14ac:dyDescent="0.3">
      <c r="A515" s="2">
        <v>45873</v>
      </c>
      <c r="B515" t="s">
        <v>28</v>
      </c>
      <c r="C515" t="s">
        <v>272</v>
      </c>
      <c r="E515" t="s">
        <v>44</v>
      </c>
      <c r="F515" t="s">
        <v>23</v>
      </c>
      <c r="G515">
        <v>12</v>
      </c>
      <c r="H515">
        <v>54</v>
      </c>
      <c r="I515" s="4"/>
      <c r="J515">
        <f t="shared" si="24"/>
        <v>648</v>
      </c>
      <c r="K515" s="4">
        <f t="shared" si="25"/>
        <v>648</v>
      </c>
      <c r="L515" s="5">
        <f t="shared" si="26"/>
        <v>1</v>
      </c>
    </row>
    <row r="516" spans="1:12" x14ac:dyDescent="0.3">
      <c r="A516" s="2">
        <v>45873</v>
      </c>
      <c r="B516" t="s">
        <v>12</v>
      </c>
      <c r="C516" t="s">
        <v>273</v>
      </c>
      <c r="E516" t="s">
        <v>14</v>
      </c>
      <c r="F516" t="s">
        <v>63</v>
      </c>
      <c r="G516">
        <v>2</v>
      </c>
      <c r="H516">
        <v>480</v>
      </c>
      <c r="I516" s="4"/>
      <c r="J516">
        <f t="shared" si="24"/>
        <v>960</v>
      </c>
      <c r="K516" s="4">
        <f t="shared" si="25"/>
        <v>960</v>
      </c>
      <c r="L516" s="5">
        <f t="shared" si="26"/>
        <v>1</v>
      </c>
    </row>
    <row r="517" spans="1:12" x14ac:dyDescent="0.3">
      <c r="A517" s="2">
        <v>45873</v>
      </c>
      <c r="B517" t="s">
        <v>12</v>
      </c>
      <c r="C517" t="s">
        <v>57</v>
      </c>
      <c r="E517" t="s">
        <v>203</v>
      </c>
      <c r="F517" t="s">
        <v>40</v>
      </c>
      <c r="G517">
        <v>2</v>
      </c>
      <c r="H517">
        <v>85</v>
      </c>
      <c r="I517" s="4"/>
      <c r="J517">
        <f t="shared" si="24"/>
        <v>170</v>
      </c>
      <c r="K517" s="4">
        <f t="shared" si="25"/>
        <v>170</v>
      </c>
      <c r="L517" s="5">
        <f t="shared" si="26"/>
        <v>1</v>
      </c>
    </row>
    <row r="518" spans="1:12" x14ac:dyDescent="0.3">
      <c r="A518" s="2">
        <v>45873</v>
      </c>
      <c r="B518" t="s">
        <v>37</v>
      </c>
      <c r="C518" t="s">
        <v>48</v>
      </c>
      <c r="E518" t="s">
        <v>64</v>
      </c>
      <c r="F518" t="s">
        <v>137</v>
      </c>
      <c r="G518">
        <v>60</v>
      </c>
      <c r="H518">
        <v>60</v>
      </c>
      <c r="I518" s="4"/>
      <c r="J518">
        <f t="shared" si="24"/>
        <v>3600</v>
      </c>
      <c r="K518" s="4">
        <f t="shared" si="25"/>
        <v>3600</v>
      </c>
      <c r="L518" s="5">
        <f t="shared" si="26"/>
        <v>1</v>
      </c>
    </row>
    <row r="519" spans="1:12" x14ac:dyDescent="0.3">
      <c r="A519" s="2">
        <v>45873</v>
      </c>
      <c r="B519" t="s">
        <v>24</v>
      </c>
      <c r="C519" t="s">
        <v>199</v>
      </c>
      <c r="E519" t="s">
        <v>26</v>
      </c>
      <c r="F519" t="s">
        <v>137</v>
      </c>
      <c r="G519">
        <v>20</v>
      </c>
      <c r="H519">
        <v>52</v>
      </c>
      <c r="I519" s="4"/>
      <c r="J519">
        <f t="shared" si="24"/>
        <v>1040</v>
      </c>
      <c r="K519" s="4">
        <f t="shared" si="25"/>
        <v>1040</v>
      </c>
      <c r="L519" s="5">
        <f t="shared" si="26"/>
        <v>1</v>
      </c>
    </row>
    <row r="520" spans="1:12" x14ac:dyDescent="0.3">
      <c r="A520" s="2">
        <v>45873</v>
      </c>
      <c r="B520" t="s">
        <v>12</v>
      </c>
      <c r="C520" t="s">
        <v>13</v>
      </c>
      <c r="E520" t="s">
        <v>14</v>
      </c>
      <c r="F520" t="s">
        <v>18</v>
      </c>
      <c r="G520">
        <v>1</v>
      </c>
      <c r="H520">
        <v>120</v>
      </c>
      <c r="I520" s="4"/>
      <c r="J520">
        <f t="shared" si="24"/>
        <v>120</v>
      </c>
      <c r="K520" s="4">
        <f t="shared" si="25"/>
        <v>120</v>
      </c>
      <c r="L520" s="5">
        <f t="shared" si="26"/>
        <v>1</v>
      </c>
    </row>
    <row r="521" spans="1:12" x14ac:dyDescent="0.3">
      <c r="A521" s="2">
        <v>45873</v>
      </c>
      <c r="B521" t="s">
        <v>12</v>
      </c>
      <c r="C521" t="s">
        <v>13</v>
      </c>
      <c r="E521" t="s">
        <v>14</v>
      </c>
      <c r="F521" t="s">
        <v>16</v>
      </c>
      <c r="G521">
        <v>1</v>
      </c>
      <c r="H521">
        <v>350</v>
      </c>
      <c r="I521" s="4"/>
      <c r="J521">
        <f t="shared" si="24"/>
        <v>350</v>
      </c>
      <c r="K521" s="4">
        <f t="shared" si="25"/>
        <v>350</v>
      </c>
      <c r="L521" s="5">
        <f t="shared" si="26"/>
        <v>1</v>
      </c>
    </row>
    <row r="522" spans="1:12" x14ac:dyDescent="0.3">
      <c r="A522" s="2">
        <v>45873</v>
      </c>
      <c r="B522" t="s">
        <v>12</v>
      </c>
      <c r="C522" t="s">
        <v>13</v>
      </c>
      <c r="E522" t="s">
        <v>14</v>
      </c>
      <c r="F522" t="s">
        <v>17</v>
      </c>
      <c r="G522">
        <v>1</v>
      </c>
      <c r="H522">
        <v>110</v>
      </c>
      <c r="I522" s="4"/>
      <c r="J522">
        <f t="shared" si="24"/>
        <v>110</v>
      </c>
      <c r="K522" s="4">
        <f t="shared" si="25"/>
        <v>110</v>
      </c>
      <c r="L522" s="5">
        <f t="shared" si="26"/>
        <v>1</v>
      </c>
    </row>
    <row r="523" spans="1:12" x14ac:dyDescent="0.3">
      <c r="A523" s="2">
        <v>45873</v>
      </c>
      <c r="B523" t="s">
        <v>24</v>
      </c>
      <c r="C523" t="s">
        <v>41</v>
      </c>
      <c r="E523" t="s">
        <v>14</v>
      </c>
      <c r="F523" t="s">
        <v>42</v>
      </c>
      <c r="G523">
        <v>1</v>
      </c>
      <c r="H523">
        <v>675</v>
      </c>
      <c r="I523" s="4"/>
      <c r="J523">
        <f t="shared" si="24"/>
        <v>675</v>
      </c>
      <c r="K523" s="4">
        <f t="shared" si="25"/>
        <v>675</v>
      </c>
      <c r="L523" s="5">
        <f t="shared" si="26"/>
        <v>1</v>
      </c>
    </row>
    <row r="524" spans="1:12" x14ac:dyDescent="0.3">
      <c r="A524" s="2">
        <v>45873</v>
      </c>
      <c r="B524" t="s">
        <v>24</v>
      </c>
      <c r="C524" t="s">
        <v>41</v>
      </c>
      <c r="E524" t="s">
        <v>14</v>
      </c>
      <c r="F524" t="s">
        <v>42</v>
      </c>
      <c r="G524">
        <v>1</v>
      </c>
      <c r="H524">
        <v>675</v>
      </c>
      <c r="I524" s="4"/>
      <c r="J524">
        <f t="shared" si="24"/>
        <v>675</v>
      </c>
      <c r="K524" s="4">
        <f t="shared" si="25"/>
        <v>675</v>
      </c>
      <c r="L524" s="5">
        <f t="shared" si="26"/>
        <v>1</v>
      </c>
    </row>
    <row r="525" spans="1:12" x14ac:dyDescent="0.3">
      <c r="A525" s="2">
        <v>45873</v>
      </c>
      <c r="B525" t="s">
        <v>24</v>
      </c>
      <c r="C525" t="s">
        <v>41</v>
      </c>
      <c r="E525" t="s">
        <v>14</v>
      </c>
      <c r="F525" t="s">
        <v>42</v>
      </c>
      <c r="G525">
        <v>1</v>
      </c>
      <c r="H525">
        <v>675</v>
      </c>
      <c r="I525" s="4"/>
      <c r="J525">
        <f t="shared" si="24"/>
        <v>675</v>
      </c>
      <c r="K525" s="4">
        <f t="shared" si="25"/>
        <v>675</v>
      </c>
      <c r="L525" s="5">
        <f t="shared" si="26"/>
        <v>1</v>
      </c>
    </row>
    <row r="526" spans="1:12" x14ac:dyDescent="0.3">
      <c r="A526" s="2">
        <v>45873</v>
      </c>
      <c r="B526" t="s">
        <v>24</v>
      </c>
      <c r="C526" t="s">
        <v>41</v>
      </c>
      <c r="E526" t="s">
        <v>14</v>
      </c>
      <c r="F526" t="s">
        <v>42</v>
      </c>
      <c r="G526">
        <v>1</v>
      </c>
      <c r="H526">
        <v>675</v>
      </c>
      <c r="I526" s="4"/>
      <c r="J526">
        <f t="shared" si="24"/>
        <v>675</v>
      </c>
      <c r="K526" s="4">
        <f t="shared" si="25"/>
        <v>675</v>
      </c>
      <c r="L526" s="5">
        <f t="shared" si="26"/>
        <v>1</v>
      </c>
    </row>
    <row r="527" spans="1:12" x14ac:dyDescent="0.3">
      <c r="A527" s="2">
        <v>45873</v>
      </c>
      <c r="B527" t="s">
        <v>12</v>
      </c>
      <c r="C527" t="s">
        <v>13</v>
      </c>
      <c r="E527" t="s">
        <v>14</v>
      </c>
      <c r="F527" t="s">
        <v>54</v>
      </c>
      <c r="G527">
        <v>1</v>
      </c>
      <c r="H527">
        <v>150</v>
      </c>
      <c r="I527" s="4"/>
      <c r="J527">
        <f t="shared" si="24"/>
        <v>150</v>
      </c>
      <c r="K527" s="4">
        <f t="shared" si="25"/>
        <v>150</v>
      </c>
      <c r="L527" s="5">
        <f t="shared" si="26"/>
        <v>1</v>
      </c>
    </row>
    <row r="528" spans="1:12" x14ac:dyDescent="0.3">
      <c r="A528" s="2">
        <v>45873</v>
      </c>
      <c r="B528" t="s">
        <v>12</v>
      </c>
      <c r="C528" t="s">
        <v>13</v>
      </c>
      <c r="E528" t="s">
        <v>14</v>
      </c>
      <c r="F528" t="s">
        <v>15</v>
      </c>
      <c r="G528">
        <v>1</v>
      </c>
      <c r="H528">
        <v>120</v>
      </c>
      <c r="I528" s="4"/>
      <c r="J528">
        <f t="shared" si="24"/>
        <v>120</v>
      </c>
      <c r="K528" s="4">
        <f t="shared" si="25"/>
        <v>120</v>
      </c>
      <c r="L528" s="5">
        <f t="shared" si="26"/>
        <v>1</v>
      </c>
    </row>
    <row r="529" spans="1:12" x14ac:dyDescent="0.3">
      <c r="A529" s="2">
        <v>45873</v>
      </c>
      <c r="B529" t="s">
        <v>12</v>
      </c>
      <c r="C529" t="s">
        <v>13</v>
      </c>
      <c r="E529" t="s">
        <v>14</v>
      </c>
      <c r="F529" t="s">
        <v>17</v>
      </c>
      <c r="G529">
        <v>1</v>
      </c>
      <c r="H529">
        <v>110</v>
      </c>
      <c r="I529" s="4"/>
      <c r="J529">
        <f t="shared" si="24"/>
        <v>110</v>
      </c>
      <c r="K529" s="4">
        <f t="shared" si="25"/>
        <v>110</v>
      </c>
      <c r="L529" s="5">
        <f t="shared" si="26"/>
        <v>1</v>
      </c>
    </row>
    <row r="530" spans="1:12" x14ac:dyDescent="0.3">
      <c r="A530" s="2">
        <v>45873</v>
      </c>
      <c r="B530" t="s">
        <v>12</v>
      </c>
      <c r="C530" t="s">
        <v>13</v>
      </c>
      <c r="E530" t="s">
        <v>14</v>
      </c>
      <c r="F530" t="s">
        <v>18</v>
      </c>
      <c r="G530">
        <v>1</v>
      </c>
      <c r="H530">
        <v>120</v>
      </c>
      <c r="I530" s="4"/>
      <c r="J530">
        <f t="shared" si="24"/>
        <v>120</v>
      </c>
      <c r="K530" s="4">
        <f t="shared" si="25"/>
        <v>120</v>
      </c>
      <c r="L530" s="5">
        <f t="shared" si="26"/>
        <v>1</v>
      </c>
    </row>
    <row r="531" spans="1:12" x14ac:dyDescent="0.3">
      <c r="A531" s="2">
        <v>45873</v>
      </c>
      <c r="B531" t="s">
        <v>12</v>
      </c>
      <c r="C531" t="s">
        <v>13</v>
      </c>
      <c r="E531" t="s">
        <v>14</v>
      </c>
      <c r="F531" t="s">
        <v>16</v>
      </c>
      <c r="G531">
        <v>1</v>
      </c>
      <c r="H531">
        <v>350</v>
      </c>
      <c r="I531" s="4"/>
      <c r="J531">
        <f t="shared" si="24"/>
        <v>350</v>
      </c>
      <c r="K531" s="4">
        <f t="shared" si="25"/>
        <v>350</v>
      </c>
      <c r="L531" s="5">
        <f t="shared" si="26"/>
        <v>1</v>
      </c>
    </row>
    <row r="532" spans="1:12" x14ac:dyDescent="0.3">
      <c r="A532" s="2">
        <v>45873</v>
      </c>
      <c r="B532" t="s">
        <v>12</v>
      </c>
      <c r="C532" t="s">
        <v>13</v>
      </c>
      <c r="E532" t="s">
        <v>14</v>
      </c>
      <c r="F532" t="s">
        <v>17</v>
      </c>
      <c r="G532">
        <v>1</v>
      </c>
      <c r="H532">
        <v>110</v>
      </c>
      <c r="I532" s="4"/>
      <c r="J532">
        <f t="shared" si="24"/>
        <v>110</v>
      </c>
      <c r="K532" s="4">
        <f t="shared" si="25"/>
        <v>110</v>
      </c>
      <c r="L532" s="5">
        <f t="shared" si="26"/>
        <v>1</v>
      </c>
    </row>
    <row r="533" spans="1:12" x14ac:dyDescent="0.3">
      <c r="A533" s="2">
        <v>45873</v>
      </c>
      <c r="B533" t="s">
        <v>28</v>
      </c>
      <c r="C533" t="s">
        <v>170</v>
      </c>
      <c r="E533" t="s">
        <v>44</v>
      </c>
      <c r="F533" t="s">
        <v>258</v>
      </c>
      <c r="G533">
        <v>50</v>
      </c>
      <c r="H533">
        <v>70</v>
      </c>
      <c r="I533" s="4"/>
      <c r="J533">
        <f t="shared" si="24"/>
        <v>3500</v>
      </c>
      <c r="K533" s="4">
        <f t="shared" si="25"/>
        <v>3500</v>
      </c>
      <c r="L533" s="5">
        <f t="shared" si="26"/>
        <v>1</v>
      </c>
    </row>
    <row r="534" spans="1:12" x14ac:dyDescent="0.3">
      <c r="A534" s="2">
        <v>45873</v>
      </c>
      <c r="B534" t="s">
        <v>28</v>
      </c>
      <c r="C534" t="s">
        <v>170</v>
      </c>
      <c r="E534" t="s">
        <v>44</v>
      </c>
      <c r="F534" t="s">
        <v>36</v>
      </c>
      <c r="G534">
        <v>142</v>
      </c>
      <c r="H534">
        <v>70</v>
      </c>
      <c r="I534" s="4"/>
      <c r="J534">
        <f t="shared" si="24"/>
        <v>9940</v>
      </c>
      <c r="K534" s="4">
        <f t="shared" si="25"/>
        <v>9940</v>
      </c>
      <c r="L534" s="5">
        <f t="shared" si="26"/>
        <v>1</v>
      </c>
    </row>
    <row r="535" spans="1:12" x14ac:dyDescent="0.3">
      <c r="A535" s="2">
        <v>45873</v>
      </c>
      <c r="B535" t="s">
        <v>24</v>
      </c>
      <c r="C535" t="s">
        <v>103</v>
      </c>
      <c r="E535" t="s">
        <v>14</v>
      </c>
      <c r="F535" t="s">
        <v>18</v>
      </c>
      <c r="G535">
        <v>1</v>
      </c>
      <c r="H535">
        <v>180</v>
      </c>
      <c r="I535" s="4"/>
      <c r="J535">
        <f t="shared" si="24"/>
        <v>180</v>
      </c>
      <c r="K535" s="4">
        <f t="shared" si="25"/>
        <v>180</v>
      </c>
      <c r="L535" s="5">
        <f t="shared" si="26"/>
        <v>1</v>
      </c>
    </row>
    <row r="536" spans="1:12" x14ac:dyDescent="0.3">
      <c r="A536" s="2">
        <v>45873</v>
      </c>
      <c r="B536" t="s">
        <v>24</v>
      </c>
      <c r="C536" t="s">
        <v>103</v>
      </c>
      <c r="E536" t="s">
        <v>14</v>
      </c>
      <c r="F536" t="s">
        <v>92</v>
      </c>
      <c r="G536">
        <v>1</v>
      </c>
      <c r="H536">
        <v>650</v>
      </c>
      <c r="I536" s="4"/>
      <c r="J536">
        <f t="shared" si="24"/>
        <v>650</v>
      </c>
      <c r="K536" s="4">
        <f t="shared" si="25"/>
        <v>650</v>
      </c>
      <c r="L536" s="5">
        <f t="shared" si="26"/>
        <v>1</v>
      </c>
    </row>
    <row r="537" spans="1:12" x14ac:dyDescent="0.3">
      <c r="A537" s="2">
        <v>45873</v>
      </c>
      <c r="B537" t="s">
        <v>28</v>
      </c>
      <c r="C537" t="s">
        <v>135</v>
      </c>
      <c r="E537" t="s">
        <v>115</v>
      </c>
      <c r="F537" t="s">
        <v>63</v>
      </c>
      <c r="G537">
        <v>5</v>
      </c>
      <c r="H537">
        <v>476</v>
      </c>
      <c r="I537" s="4"/>
      <c r="J537">
        <f t="shared" si="24"/>
        <v>2380</v>
      </c>
      <c r="K537" s="4">
        <f t="shared" si="25"/>
        <v>2380</v>
      </c>
      <c r="L537" s="5">
        <f t="shared" si="26"/>
        <v>1</v>
      </c>
    </row>
    <row r="538" spans="1:12" x14ac:dyDescent="0.3">
      <c r="A538" s="2">
        <v>45873</v>
      </c>
      <c r="B538" t="s">
        <v>24</v>
      </c>
      <c r="C538" t="s">
        <v>103</v>
      </c>
      <c r="E538" t="s">
        <v>14</v>
      </c>
      <c r="F538" t="s">
        <v>134</v>
      </c>
      <c r="G538">
        <v>1</v>
      </c>
      <c r="H538">
        <v>72</v>
      </c>
      <c r="I538" s="4"/>
      <c r="J538">
        <f t="shared" si="24"/>
        <v>72</v>
      </c>
      <c r="K538" s="4">
        <f t="shared" si="25"/>
        <v>72</v>
      </c>
      <c r="L538" s="5">
        <f t="shared" si="26"/>
        <v>1</v>
      </c>
    </row>
    <row r="539" spans="1:12" x14ac:dyDescent="0.3">
      <c r="A539" s="2">
        <v>45873</v>
      </c>
      <c r="B539" t="s">
        <v>24</v>
      </c>
      <c r="C539" t="s">
        <v>103</v>
      </c>
      <c r="E539" t="s">
        <v>14</v>
      </c>
      <c r="F539" t="s">
        <v>18</v>
      </c>
      <c r="G539">
        <v>1</v>
      </c>
      <c r="H539">
        <v>180</v>
      </c>
      <c r="I539" s="4"/>
      <c r="J539">
        <f t="shared" si="24"/>
        <v>180</v>
      </c>
      <c r="K539" s="4">
        <f t="shared" si="25"/>
        <v>180</v>
      </c>
      <c r="L539" s="5">
        <f t="shared" si="26"/>
        <v>1</v>
      </c>
    </row>
    <row r="540" spans="1:12" x14ac:dyDescent="0.3">
      <c r="A540" s="2">
        <v>45873</v>
      </c>
      <c r="B540" t="s">
        <v>24</v>
      </c>
      <c r="C540" t="s">
        <v>103</v>
      </c>
      <c r="E540" t="s">
        <v>14</v>
      </c>
      <c r="F540" t="s">
        <v>17</v>
      </c>
      <c r="G540">
        <v>2</v>
      </c>
      <c r="H540">
        <v>150</v>
      </c>
      <c r="I540" s="4"/>
      <c r="J540">
        <f t="shared" si="24"/>
        <v>300</v>
      </c>
      <c r="K540" s="4">
        <f t="shared" si="25"/>
        <v>300</v>
      </c>
      <c r="L540" s="5">
        <f t="shared" si="26"/>
        <v>1</v>
      </c>
    </row>
    <row r="541" spans="1:12" x14ac:dyDescent="0.3">
      <c r="A541" s="2">
        <v>45873</v>
      </c>
      <c r="B541" t="s">
        <v>24</v>
      </c>
      <c r="C541" t="s">
        <v>103</v>
      </c>
      <c r="E541" t="s">
        <v>14</v>
      </c>
      <c r="F541" t="s">
        <v>92</v>
      </c>
      <c r="G541">
        <v>1</v>
      </c>
      <c r="H541">
        <v>650</v>
      </c>
      <c r="I541" s="4"/>
      <c r="J541">
        <f t="shared" si="24"/>
        <v>650</v>
      </c>
      <c r="K541" s="4">
        <f t="shared" si="25"/>
        <v>650</v>
      </c>
      <c r="L541" s="5">
        <f t="shared" si="26"/>
        <v>1</v>
      </c>
    </row>
    <row r="542" spans="1:12" x14ac:dyDescent="0.3">
      <c r="A542" s="2">
        <v>45873</v>
      </c>
      <c r="B542" t="s">
        <v>28</v>
      </c>
      <c r="C542" t="s">
        <v>274</v>
      </c>
      <c r="E542" t="s">
        <v>44</v>
      </c>
      <c r="F542" t="s">
        <v>27</v>
      </c>
      <c r="G542">
        <v>4</v>
      </c>
      <c r="H542">
        <v>535</v>
      </c>
      <c r="I542" s="4"/>
      <c r="J542">
        <f t="shared" si="24"/>
        <v>2140</v>
      </c>
      <c r="K542" s="4">
        <f t="shared" si="25"/>
        <v>2140</v>
      </c>
      <c r="L542" s="5">
        <f t="shared" si="26"/>
        <v>1</v>
      </c>
    </row>
    <row r="543" spans="1:12" x14ac:dyDescent="0.3">
      <c r="A543" s="2">
        <v>45873</v>
      </c>
      <c r="B543" t="s">
        <v>12</v>
      </c>
      <c r="C543" t="s">
        <v>13</v>
      </c>
      <c r="E543" t="s">
        <v>14</v>
      </c>
      <c r="F543" t="s">
        <v>54</v>
      </c>
      <c r="G543">
        <v>1</v>
      </c>
      <c r="H543">
        <v>150</v>
      </c>
      <c r="I543" s="4"/>
      <c r="J543">
        <f t="shared" si="24"/>
        <v>150</v>
      </c>
      <c r="K543" s="4">
        <f t="shared" si="25"/>
        <v>150</v>
      </c>
      <c r="L543" s="5">
        <f t="shared" si="26"/>
        <v>1</v>
      </c>
    </row>
    <row r="544" spans="1:12" x14ac:dyDescent="0.3">
      <c r="A544" s="2">
        <v>45873</v>
      </c>
      <c r="B544" t="s">
        <v>12</v>
      </c>
      <c r="C544" t="s">
        <v>13</v>
      </c>
      <c r="E544" t="s">
        <v>14</v>
      </c>
      <c r="F544" t="s">
        <v>18</v>
      </c>
      <c r="G544">
        <v>1</v>
      </c>
      <c r="H544">
        <v>120</v>
      </c>
      <c r="I544" s="4"/>
      <c r="J544">
        <f t="shared" si="24"/>
        <v>120</v>
      </c>
      <c r="K544" s="4">
        <f t="shared" si="25"/>
        <v>120</v>
      </c>
      <c r="L544" s="5">
        <f t="shared" si="26"/>
        <v>1</v>
      </c>
    </row>
    <row r="545" spans="1:12" x14ac:dyDescent="0.3">
      <c r="A545" s="2">
        <v>45873</v>
      </c>
      <c r="B545" t="s">
        <v>12</v>
      </c>
      <c r="C545" t="s">
        <v>13</v>
      </c>
      <c r="E545" t="s">
        <v>14</v>
      </c>
      <c r="F545" t="s">
        <v>17</v>
      </c>
      <c r="G545">
        <v>2</v>
      </c>
      <c r="H545">
        <v>110</v>
      </c>
      <c r="I545" s="4"/>
      <c r="J545">
        <f t="shared" si="24"/>
        <v>220</v>
      </c>
      <c r="K545" s="4">
        <f t="shared" si="25"/>
        <v>220</v>
      </c>
      <c r="L545" s="5">
        <f t="shared" si="26"/>
        <v>1</v>
      </c>
    </row>
    <row r="546" spans="1:12" x14ac:dyDescent="0.3">
      <c r="A546" s="2">
        <v>45873</v>
      </c>
      <c r="B546" t="s">
        <v>24</v>
      </c>
      <c r="C546" t="s">
        <v>275</v>
      </c>
      <c r="E546" t="s">
        <v>26</v>
      </c>
      <c r="F546" t="s">
        <v>112</v>
      </c>
      <c r="G546">
        <v>3</v>
      </c>
      <c r="H546">
        <v>600</v>
      </c>
      <c r="I546" s="4"/>
      <c r="J546">
        <f t="shared" si="24"/>
        <v>1800</v>
      </c>
      <c r="K546" s="4">
        <f t="shared" si="25"/>
        <v>1800</v>
      </c>
      <c r="L546" s="5">
        <f t="shared" si="26"/>
        <v>1</v>
      </c>
    </row>
    <row r="547" spans="1:12" x14ac:dyDescent="0.3">
      <c r="A547" s="2">
        <v>45873</v>
      </c>
      <c r="B547" t="s">
        <v>59</v>
      </c>
      <c r="C547" t="s">
        <v>144</v>
      </c>
      <c r="E547" t="s">
        <v>44</v>
      </c>
      <c r="F547" t="s">
        <v>58</v>
      </c>
      <c r="G547">
        <v>80</v>
      </c>
      <c r="H547">
        <v>64</v>
      </c>
      <c r="I547" s="4"/>
      <c r="J547">
        <f t="shared" si="24"/>
        <v>5120</v>
      </c>
      <c r="K547" s="4">
        <f t="shared" si="25"/>
        <v>5120</v>
      </c>
      <c r="L547" s="5">
        <f t="shared" si="26"/>
        <v>1</v>
      </c>
    </row>
    <row r="548" spans="1:12" x14ac:dyDescent="0.3">
      <c r="A548" s="2">
        <v>45873</v>
      </c>
      <c r="B548" t="s">
        <v>59</v>
      </c>
      <c r="C548" t="s">
        <v>144</v>
      </c>
      <c r="E548" t="s">
        <v>44</v>
      </c>
      <c r="F548" t="s">
        <v>27</v>
      </c>
      <c r="G548">
        <v>1</v>
      </c>
      <c r="H548">
        <v>225</v>
      </c>
      <c r="I548" s="4"/>
      <c r="J548">
        <f t="shared" si="24"/>
        <v>225</v>
      </c>
      <c r="K548" s="4">
        <f t="shared" si="25"/>
        <v>225</v>
      </c>
      <c r="L548" s="5">
        <f t="shared" si="26"/>
        <v>1</v>
      </c>
    </row>
    <row r="549" spans="1:12" x14ac:dyDescent="0.3">
      <c r="A549" s="2">
        <v>45873</v>
      </c>
      <c r="B549" t="s">
        <v>72</v>
      </c>
      <c r="C549" t="s">
        <v>152</v>
      </c>
      <c r="E549" t="s">
        <v>14</v>
      </c>
      <c r="F549" t="s">
        <v>31</v>
      </c>
      <c r="G549">
        <v>110</v>
      </c>
      <c r="H549">
        <v>49</v>
      </c>
      <c r="I549" s="4"/>
      <c r="J549">
        <f t="shared" si="24"/>
        <v>5390</v>
      </c>
      <c r="K549" s="4">
        <f t="shared" si="25"/>
        <v>5390</v>
      </c>
      <c r="L549" s="5">
        <f t="shared" si="26"/>
        <v>1</v>
      </c>
    </row>
    <row r="550" spans="1:12" x14ac:dyDescent="0.3">
      <c r="A550" s="2">
        <v>45874</v>
      </c>
      <c r="B550" t="s">
        <v>12</v>
      </c>
      <c r="C550" t="s">
        <v>13</v>
      </c>
      <c r="E550" t="s">
        <v>14</v>
      </c>
      <c r="F550" t="s">
        <v>17</v>
      </c>
      <c r="G550">
        <v>1</v>
      </c>
      <c r="H550">
        <v>110</v>
      </c>
      <c r="I550" s="4"/>
      <c r="J550">
        <f t="shared" si="24"/>
        <v>110</v>
      </c>
      <c r="K550" s="4">
        <f t="shared" si="25"/>
        <v>110</v>
      </c>
      <c r="L550" s="5">
        <f t="shared" si="26"/>
        <v>1</v>
      </c>
    </row>
    <row r="551" spans="1:12" x14ac:dyDescent="0.3">
      <c r="A551" s="2">
        <v>45874</v>
      </c>
      <c r="B551" t="s">
        <v>12</v>
      </c>
      <c r="C551" t="s">
        <v>13</v>
      </c>
      <c r="E551" t="s">
        <v>14</v>
      </c>
      <c r="F551" t="s">
        <v>17</v>
      </c>
      <c r="G551">
        <v>1</v>
      </c>
      <c r="H551">
        <v>110</v>
      </c>
      <c r="I551" s="4"/>
      <c r="J551">
        <f t="shared" si="24"/>
        <v>110</v>
      </c>
      <c r="K551" s="4">
        <f t="shared" si="25"/>
        <v>110</v>
      </c>
      <c r="L551" s="5">
        <f t="shared" si="26"/>
        <v>1</v>
      </c>
    </row>
    <row r="552" spans="1:12" x14ac:dyDescent="0.3">
      <c r="A552" s="2">
        <v>45874</v>
      </c>
      <c r="B552" t="s">
        <v>59</v>
      </c>
      <c r="C552" t="s">
        <v>268</v>
      </c>
      <c r="E552" t="s">
        <v>44</v>
      </c>
      <c r="F552" t="s">
        <v>94</v>
      </c>
      <c r="G552">
        <v>2</v>
      </c>
      <c r="H552">
        <v>679</v>
      </c>
      <c r="I552" s="4"/>
      <c r="J552">
        <f t="shared" si="24"/>
        <v>1358</v>
      </c>
      <c r="K552" s="4">
        <f t="shared" si="25"/>
        <v>1358</v>
      </c>
      <c r="L552" s="5">
        <f t="shared" si="26"/>
        <v>1</v>
      </c>
    </row>
    <row r="553" spans="1:12" x14ac:dyDescent="0.3">
      <c r="A553" s="2">
        <v>45874</v>
      </c>
      <c r="B553" t="s">
        <v>59</v>
      </c>
      <c r="C553" t="s">
        <v>268</v>
      </c>
      <c r="E553" t="s">
        <v>44</v>
      </c>
      <c r="F553" t="s">
        <v>95</v>
      </c>
      <c r="G553">
        <v>2</v>
      </c>
      <c r="H553">
        <v>679</v>
      </c>
      <c r="I553" s="4"/>
      <c r="J553">
        <f t="shared" si="24"/>
        <v>1358</v>
      </c>
      <c r="K553" s="4">
        <f t="shared" si="25"/>
        <v>1358</v>
      </c>
      <c r="L553" s="5">
        <f t="shared" si="26"/>
        <v>1</v>
      </c>
    </row>
    <row r="554" spans="1:12" x14ac:dyDescent="0.3">
      <c r="A554" s="2">
        <v>45874</v>
      </c>
      <c r="B554" t="s">
        <v>37</v>
      </c>
      <c r="C554" t="s">
        <v>48</v>
      </c>
      <c r="E554" t="s">
        <v>106</v>
      </c>
      <c r="F554" t="s">
        <v>40</v>
      </c>
      <c r="G554">
        <v>56</v>
      </c>
      <c r="H554">
        <v>64</v>
      </c>
      <c r="I554" s="4"/>
      <c r="J554">
        <f t="shared" si="24"/>
        <v>3584</v>
      </c>
      <c r="K554" s="4">
        <f t="shared" si="25"/>
        <v>3584</v>
      </c>
      <c r="L554" s="5">
        <f t="shared" si="26"/>
        <v>1</v>
      </c>
    </row>
    <row r="555" spans="1:12" x14ac:dyDescent="0.3">
      <c r="A555" s="2">
        <v>45874</v>
      </c>
      <c r="B555" t="s">
        <v>12</v>
      </c>
      <c r="C555" t="s">
        <v>13</v>
      </c>
      <c r="E555" t="s">
        <v>14</v>
      </c>
      <c r="F555" t="s">
        <v>54</v>
      </c>
      <c r="G555">
        <v>1</v>
      </c>
      <c r="H555">
        <v>150</v>
      </c>
      <c r="J555">
        <f t="shared" si="24"/>
        <v>150</v>
      </c>
      <c r="K555">
        <f t="shared" si="25"/>
        <v>150</v>
      </c>
      <c r="L555">
        <f t="shared" si="26"/>
        <v>1</v>
      </c>
    </row>
    <row r="556" spans="1:12" x14ac:dyDescent="0.3">
      <c r="A556" s="2">
        <v>45874</v>
      </c>
      <c r="B556" t="s">
        <v>12</v>
      </c>
      <c r="C556" t="s">
        <v>13</v>
      </c>
      <c r="E556" t="s">
        <v>14</v>
      </c>
      <c r="F556" t="s">
        <v>18</v>
      </c>
      <c r="G556">
        <v>1</v>
      </c>
      <c r="H556">
        <v>120</v>
      </c>
      <c r="J556">
        <f t="shared" si="24"/>
        <v>120</v>
      </c>
      <c r="K556">
        <f t="shared" si="25"/>
        <v>120</v>
      </c>
      <c r="L556">
        <f t="shared" si="26"/>
        <v>1</v>
      </c>
    </row>
    <row r="557" spans="1:12" x14ac:dyDescent="0.3">
      <c r="A557" s="2">
        <v>45874</v>
      </c>
      <c r="B557" t="s">
        <v>12</v>
      </c>
      <c r="C557" t="s">
        <v>13</v>
      </c>
      <c r="E557" t="s">
        <v>14</v>
      </c>
      <c r="F557" t="s">
        <v>17</v>
      </c>
      <c r="G557">
        <v>2</v>
      </c>
      <c r="H557">
        <v>110</v>
      </c>
      <c r="J557">
        <f t="shared" si="24"/>
        <v>220</v>
      </c>
      <c r="K557">
        <f t="shared" si="25"/>
        <v>220</v>
      </c>
      <c r="L557">
        <f t="shared" si="26"/>
        <v>1</v>
      </c>
    </row>
    <row r="558" spans="1:12" x14ac:dyDescent="0.3">
      <c r="A558" s="2">
        <v>45874</v>
      </c>
      <c r="B558" t="s">
        <v>12</v>
      </c>
      <c r="C558" t="s">
        <v>13</v>
      </c>
      <c r="E558" t="s">
        <v>14</v>
      </c>
      <c r="F558" t="s">
        <v>15</v>
      </c>
      <c r="G558">
        <v>1</v>
      </c>
      <c r="H558">
        <v>120</v>
      </c>
      <c r="J558">
        <f t="shared" si="24"/>
        <v>120</v>
      </c>
      <c r="K558">
        <f t="shared" si="25"/>
        <v>120</v>
      </c>
      <c r="L558">
        <f t="shared" si="26"/>
        <v>1</v>
      </c>
    </row>
    <row r="559" spans="1:12" x14ac:dyDescent="0.3">
      <c r="A559" s="2">
        <v>45874</v>
      </c>
      <c r="B559" t="s">
        <v>12</v>
      </c>
      <c r="C559" t="s">
        <v>13</v>
      </c>
      <c r="E559" t="s">
        <v>14</v>
      </c>
      <c r="F559" t="s">
        <v>16</v>
      </c>
      <c r="G559">
        <v>1</v>
      </c>
      <c r="H559">
        <v>350</v>
      </c>
      <c r="J559">
        <f t="shared" si="24"/>
        <v>350</v>
      </c>
      <c r="K559">
        <f t="shared" si="25"/>
        <v>350</v>
      </c>
      <c r="L559">
        <f t="shared" si="26"/>
        <v>1</v>
      </c>
    </row>
    <row r="560" spans="1:12" x14ac:dyDescent="0.3">
      <c r="A560" s="2">
        <v>45874</v>
      </c>
      <c r="B560" t="s">
        <v>12</v>
      </c>
      <c r="C560" t="s">
        <v>13</v>
      </c>
      <c r="E560" t="s">
        <v>14</v>
      </c>
      <c r="F560" t="s">
        <v>17</v>
      </c>
      <c r="G560">
        <v>2</v>
      </c>
      <c r="H560">
        <v>110</v>
      </c>
      <c r="J560">
        <f t="shared" si="24"/>
        <v>220</v>
      </c>
      <c r="K560">
        <f t="shared" si="25"/>
        <v>220</v>
      </c>
      <c r="L560">
        <f t="shared" si="26"/>
        <v>1</v>
      </c>
    </row>
    <row r="561" spans="1:12" x14ac:dyDescent="0.3">
      <c r="A561" s="2">
        <v>45874</v>
      </c>
      <c r="B561" t="s">
        <v>12</v>
      </c>
      <c r="C561" t="s">
        <v>13</v>
      </c>
      <c r="E561" t="s">
        <v>14</v>
      </c>
      <c r="F561" t="s">
        <v>15</v>
      </c>
      <c r="G561">
        <v>1</v>
      </c>
      <c r="H561">
        <v>120</v>
      </c>
      <c r="J561">
        <f t="shared" si="24"/>
        <v>120</v>
      </c>
      <c r="K561">
        <f t="shared" si="25"/>
        <v>120</v>
      </c>
      <c r="L561">
        <f t="shared" si="26"/>
        <v>1</v>
      </c>
    </row>
    <row r="562" spans="1:12" x14ac:dyDescent="0.3">
      <c r="A562" s="2">
        <v>45874</v>
      </c>
      <c r="B562" t="s">
        <v>12</v>
      </c>
      <c r="C562" t="s">
        <v>13</v>
      </c>
      <c r="E562" t="s">
        <v>14</v>
      </c>
      <c r="F562" t="s">
        <v>17</v>
      </c>
      <c r="G562">
        <v>1</v>
      </c>
      <c r="H562">
        <v>110</v>
      </c>
      <c r="J562">
        <f t="shared" si="24"/>
        <v>110</v>
      </c>
      <c r="K562">
        <f t="shared" si="25"/>
        <v>110</v>
      </c>
      <c r="L562">
        <f t="shared" si="26"/>
        <v>1</v>
      </c>
    </row>
    <row r="563" spans="1:12" x14ac:dyDescent="0.3">
      <c r="A563" s="2">
        <v>45874</v>
      </c>
      <c r="B563" t="s">
        <v>12</v>
      </c>
      <c r="C563" t="s">
        <v>13</v>
      </c>
      <c r="E563" t="s">
        <v>14</v>
      </c>
      <c r="F563" t="s">
        <v>15</v>
      </c>
      <c r="G563">
        <v>1</v>
      </c>
      <c r="H563">
        <v>120</v>
      </c>
      <c r="J563">
        <f t="shared" si="24"/>
        <v>120</v>
      </c>
      <c r="K563">
        <f t="shared" si="25"/>
        <v>120</v>
      </c>
      <c r="L563">
        <f t="shared" si="26"/>
        <v>1</v>
      </c>
    </row>
    <row r="564" spans="1:12" x14ac:dyDescent="0.3">
      <c r="A564" s="2">
        <v>45874</v>
      </c>
      <c r="B564" t="s">
        <v>12</v>
      </c>
      <c r="C564" t="s">
        <v>13</v>
      </c>
      <c r="E564" t="s">
        <v>14</v>
      </c>
      <c r="F564" t="s">
        <v>16</v>
      </c>
      <c r="G564">
        <v>1</v>
      </c>
      <c r="H564">
        <v>350</v>
      </c>
      <c r="J564">
        <f t="shared" si="24"/>
        <v>350</v>
      </c>
      <c r="K564">
        <f t="shared" si="25"/>
        <v>350</v>
      </c>
      <c r="L564">
        <f t="shared" si="26"/>
        <v>1</v>
      </c>
    </row>
    <row r="565" spans="1:12" x14ac:dyDescent="0.3">
      <c r="A565" s="2">
        <v>45874</v>
      </c>
      <c r="B565" t="s">
        <v>12</v>
      </c>
      <c r="C565" t="s">
        <v>13</v>
      </c>
      <c r="E565" t="s">
        <v>14</v>
      </c>
      <c r="F565" t="s">
        <v>17</v>
      </c>
      <c r="G565">
        <v>1</v>
      </c>
      <c r="H565">
        <v>110</v>
      </c>
      <c r="J565">
        <f t="shared" si="24"/>
        <v>110</v>
      </c>
      <c r="K565">
        <f t="shared" si="25"/>
        <v>110</v>
      </c>
      <c r="L565">
        <f t="shared" si="26"/>
        <v>1</v>
      </c>
    </row>
    <row r="566" spans="1:12" x14ac:dyDescent="0.3">
      <c r="A566" s="2">
        <v>45874</v>
      </c>
      <c r="B566" t="s">
        <v>37</v>
      </c>
      <c r="C566" t="s">
        <v>164</v>
      </c>
      <c r="E566" t="s">
        <v>106</v>
      </c>
      <c r="F566" t="s">
        <v>17</v>
      </c>
      <c r="G566">
        <v>1</v>
      </c>
      <c r="H566">
        <v>110</v>
      </c>
      <c r="J566">
        <f t="shared" si="24"/>
        <v>110</v>
      </c>
      <c r="K566">
        <f t="shared" si="25"/>
        <v>110</v>
      </c>
      <c r="L566">
        <f t="shared" si="26"/>
        <v>1</v>
      </c>
    </row>
    <row r="567" spans="1:12" x14ac:dyDescent="0.3">
      <c r="A567" s="2">
        <v>45874</v>
      </c>
      <c r="B567" t="s">
        <v>37</v>
      </c>
      <c r="C567" t="s">
        <v>164</v>
      </c>
      <c r="E567" t="s">
        <v>106</v>
      </c>
      <c r="F567" t="s">
        <v>81</v>
      </c>
      <c r="G567">
        <v>1</v>
      </c>
      <c r="H567">
        <v>705</v>
      </c>
      <c r="J567">
        <f t="shared" si="24"/>
        <v>705</v>
      </c>
      <c r="K567">
        <f t="shared" si="25"/>
        <v>705</v>
      </c>
      <c r="L567">
        <f t="shared" si="26"/>
        <v>1</v>
      </c>
    </row>
    <row r="568" spans="1:12" x14ac:dyDescent="0.3">
      <c r="A568" s="2">
        <v>45874</v>
      </c>
      <c r="B568" t="s">
        <v>24</v>
      </c>
      <c r="C568" t="s">
        <v>41</v>
      </c>
      <c r="E568" t="s">
        <v>14</v>
      </c>
      <c r="F568" t="s">
        <v>42</v>
      </c>
      <c r="G568">
        <v>1</v>
      </c>
      <c r="H568">
        <v>675</v>
      </c>
      <c r="J568">
        <f t="shared" si="24"/>
        <v>675</v>
      </c>
      <c r="K568">
        <f t="shared" si="25"/>
        <v>675</v>
      </c>
      <c r="L568">
        <f t="shared" si="26"/>
        <v>1</v>
      </c>
    </row>
    <row r="569" spans="1:12" x14ac:dyDescent="0.3">
      <c r="A569" s="2">
        <v>45874</v>
      </c>
      <c r="B569" t="s">
        <v>28</v>
      </c>
      <c r="C569" t="s">
        <v>48</v>
      </c>
      <c r="E569" t="s">
        <v>35</v>
      </c>
      <c r="F569" t="s">
        <v>186</v>
      </c>
      <c r="G569">
        <v>20</v>
      </c>
      <c r="H569">
        <v>239.95</v>
      </c>
      <c r="J569">
        <f t="shared" si="24"/>
        <v>4799</v>
      </c>
      <c r="K569">
        <f t="shared" si="25"/>
        <v>4799</v>
      </c>
      <c r="L569">
        <f t="shared" si="26"/>
        <v>1</v>
      </c>
    </row>
    <row r="570" spans="1:12" x14ac:dyDescent="0.3">
      <c r="A570" s="2">
        <v>45874</v>
      </c>
      <c r="B570" t="s">
        <v>28</v>
      </c>
      <c r="C570" t="s">
        <v>48</v>
      </c>
      <c r="E570" t="s">
        <v>35</v>
      </c>
      <c r="F570" t="s">
        <v>137</v>
      </c>
      <c r="G570">
        <v>25</v>
      </c>
      <c r="H570">
        <v>51.95</v>
      </c>
      <c r="J570">
        <f t="shared" si="24"/>
        <v>1298.75</v>
      </c>
      <c r="K570">
        <f t="shared" si="25"/>
        <v>1298.75</v>
      </c>
      <c r="L570">
        <f t="shared" si="26"/>
        <v>1</v>
      </c>
    </row>
    <row r="571" spans="1:12" x14ac:dyDescent="0.3">
      <c r="A571" s="2">
        <v>45874</v>
      </c>
      <c r="B571" t="s">
        <v>12</v>
      </c>
      <c r="C571" t="s">
        <v>118</v>
      </c>
      <c r="E571" t="s">
        <v>39</v>
      </c>
      <c r="F571" t="s">
        <v>91</v>
      </c>
      <c r="G571">
        <v>5</v>
      </c>
      <c r="H571">
        <v>330</v>
      </c>
      <c r="J571">
        <f t="shared" si="24"/>
        <v>1650</v>
      </c>
      <c r="K571">
        <f t="shared" si="25"/>
        <v>1650</v>
      </c>
      <c r="L571">
        <f t="shared" si="26"/>
        <v>1</v>
      </c>
    </row>
    <row r="572" spans="1:12" x14ac:dyDescent="0.3">
      <c r="A572" s="2">
        <v>45874</v>
      </c>
      <c r="B572" t="s">
        <v>12</v>
      </c>
      <c r="C572" t="s">
        <v>118</v>
      </c>
      <c r="E572" t="s">
        <v>39</v>
      </c>
      <c r="F572" t="s">
        <v>31</v>
      </c>
      <c r="G572">
        <v>70</v>
      </c>
      <c r="H572">
        <v>42.5</v>
      </c>
      <c r="J572">
        <f t="shared" si="24"/>
        <v>2975</v>
      </c>
      <c r="K572">
        <f t="shared" si="25"/>
        <v>2975</v>
      </c>
      <c r="L572">
        <f t="shared" si="26"/>
        <v>1</v>
      </c>
    </row>
    <row r="573" spans="1:12" x14ac:dyDescent="0.3">
      <c r="A573" s="2">
        <v>45874</v>
      </c>
      <c r="B573" t="s">
        <v>12</v>
      </c>
      <c r="C573" t="s">
        <v>118</v>
      </c>
      <c r="E573" t="s">
        <v>39</v>
      </c>
      <c r="F573" t="s">
        <v>223</v>
      </c>
      <c r="G573">
        <v>5</v>
      </c>
      <c r="H573">
        <v>75</v>
      </c>
      <c r="J573">
        <f t="shared" si="24"/>
        <v>375</v>
      </c>
      <c r="K573">
        <f t="shared" si="25"/>
        <v>375</v>
      </c>
      <c r="L573">
        <f t="shared" si="26"/>
        <v>1</v>
      </c>
    </row>
    <row r="574" spans="1:12" x14ac:dyDescent="0.3">
      <c r="A574" s="2">
        <v>45874</v>
      </c>
      <c r="B574" t="s">
        <v>28</v>
      </c>
      <c r="C574" t="s">
        <v>48</v>
      </c>
      <c r="E574" t="s">
        <v>115</v>
      </c>
      <c r="F574" t="s">
        <v>223</v>
      </c>
      <c r="G574">
        <v>2</v>
      </c>
      <c r="H574">
        <v>200</v>
      </c>
      <c r="J574">
        <f t="shared" si="24"/>
        <v>400</v>
      </c>
      <c r="K574">
        <f t="shared" si="25"/>
        <v>400</v>
      </c>
      <c r="L574">
        <f t="shared" si="26"/>
        <v>1</v>
      </c>
    </row>
    <row r="575" spans="1:12" x14ac:dyDescent="0.3">
      <c r="A575" s="2">
        <v>45874</v>
      </c>
      <c r="B575" t="s">
        <v>24</v>
      </c>
      <c r="C575" t="s">
        <v>133</v>
      </c>
      <c r="E575" t="s">
        <v>14</v>
      </c>
      <c r="F575" t="s">
        <v>42</v>
      </c>
      <c r="G575">
        <v>1</v>
      </c>
      <c r="H575">
        <v>750</v>
      </c>
      <c r="J575">
        <f t="shared" si="24"/>
        <v>750</v>
      </c>
      <c r="K575">
        <f t="shared" si="25"/>
        <v>750</v>
      </c>
      <c r="L575">
        <f t="shared" si="26"/>
        <v>1</v>
      </c>
    </row>
    <row r="576" spans="1:12" x14ac:dyDescent="0.3">
      <c r="A576" s="2">
        <v>45875</v>
      </c>
      <c r="B576" t="s">
        <v>28</v>
      </c>
      <c r="C576" t="s">
        <v>48</v>
      </c>
      <c r="E576" t="s">
        <v>115</v>
      </c>
      <c r="F576" t="s">
        <v>18</v>
      </c>
      <c r="G576">
        <v>15</v>
      </c>
      <c r="H576">
        <v>55</v>
      </c>
      <c r="J576">
        <f t="shared" si="24"/>
        <v>825</v>
      </c>
      <c r="K576">
        <f t="shared" si="25"/>
        <v>825</v>
      </c>
      <c r="L576">
        <f t="shared" si="26"/>
        <v>1</v>
      </c>
    </row>
    <row r="577" spans="1:12" x14ac:dyDescent="0.3">
      <c r="A577" s="2">
        <v>45875</v>
      </c>
      <c r="B577" t="s">
        <v>28</v>
      </c>
      <c r="C577" t="s">
        <v>48</v>
      </c>
      <c r="E577" t="s">
        <v>115</v>
      </c>
      <c r="F577" t="s">
        <v>16</v>
      </c>
      <c r="G577">
        <v>5</v>
      </c>
      <c r="H577">
        <v>297</v>
      </c>
      <c r="J577">
        <f t="shared" si="24"/>
        <v>1485</v>
      </c>
      <c r="K577">
        <f t="shared" si="25"/>
        <v>1485</v>
      </c>
      <c r="L577">
        <f t="shared" si="26"/>
        <v>1</v>
      </c>
    </row>
    <row r="578" spans="1:12" x14ac:dyDescent="0.3">
      <c r="A578" s="2">
        <v>45875</v>
      </c>
      <c r="B578" t="s">
        <v>12</v>
      </c>
      <c r="C578" t="s">
        <v>276</v>
      </c>
      <c r="E578" t="s">
        <v>14</v>
      </c>
      <c r="F578" t="s">
        <v>277</v>
      </c>
      <c r="G578">
        <v>1</v>
      </c>
      <c r="H578">
        <v>900</v>
      </c>
      <c r="J578">
        <f t="shared" ref="J578:J631" si="27">G578*H578</f>
        <v>900</v>
      </c>
      <c r="K578">
        <f t="shared" ref="K578:K631" si="28">(H578-I578)*G578</f>
        <v>900</v>
      </c>
      <c r="L578">
        <f t="shared" ref="L578:L631" si="29">IF(H578&gt;0,(H578-I578)/H578,0)</f>
        <v>1</v>
      </c>
    </row>
    <row r="579" spans="1:12" x14ac:dyDescent="0.3">
      <c r="A579" s="2">
        <v>45875</v>
      </c>
      <c r="B579" t="s">
        <v>24</v>
      </c>
      <c r="C579" t="s">
        <v>56</v>
      </c>
      <c r="E579" t="s">
        <v>14</v>
      </c>
      <c r="F579" t="s">
        <v>42</v>
      </c>
      <c r="G579">
        <v>1</v>
      </c>
      <c r="H579">
        <v>715</v>
      </c>
      <c r="J579">
        <f t="shared" si="27"/>
        <v>715</v>
      </c>
      <c r="K579">
        <f t="shared" si="28"/>
        <v>715</v>
      </c>
      <c r="L579">
        <f t="shared" si="29"/>
        <v>1</v>
      </c>
    </row>
    <row r="580" spans="1:12" x14ac:dyDescent="0.3">
      <c r="A580" s="2">
        <v>45875</v>
      </c>
      <c r="B580" t="s">
        <v>37</v>
      </c>
      <c r="C580" t="s">
        <v>143</v>
      </c>
      <c r="E580" t="s">
        <v>22</v>
      </c>
      <c r="F580" t="s">
        <v>17</v>
      </c>
      <c r="G580">
        <v>150</v>
      </c>
      <c r="H580">
        <v>69</v>
      </c>
      <c r="J580">
        <f t="shared" si="27"/>
        <v>10350</v>
      </c>
      <c r="K580">
        <f t="shared" si="28"/>
        <v>10350</v>
      </c>
      <c r="L580">
        <f t="shared" si="29"/>
        <v>1</v>
      </c>
    </row>
    <row r="581" spans="1:12" x14ac:dyDescent="0.3">
      <c r="A581" s="2">
        <v>45875</v>
      </c>
      <c r="B581" t="s">
        <v>72</v>
      </c>
      <c r="C581" t="s">
        <v>278</v>
      </c>
      <c r="E581" t="s">
        <v>49</v>
      </c>
      <c r="F581" t="s">
        <v>42</v>
      </c>
      <c r="G581">
        <v>3</v>
      </c>
      <c r="H581">
        <v>1380</v>
      </c>
      <c r="J581">
        <f t="shared" si="27"/>
        <v>4140</v>
      </c>
      <c r="K581">
        <f t="shared" si="28"/>
        <v>4140</v>
      </c>
      <c r="L581">
        <f t="shared" si="29"/>
        <v>1</v>
      </c>
    </row>
    <row r="582" spans="1:12" x14ac:dyDescent="0.3">
      <c r="A582" s="2">
        <v>45875</v>
      </c>
      <c r="B582" t="s">
        <v>12</v>
      </c>
      <c r="C582" t="s">
        <v>279</v>
      </c>
      <c r="E582" t="s">
        <v>26</v>
      </c>
      <c r="F582" t="s">
        <v>137</v>
      </c>
      <c r="G582">
        <v>25</v>
      </c>
      <c r="H582">
        <v>65</v>
      </c>
      <c r="J582">
        <f t="shared" si="27"/>
        <v>1625</v>
      </c>
      <c r="K582">
        <f t="shared" si="28"/>
        <v>1625</v>
      </c>
      <c r="L582">
        <f t="shared" si="29"/>
        <v>1</v>
      </c>
    </row>
    <row r="583" spans="1:12" x14ac:dyDescent="0.3">
      <c r="A583" s="2">
        <v>45875</v>
      </c>
      <c r="B583" t="s">
        <v>24</v>
      </c>
      <c r="C583" t="s">
        <v>56</v>
      </c>
      <c r="E583" t="s">
        <v>49</v>
      </c>
      <c r="F583" t="s">
        <v>63</v>
      </c>
      <c r="G583">
        <v>2</v>
      </c>
      <c r="H583">
        <v>420</v>
      </c>
      <c r="J583">
        <f t="shared" si="27"/>
        <v>840</v>
      </c>
      <c r="K583">
        <f t="shared" si="28"/>
        <v>840</v>
      </c>
      <c r="L583">
        <f t="shared" si="29"/>
        <v>1</v>
      </c>
    </row>
    <row r="584" spans="1:12" x14ac:dyDescent="0.3">
      <c r="A584" s="2">
        <v>45875</v>
      </c>
      <c r="B584" t="s">
        <v>130</v>
      </c>
      <c r="C584" t="s">
        <v>192</v>
      </c>
      <c r="E584" t="s">
        <v>85</v>
      </c>
      <c r="F584" t="s">
        <v>172</v>
      </c>
      <c r="G584">
        <v>5</v>
      </c>
      <c r="H584">
        <v>68</v>
      </c>
      <c r="J584">
        <f t="shared" si="27"/>
        <v>340</v>
      </c>
      <c r="K584">
        <f t="shared" si="28"/>
        <v>340</v>
      </c>
      <c r="L584">
        <f t="shared" si="29"/>
        <v>1</v>
      </c>
    </row>
    <row r="585" spans="1:12" x14ac:dyDescent="0.3">
      <c r="A585" s="2">
        <v>45875</v>
      </c>
      <c r="B585" t="s">
        <v>130</v>
      </c>
      <c r="C585" t="s">
        <v>192</v>
      </c>
      <c r="E585" t="s">
        <v>85</v>
      </c>
      <c r="F585" t="s">
        <v>66</v>
      </c>
      <c r="G585">
        <v>1</v>
      </c>
      <c r="H585">
        <v>625</v>
      </c>
      <c r="J585">
        <f t="shared" si="27"/>
        <v>625</v>
      </c>
      <c r="K585">
        <f t="shared" si="28"/>
        <v>625</v>
      </c>
      <c r="L585">
        <f t="shared" si="29"/>
        <v>1</v>
      </c>
    </row>
    <row r="586" spans="1:12" x14ac:dyDescent="0.3">
      <c r="A586" s="2">
        <v>45875</v>
      </c>
      <c r="B586" t="s">
        <v>130</v>
      </c>
      <c r="C586" t="s">
        <v>192</v>
      </c>
      <c r="E586" t="s">
        <v>85</v>
      </c>
      <c r="F586" t="s">
        <v>42</v>
      </c>
      <c r="G586">
        <v>6</v>
      </c>
      <c r="H586">
        <v>680</v>
      </c>
      <c r="J586">
        <f t="shared" si="27"/>
        <v>4080</v>
      </c>
      <c r="K586">
        <f t="shared" si="28"/>
        <v>4080</v>
      </c>
      <c r="L586">
        <f t="shared" si="29"/>
        <v>1</v>
      </c>
    </row>
    <row r="587" spans="1:12" x14ac:dyDescent="0.3">
      <c r="A587" s="2">
        <v>45875</v>
      </c>
      <c r="B587" t="s">
        <v>28</v>
      </c>
      <c r="C587" t="s">
        <v>257</v>
      </c>
      <c r="E587" t="s">
        <v>49</v>
      </c>
      <c r="F587" t="s">
        <v>94</v>
      </c>
      <c r="G587">
        <v>15</v>
      </c>
      <c r="H587">
        <v>910</v>
      </c>
      <c r="J587">
        <f t="shared" si="27"/>
        <v>13650</v>
      </c>
      <c r="K587">
        <f t="shared" si="28"/>
        <v>13650</v>
      </c>
      <c r="L587">
        <f t="shared" si="29"/>
        <v>1</v>
      </c>
    </row>
    <row r="588" spans="1:12" x14ac:dyDescent="0.3">
      <c r="A588" s="2">
        <v>45875</v>
      </c>
      <c r="B588" t="s">
        <v>28</v>
      </c>
      <c r="C588" t="s">
        <v>257</v>
      </c>
      <c r="E588" t="s">
        <v>49</v>
      </c>
      <c r="F588" t="s">
        <v>94</v>
      </c>
      <c r="G588">
        <v>25</v>
      </c>
      <c r="H588">
        <v>970</v>
      </c>
      <c r="J588">
        <f t="shared" si="27"/>
        <v>24250</v>
      </c>
      <c r="K588">
        <f t="shared" si="28"/>
        <v>24250</v>
      </c>
      <c r="L588">
        <f t="shared" si="29"/>
        <v>1</v>
      </c>
    </row>
    <row r="589" spans="1:12" x14ac:dyDescent="0.3">
      <c r="A589" s="2">
        <v>45875</v>
      </c>
      <c r="B589" t="s">
        <v>28</v>
      </c>
      <c r="C589" t="s">
        <v>257</v>
      </c>
      <c r="E589" t="s">
        <v>49</v>
      </c>
      <c r="F589" t="s">
        <v>95</v>
      </c>
      <c r="G589">
        <v>15</v>
      </c>
      <c r="H589">
        <v>730</v>
      </c>
      <c r="J589">
        <f t="shared" si="27"/>
        <v>10950</v>
      </c>
      <c r="K589">
        <f t="shared" si="28"/>
        <v>10950</v>
      </c>
      <c r="L589">
        <f t="shared" si="29"/>
        <v>1</v>
      </c>
    </row>
    <row r="590" spans="1:12" x14ac:dyDescent="0.3">
      <c r="A590" s="2">
        <v>45875</v>
      </c>
      <c r="B590" t="s">
        <v>28</v>
      </c>
      <c r="C590" t="s">
        <v>257</v>
      </c>
      <c r="E590" t="s">
        <v>49</v>
      </c>
      <c r="F590" t="s">
        <v>96</v>
      </c>
      <c r="G590">
        <v>5</v>
      </c>
      <c r="H590">
        <v>730</v>
      </c>
      <c r="J590">
        <f t="shared" si="27"/>
        <v>3650</v>
      </c>
      <c r="K590">
        <f t="shared" si="28"/>
        <v>3650</v>
      </c>
      <c r="L590">
        <f t="shared" si="29"/>
        <v>1</v>
      </c>
    </row>
    <row r="591" spans="1:12" x14ac:dyDescent="0.3">
      <c r="A591" s="2">
        <v>45875</v>
      </c>
      <c r="B591" t="s">
        <v>28</v>
      </c>
      <c r="C591" t="s">
        <v>257</v>
      </c>
      <c r="E591" t="s">
        <v>49</v>
      </c>
      <c r="F591" t="s">
        <v>258</v>
      </c>
      <c r="G591">
        <v>40</v>
      </c>
      <c r="H591">
        <v>92</v>
      </c>
      <c r="J591">
        <f t="shared" si="27"/>
        <v>3680</v>
      </c>
      <c r="K591">
        <f t="shared" si="28"/>
        <v>3680</v>
      </c>
      <c r="L591">
        <f t="shared" si="29"/>
        <v>1</v>
      </c>
    </row>
    <row r="592" spans="1:12" x14ac:dyDescent="0.3">
      <c r="A592" s="2">
        <v>45875</v>
      </c>
      <c r="B592" t="s">
        <v>28</v>
      </c>
      <c r="C592" t="s">
        <v>257</v>
      </c>
      <c r="E592" t="s">
        <v>49</v>
      </c>
      <c r="F592" t="s">
        <v>36</v>
      </c>
      <c r="G592">
        <v>40</v>
      </c>
      <c r="H592">
        <v>92</v>
      </c>
      <c r="J592">
        <f t="shared" si="27"/>
        <v>3680</v>
      </c>
      <c r="K592">
        <f t="shared" si="28"/>
        <v>3680</v>
      </c>
      <c r="L592">
        <f t="shared" si="29"/>
        <v>1</v>
      </c>
    </row>
    <row r="593" spans="1:12" x14ac:dyDescent="0.3">
      <c r="A593" s="2">
        <v>45876</v>
      </c>
      <c r="B593" t="s">
        <v>24</v>
      </c>
      <c r="C593" t="s">
        <v>41</v>
      </c>
      <c r="E593" t="s">
        <v>14</v>
      </c>
      <c r="F593" t="s">
        <v>42</v>
      </c>
      <c r="G593">
        <v>1</v>
      </c>
      <c r="H593">
        <v>675</v>
      </c>
      <c r="J593">
        <f t="shared" si="27"/>
        <v>675</v>
      </c>
      <c r="K593">
        <f t="shared" si="28"/>
        <v>675</v>
      </c>
      <c r="L593">
        <f t="shared" si="29"/>
        <v>1</v>
      </c>
    </row>
    <row r="594" spans="1:12" x14ac:dyDescent="0.3">
      <c r="A594" s="2">
        <v>45876</v>
      </c>
      <c r="B594" t="s">
        <v>24</v>
      </c>
      <c r="C594" t="s">
        <v>48</v>
      </c>
      <c r="E594" t="s">
        <v>203</v>
      </c>
      <c r="F594" t="s">
        <v>42</v>
      </c>
      <c r="G594">
        <v>2</v>
      </c>
      <c r="H594">
        <v>1000</v>
      </c>
      <c r="J594">
        <f t="shared" si="27"/>
        <v>2000</v>
      </c>
      <c r="K594">
        <f t="shared" si="28"/>
        <v>2000</v>
      </c>
      <c r="L594">
        <f t="shared" si="29"/>
        <v>1</v>
      </c>
    </row>
    <row r="595" spans="1:12" x14ac:dyDescent="0.3">
      <c r="A595" s="2">
        <v>45876</v>
      </c>
      <c r="B595" t="s">
        <v>24</v>
      </c>
      <c r="C595" t="s">
        <v>211</v>
      </c>
      <c r="E595" t="s">
        <v>203</v>
      </c>
      <c r="F595" t="s">
        <v>31</v>
      </c>
      <c r="G595">
        <v>40</v>
      </c>
      <c r="H595">
        <v>31.2</v>
      </c>
      <c r="J595">
        <f t="shared" si="27"/>
        <v>1248</v>
      </c>
      <c r="K595">
        <f t="shared" si="28"/>
        <v>1248</v>
      </c>
      <c r="L595">
        <f t="shared" si="29"/>
        <v>1</v>
      </c>
    </row>
    <row r="596" spans="1:12" x14ac:dyDescent="0.3">
      <c r="A596" s="2">
        <v>45876</v>
      </c>
      <c r="B596" t="s">
        <v>24</v>
      </c>
      <c r="C596" t="s">
        <v>280</v>
      </c>
      <c r="E596" t="s">
        <v>14</v>
      </c>
      <c r="F596" t="s">
        <v>50</v>
      </c>
      <c r="G596">
        <v>2</v>
      </c>
      <c r="H596">
        <v>93</v>
      </c>
      <c r="J596">
        <f t="shared" si="27"/>
        <v>186</v>
      </c>
      <c r="K596">
        <f t="shared" si="28"/>
        <v>186</v>
      </c>
      <c r="L596">
        <f t="shared" si="29"/>
        <v>1</v>
      </c>
    </row>
    <row r="597" spans="1:12" x14ac:dyDescent="0.3">
      <c r="A597" s="2">
        <v>45876</v>
      </c>
      <c r="B597" t="s">
        <v>24</v>
      </c>
      <c r="C597" t="s">
        <v>280</v>
      </c>
      <c r="E597" t="s">
        <v>14</v>
      </c>
      <c r="F597" t="s">
        <v>31</v>
      </c>
      <c r="G597">
        <v>6</v>
      </c>
      <c r="H597">
        <v>52</v>
      </c>
      <c r="J597">
        <f t="shared" si="27"/>
        <v>312</v>
      </c>
      <c r="K597">
        <f t="shared" si="28"/>
        <v>312</v>
      </c>
      <c r="L597">
        <f t="shared" si="29"/>
        <v>1</v>
      </c>
    </row>
    <row r="598" spans="1:12" x14ac:dyDescent="0.3">
      <c r="A598" s="2">
        <v>45876</v>
      </c>
      <c r="B598" t="s">
        <v>24</v>
      </c>
      <c r="C598" t="s">
        <v>41</v>
      </c>
      <c r="E598" t="s">
        <v>14</v>
      </c>
      <c r="F598" t="s">
        <v>42</v>
      </c>
      <c r="G598">
        <v>1</v>
      </c>
      <c r="H598">
        <v>675</v>
      </c>
      <c r="J598">
        <f t="shared" si="27"/>
        <v>675</v>
      </c>
      <c r="K598">
        <f t="shared" si="28"/>
        <v>675</v>
      </c>
      <c r="L598">
        <f t="shared" si="29"/>
        <v>1</v>
      </c>
    </row>
    <row r="599" spans="1:12" x14ac:dyDescent="0.3">
      <c r="A599" s="2">
        <v>45876</v>
      </c>
      <c r="B599" t="s">
        <v>37</v>
      </c>
      <c r="C599" t="s">
        <v>143</v>
      </c>
      <c r="E599" t="s">
        <v>22</v>
      </c>
      <c r="F599" t="s">
        <v>94</v>
      </c>
      <c r="G599">
        <v>13</v>
      </c>
      <c r="H599">
        <v>560</v>
      </c>
      <c r="J599">
        <f t="shared" si="27"/>
        <v>7280</v>
      </c>
      <c r="K599">
        <f t="shared" si="28"/>
        <v>7280</v>
      </c>
      <c r="L599">
        <f t="shared" si="29"/>
        <v>1</v>
      </c>
    </row>
    <row r="600" spans="1:12" x14ac:dyDescent="0.3">
      <c r="A600" s="2">
        <v>45876</v>
      </c>
      <c r="B600" t="s">
        <v>37</v>
      </c>
      <c r="C600" t="s">
        <v>143</v>
      </c>
      <c r="E600" t="s">
        <v>22</v>
      </c>
      <c r="F600" t="s">
        <v>95</v>
      </c>
      <c r="G600">
        <v>13</v>
      </c>
      <c r="H600">
        <v>560</v>
      </c>
      <c r="J600">
        <f t="shared" si="27"/>
        <v>7280</v>
      </c>
      <c r="K600">
        <f t="shared" si="28"/>
        <v>7280</v>
      </c>
      <c r="L600">
        <f t="shared" si="29"/>
        <v>1</v>
      </c>
    </row>
    <row r="601" spans="1:12" x14ac:dyDescent="0.3">
      <c r="A601" s="2">
        <v>45876</v>
      </c>
      <c r="B601" t="s">
        <v>37</v>
      </c>
      <c r="C601" t="s">
        <v>143</v>
      </c>
      <c r="E601" t="s">
        <v>22</v>
      </c>
      <c r="F601" t="s">
        <v>96</v>
      </c>
      <c r="G601">
        <v>4</v>
      </c>
      <c r="H601">
        <v>560</v>
      </c>
      <c r="J601">
        <f t="shared" si="27"/>
        <v>2240</v>
      </c>
      <c r="K601">
        <f t="shared" si="28"/>
        <v>2240</v>
      </c>
      <c r="L601">
        <f t="shared" si="29"/>
        <v>1</v>
      </c>
    </row>
    <row r="602" spans="1:12" x14ac:dyDescent="0.3">
      <c r="A602" s="2">
        <v>45876</v>
      </c>
      <c r="B602" t="s">
        <v>37</v>
      </c>
      <c r="C602" t="s">
        <v>143</v>
      </c>
      <c r="E602" t="s">
        <v>22</v>
      </c>
      <c r="F602" t="s">
        <v>245</v>
      </c>
      <c r="G602">
        <v>10</v>
      </c>
      <c r="H602">
        <v>560</v>
      </c>
      <c r="J602">
        <f t="shared" si="27"/>
        <v>5600</v>
      </c>
      <c r="K602">
        <f t="shared" si="28"/>
        <v>5600</v>
      </c>
      <c r="L602">
        <f t="shared" si="29"/>
        <v>1</v>
      </c>
    </row>
    <row r="603" spans="1:12" x14ac:dyDescent="0.3">
      <c r="A603" s="2">
        <v>45876</v>
      </c>
      <c r="B603" t="s">
        <v>24</v>
      </c>
      <c r="C603" t="s">
        <v>281</v>
      </c>
      <c r="E603" t="s">
        <v>26</v>
      </c>
      <c r="F603" t="s">
        <v>137</v>
      </c>
      <c r="G603">
        <v>524</v>
      </c>
      <c r="H603">
        <v>49.9</v>
      </c>
      <c r="J603">
        <f t="shared" si="27"/>
        <v>26147.599999999999</v>
      </c>
      <c r="K603">
        <f t="shared" si="28"/>
        <v>26147.599999999999</v>
      </c>
      <c r="L603">
        <f t="shared" si="29"/>
        <v>1</v>
      </c>
    </row>
    <row r="604" spans="1:12" x14ac:dyDescent="0.3">
      <c r="A604" s="2">
        <v>45876</v>
      </c>
      <c r="B604" t="s">
        <v>24</v>
      </c>
      <c r="C604" t="s">
        <v>41</v>
      </c>
      <c r="E604" t="s">
        <v>14</v>
      </c>
      <c r="F604" t="s">
        <v>42</v>
      </c>
      <c r="G604">
        <v>1</v>
      </c>
      <c r="H604">
        <v>675</v>
      </c>
      <c r="J604">
        <f t="shared" si="27"/>
        <v>675</v>
      </c>
      <c r="K604">
        <f t="shared" si="28"/>
        <v>675</v>
      </c>
      <c r="L604">
        <f t="shared" si="29"/>
        <v>1</v>
      </c>
    </row>
    <row r="605" spans="1:12" x14ac:dyDescent="0.3">
      <c r="A605" s="2">
        <v>45876</v>
      </c>
      <c r="B605" t="s">
        <v>24</v>
      </c>
      <c r="C605" t="s">
        <v>41</v>
      </c>
      <c r="E605" t="s">
        <v>14</v>
      </c>
      <c r="F605" t="s">
        <v>42</v>
      </c>
      <c r="G605">
        <v>1</v>
      </c>
      <c r="H605">
        <v>675</v>
      </c>
      <c r="J605">
        <f t="shared" si="27"/>
        <v>675</v>
      </c>
      <c r="K605">
        <f t="shared" si="28"/>
        <v>675</v>
      </c>
      <c r="L605">
        <f t="shared" si="29"/>
        <v>1</v>
      </c>
    </row>
    <row r="606" spans="1:12" x14ac:dyDescent="0.3">
      <c r="A606" s="2">
        <v>45876</v>
      </c>
      <c r="B606" t="s">
        <v>24</v>
      </c>
      <c r="C606" t="s">
        <v>41</v>
      </c>
      <c r="E606" t="s">
        <v>14</v>
      </c>
      <c r="F606" t="s">
        <v>42</v>
      </c>
      <c r="G606">
        <v>1</v>
      </c>
      <c r="H606">
        <v>675</v>
      </c>
      <c r="J606">
        <f t="shared" si="27"/>
        <v>675</v>
      </c>
      <c r="K606">
        <f t="shared" si="28"/>
        <v>675</v>
      </c>
      <c r="L606">
        <f t="shared" si="29"/>
        <v>1</v>
      </c>
    </row>
    <row r="607" spans="1:12" x14ac:dyDescent="0.3">
      <c r="A607" s="2">
        <v>45876</v>
      </c>
      <c r="B607" t="s">
        <v>37</v>
      </c>
      <c r="C607" t="s">
        <v>48</v>
      </c>
      <c r="E607" t="s">
        <v>117</v>
      </c>
      <c r="F607" t="s">
        <v>137</v>
      </c>
      <c r="G607">
        <v>150</v>
      </c>
      <c r="H607">
        <v>43</v>
      </c>
      <c r="J607">
        <f t="shared" si="27"/>
        <v>6450</v>
      </c>
      <c r="K607">
        <f t="shared" si="28"/>
        <v>6450</v>
      </c>
      <c r="L607">
        <f t="shared" si="29"/>
        <v>1</v>
      </c>
    </row>
    <row r="608" spans="1:12" x14ac:dyDescent="0.3">
      <c r="A608" s="2">
        <v>45877</v>
      </c>
      <c r="B608" t="s">
        <v>24</v>
      </c>
      <c r="C608" t="s">
        <v>282</v>
      </c>
      <c r="E608" t="s">
        <v>14</v>
      </c>
      <c r="F608" t="s">
        <v>82</v>
      </c>
      <c r="G608">
        <v>2</v>
      </c>
      <c r="H608">
        <v>450</v>
      </c>
      <c r="J608">
        <f t="shared" si="27"/>
        <v>900</v>
      </c>
      <c r="K608">
        <f t="shared" si="28"/>
        <v>900</v>
      </c>
      <c r="L608">
        <f t="shared" si="29"/>
        <v>1</v>
      </c>
    </row>
    <row r="609" spans="1:12" x14ac:dyDescent="0.3">
      <c r="A609" s="2">
        <v>45877</v>
      </c>
      <c r="B609" t="s">
        <v>37</v>
      </c>
      <c r="C609" t="s">
        <v>143</v>
      </c>
      <c r="E609" t="s">
        <v>22</v>
      </c>
      <c r="F609" t="s">
        <v>58</v>
      </c>
      <c r="G609">
        <v>20</v>
      </c>
      <c r="H609">
        <v>64</v>
      </c>
      <c r="J609">
        <f t="shared" si="27"/>
        <v>1280</v>
      </c>
      <c r="K609">
        <f t="shared" si="28"/>
        <v>1280</v>
      </c>
      <c r="L609">
        <f t="shared" si="29"/>
        <v>1</v>
      </c>
    </row>
    <row r="610" spans="1:12" x14ac:dyDescent="0.3">
      <c r="A610" s="2">
        <v>45877</v>
      </c>
      <c r="B610" t="s">
        <v>59</v>
      </c>
      <c r="C610" t="s">
        <v>144</v>
      </c>
      <c r="E610" t="s">
        <v>44</v>
      </c>
      <c r="F610" t="s">
        <v>277</v>
      </c>
      <c r="G610">
        <v>4</v>
      </c>
      <c r="H610">
        <v>600</v>
      </c>
      <c r="J610">
        <f t="shared" si="27"/>
        <v>2400</v>
      </c>
      <c r="K610">
        <f t="shared" si="28"/>
        <v>2400</v>
      </c>
      <c r="L610">
        <f t="shared" si="29"/>
        <v>1</v>
      </c>
    </row>
    <row r="611" spans="1:12" x14ac:dyDescent="0.3">
      <c r="A611" s="2">
        <v>45877</v>
      </c>
      <c r="B611" t="s">
        <v>59</v>
      </c>
      <c r="C611" t="s">
        <v>144</v>
      </c>
      <c r="E611" t="s">
        <v>44</v>
      </c>
      <c r="F611" t="s">
        <v>50</v>
      </c>
      <c r="G611">
        <v>50</v>
      </c>
      <c r="H611">
        <v>52</v>
      </c>
      <c r="J611">
        <f t="shared" si="27"/>
        <v>2600</v>
      </c>
      <c r="K611">
        <f t="shared" si="28"/>
        <v>2600</v>
      </c>
      <c r="L611">
        <f t="shared" si="29"/>
        <v>1</v>
      </c>
    </row>
    <row r="612" spans="1:12" x14ac:dyDescent="0.3">
      <c r="A612" s="2">
        <v>45877</v>
      </c>
      <c r="B612" t="s">
        <v>59</v>
      </c>
      <c r="C612" t="s">
        <v>144</v>
      </c>
      <c r="E612" t="s">
        <v>44</v>
      </c>
      <c r="F612" t="s">
        <v>27</v>
      </c>
      <c r="G612">
        <v>1</v>
      </c>
      <c r="H612">
        <v>225</v>
      </c>
      <c r="J612">
        <f t="shared" si="27"/>
        <v>225</v>
      </c>
      <c r="K612">
        <f t="shared" si="28"/>
        <v>225</v>
      </c>
      <c r="L612">
        <f t="shared" si="29"/>
        <v>1</v>
      </c>
    </row>
    <row r="613" spans="1:12" x14ac:dyDescent="0.3">
      <c r="A613" s="2">
        <v>45877</v>
      </c>
      <c r="B613" t="s">
        <v>59</v>
      </c>
      <c r="C613" t="s">
        <v>144</v>
      </c>
      <c r="E613" t="s">
        <v>44</v>
      </c>
      <c r="F613" t="s">
        <v>283</v>
      </c>
      <c r="G613">
        <v>4</v>
      </c>
      <c r="H613">
        <v>225</v>
      </c>
      <c r="J613">
        <f t="shared" si="27"/>
        <v>900</v>
      </c>
      <c r="K613">
        <f t="shared" si="28"/>
        <v>900</v>
      </c>
      <c r="L613">
        <f t="shared" si="29"/>
        <v>1</v>
      </c>
    </row>
    <row r="614" spans="1:12" x14ac:dyDescent="0.3">
      <c r="A614" s="2">
        <v>45880</v>
      </c>
      <c r="B614" t="s">
        <v>24</v>
      </c>
      <c r="C614" t="s">
        <v>41</v>
      </c>
      <c r="E614" t="s">
        <v>14</v>
      </c>
      <c r="F614" t="s">
        <v>42</v>
      </c>
      <c r="G614">
        <v>1</v>
      </c>
      <c r="H614">
        <v>675</v>
      </c>
      <c r="J614">
        <f t="shared" si="27"/>
        <v>675</v>
      </c>
      <c r="K614">
        <f t="shared" si="28"/>
        <v>675</v>
      </c>
      <c r="L614">
        <f t="shared" si="29"/>
        <v>1</v>
      </c>
    </row>
    <row r="615" spans="1:12" x14ac:dyDescent="0.3">
      <c r="A615" s="2">
        <v>45880</v>
      </c>
      <c r="B615" t="s">
        <v>130</v>
      </c>
      <c r="C615" t="s">
        <v>131</v>
      </c>
      <c r="E615" t="s">
        <v>14</v>
      </c>
      <c r="F615" t="s">
        <v>15</v>
      </c>
      <c r="G615">
        <v>3</v>
      </c>
      <c r="H615">
        <v>49</v>
      </c>
      <c r="J615">
        <f t="shared" si="27"/>
        <v>147</v>
      </c>
      <c r="K615">
        <f t="shared" si="28"/>
        <v>147</v>
      </c>
      <c r="L615">
        <f t="shared" si="29"/>
        <v>1</v>
      </c>
    </row>
    <row r="616" spans="1:12" x14ac:dyDescent="0.3">
      <c r="A616" s="2">
        <v>45880</v>
      </c>
      <c r="B616" t="s">
        <v>72</v>
      </c>
      <c r="C616" t="s">
        <v>84</v>
      </c>
      <c r="E616" t="s">
        <v>85</v>
      </c>
      <c r="F616" t="s">
        <v>33</v>
      </c>
      <c r="G616">
        <v>3</v>
      </c>
      <c r="H616">
        <v>225</v>
      </c>
      <c r="J616">
        <f t="shared" si="27"/>
        <v>675</v>
      </c>
      <c r="K616">
        <f t="shared" si="28"/>
        <v>675</v>
      </c>
      <c r="L616">
        <f t="shared" si="29"/>
        <v>1</v>
      </c>
    </row>
    <row r="617" spans="1:12" x14ac:dyDescent="0.3">
      <c r="A617" s="2">
        <v>45880</v>
      </c>
      <c r="B617" t="s">
        <v>72</v>
      </c>
      <c r="C617" t="s">
        <v>84</v>
      </c>
      <c r="E617" t="s">
        <v>85</v>
      </c>
      <c r="F617" t="s">
        <v>40</v>
      </c>
      <c r="G617">
        <v>12</v>
      </c>
      <c r="H617">
        <v>64</v>
      </c>
      <c r="J617">
        <f t="shared" si="27"/>
        <v>768</v>
      </c>
      <c r="K617">
        <f t="shared" si="28"/>
        <v>768</v>
      </c>
      <c r="L617">
        <f t="shared" si="29"/>
        <v>1</v>
      </c>
    </row>
    <row r="618" spans="1:12" x14ac:dyDescent="0.3">
      <c r="A618" s="2">
        <v>45880</v>
      </c>
      <c r="B618" t="s">
        <v>72</v>
      </c>
      <c r="C618" t="s">
        <v>84</v>
      </c>
      <c r="E618" t="s">
        <v>85</v>
      </c>
      <c r="F618" t="s">
        <v>186</v>
      </c>
      <c r="G618">
        <v>5</v>
      </c>
      <c r="H618">
        <v>225</v>
      </c>
      <c r="J618">
        <f t="shared" si="27"/>
        <v>1125</v>
      </c>
      <c r="K618">
        <f t="shared" si="28"/>
        <v>1125</v>
      </c>
      <c r="L618">
        <f t="shared" si="29"/>
        <v>1</v>
      </c>
    </row>
    <row r="619" spans="1:12" x14ac:dyDescent="0.3">
      <c r="A619" s="2">
        <v>45880</v>
      </c>
      <c r="B619" t="s">
        <v>72</v>
      </c>
      <c r="C619" t="s">
        <v>84</v>
      </c>
      <c r="E619" t="s">
        <v>85</v>
      </c>
      <c r="F619" t="s">
        <v>187</v>
      </c>
      <c r="G619">
        <v>5</v>
      </c>
      <c r="H619">
        <v>225</v>
      </c>
      <c r="J619">
        <f t="shared" si="27"/>
        <v>1125</v>
      </c>
      <c r="K619">
        <f t="shared" si="28"/>
        <v>1125</v>
      </c>
      <c r="L619">
        <f t="shared" si="29"/>
        <v>1</v>
      </c>
    </row>
    <row r="620" spans="1:12" x14ac:dyDescent="0.3">
      <c r="A620" s="2">
        <v>45880</v>
      </c>
      <c r="B620" t="s">
        <v>72</v>
      </c>
      <c r="C620" t="s">
        <v>84</v>
      </c>
      <c r="E620" t="s">
        <v>85</v>
      </c>
      <c r="F620" t="s">
        <v>91</v>
      </c>
      <c r="G620">
        <v>6</v>
      </c>
      <c r="H620">
        <v>225</v>
      </c>
      <c r="J620">
        <f t="shared" si="27"/>
        <v>1350</v>
      </c>
      <c r="K620">
        <f t="shared" si="28"/>
        <v>1350</v>
      </c>
      <c r="L620">
        <f t="shared" si="29"/>
        <v>1</v>
      </c>
    </row>
    <row r="621" spans="1:12" x14ac:dyDescent="0.3">
      <c r="A621" s="2">
        <v>45880</v>
      </c>
      <c r="B621" t="s">
        <v>12</v>
      </c>
      <c r="C621" t="s">
        <v>284</v>
      </c>
      <c r="E621" t="s">
        <v>49</v>
      </c>
      <c r="F621" t="s">
        <v>63</v>
      </c>
      <c r="G621">
        <v>2</v>
      </c>
      <c r="H621">
        <v>470</v>
      </c>
      <c r="J621">
        <f t="shared" si="27"/>
        <v>940</v>
      </c>
      <c r="K621">
        <f t="shared" si="28"/>
        <v>940</v>
      </c>
      <c r="L621">
        <f t="shared" si="29"/>
        <v>1</v>
      </c>
    </row>
    <row r="622" spans="1:12" x14ac:dyDescent="0.3">
      <c r="A622" s="2">
        <v>45880</v>
      </c>
      <c r="B622" t="s">
        <v>72</v>
      </c>
      <c r="C622" t="s">
        <v>76</v>
      </c>
      <c r="E622" t="s">
        <v>14</v>
      </c>
      <c r="F622" t="s">
        <v>134</v>
      </c>
      <c r="G622">
        <v>15</v>
      </c>
      <c r="H622">
        <v>67</v>
      </c>
      <c r="J622">
        <f t="shared" si="27"/>
        <v>1005</v>
      </c>
      <c r="K622">
        <f t="shared" si="28"/>
        <v>1005</v>
      </c>
      <c r="L622">
        <f t="shared" si="29"/>
        <v>1</v>
      </c>
    </row>
    <row r="623" spans="1:12" x14ac:dyDescent="0.3">
      <c r="A623" s="2">
        <v>45880</v>
      </c>
      <c r="B623" t="s">
        <v>72</v>
      </c>
      <c r="C623" t="s">
        <v>76</v>
      </c>
      <c r="E623" t="s">
        <v>14</v>
      </c>
      <c r="F623" t="s">
        <v>15</v>
      </c>
      <c r="G623">
        <v>50</v>
      </c>
      <c r="H623">
        <v>48</v>
      </c>
      <c r="J623">
        <f t="shared" si="27"/>
        <v>2400</v>
      </c>
      <c r="K623">
        <f t="shared" si="28"/>
        <v>2400</v>
      </c>
      <c r="L623">
        <f t="shared" si="29"/>
        <v>1</v>
      </c>
    </row>
    <row r="624" spans="1:12" x14ac:dyDescent="0.3">
      <c r="A624" s="2">
        <v>45880</v>
      </c>
      <c r="B624" t="s">
        <v>72</v>
      </c>
      <c r="C624" t="s">
        <v>76</v>
      </c>
      <c r="E624" t="s">
        <v>14</v>
      </c>
      <c r="F624" t="s">
        <v>18</v>
      </c>
      <c r="G624">
        <v>100</v>
      </c>
      <c r="H624">
        <v>48</v>
      </c>
      <c r="J624">
        <f t="shared" si="27"/>
        <v>4800</v>
      </c>
      <c r="K624">
        <f t="shared" si="28"/>
        <v>4800</v>
      </c>
      <c r="L624">
        <f t="shared" si="29"/>
        <v>1</v>
      </c>
    </row>
    <row r="625" spans="1:12" x14ac:dyDescent="0.3">
      <c r="A625" s="2">
        <v>45880</v>
      </c>
      <c r="B625" t="s">
        <v>72</v>
      </c>
      <c r="C625" t="s">
        <v>76</v>
      </c>
      <c r="E625" t="s">
        <v>14</v>
      </c>
      <c r="F625" t="s">
        <v>16</v>
      </c>
      <c r="G625">
        <v>50</v>
      </c>
      <c r="H625">
        <v>275</v>
      </c>
      <c r="J625">
        <f t="shared" si="27"/>
        <v>13750</v>
      </c>
      <c r="K625">
        <f t="shared" si="28"/>
        <v>13750</v>
      </c>
      <c r="L625">
        <f t="shared" si="29"/>
        <v>1</v>
      </c>
    </row>
    <row r="626" spans="1:12" x14ac:dyDescent="0.3">
      <c r="A626" s="2">
        <v>45880</v>
      </c>
      <c r="B626" t="s">
        <v>72</v>
      </c>
      <c r="C626" t="s">
        <v>76</v>
      </c>
      <c r="E626" t="s">
        <v>14</v>
      </c>
      <c r="F626" t="s">
        <v>121</v>
      </c>
      <c r="G626">
        <v>50</v>
      </c>
      <c r="H626">
        <v>335</v>
      </c>
      <c r="J626">
        <f t="shared" si="27"/>
        <v>16750</v>
      </c>
      <c r="K626">
        <f t="shared" si="28"/>
        <v>16750</v>
      </c>
      <c r="L626">
        <f t="shared" si="29"/>
        <v>1</v>
      </c>
    </row>
    <row r="627" spans="1:12" x14ac:dyDescent="0.3">
      <c r="A627" s="2">
        <v>45880</v>
      </c>
      <c r="B627" t="s">
        <v>72</v>
      </c>
      <c r="C627" t="s">
        <v>76</v>
      </c>
      <c r="E627" t="s">
        <v>14</v>
      </c>
      <c r="F627" t="s">
        <v>128</v>
      </c>
      <c r="G627">
        <v>50</v>
      </c>
      <c r="H627">
        <v>335</v>
      </c>
      <c r="J627">
        <f t="shared" si="27"/>
        <v>16750</v>
      </c>
      <c r="K627">
        <f t="shared" si="28"/>
        <v>16750</v>
      </c>
      <c r="L627">
        <f t="shared" si="29"/>
        <v>1</v>
      </c>
    </row>
    <row r="628" spans="1:12" x14ac:dyDescent="0.3">
      <c r="A628" s="2">
        <v>45880</v>
      </c>
      <c r="B628" t="s">
        <v>72</v>
      </c>
      <c r="C628" t="s">
        <v>76</v>
      </c>
      <c r="E628" t="s">
        <v>14</v>
      </c>
      <c r="F628" t="s">
        <v>92</v>
      </c>
      <c r="G628">
        <v>50</v>
      </c>
      <c r="H628">
        <v>375</v>
      </c>
      <c r="J628">
        <f t="shared" si="27"/>
        <v>18750</v>
      </c>
      <c r="K628">
        <f t="shared" si="28"/>
        <v>18750</v>
      </c>
      <c r="L628">
        <f t="shared" si="29"/>
        <v>1</v>
      </c>
    </row>
    <row r="629" spans="1:12" x14ac:dyDescent="0.3">
      <c r="A629" s="2">
        <v>45880</v>
      </c>
      <c r="B629" t="s">
        <v>72</v>
      </c>
      <c r="C629" t="s">
        <v>76</v>
      </c>
      <c r="E629" t="s">
        <v>14</v>
      </c>
      <c r="F629" t="s">
        <v>129</v>
      </c>
      <c r="G629">
        <v>100</v>
      </c>
      <c r="H629">
        <v>335</v>
      </c>
      <c r="J629">
        <f t="shared" si="27"/>
        <v>33500</v>
      </c>
      <c r="K629">
        <f t="shared" si="28"/>
        <v>33500</v>
      </c>
      <c r="L629">
        <f t="shared" si="29"/>
        <v>1</v>
      </c>
    </row>
    <row r="630" spans="1:12" x14ac:dyDescent="0.3">
      <c r="A630" s="2">
        <v>45880</v>
      </c>
      <c r="B630" t="s">
        <v>72</v>
      </c>
      <c r="C630" t="s">
        <v>76</v>
      </c>
      <c r="E630" t="s">
        <v>14</v>
      </c>
      <c r="F630" t="s">
        <v>17</v>
      </c>
      <c r="G630">
        <v>500</v>
      </c>
      <c r="H630">
        <v>75</v>
      </c>
      <c r="J630">
        <f t="shared" si="27"/>
        <v>37500</v>
      </c>
      <c r="K630">
        <f t="shared" si="28"/>
        <v>37500</v>
      </c>
      <c r="L630">
        <f t="shared" si="29"/>
        <v>1</v>
      </c>
    </row>
    <row r="631" spans="1:12" x14ac:dyDescent="0.3">
      <c r="A631" s="2">
        <v>45880</v>
      </c>
      <c r="B631" t="s">
        <v>24</v>
      </c>
      <c r="C631" t="s">
        <v>41</v>
      </c>
      <c r="E631" t="s">
        <v>14</v>
      </c>
      <c r="F631" t="s">
        <v>42</v>
      </c>
      <c r="G631">
        <v>1</v>
      </c>
      <c r="H631">
        <v>675</v>
      </c>
      <c r="J631">
        <f t="shared" si="27"/>
        <v>675</v>
      </c>
      <c r="K631">
        <f t="shared" si="28"/>
        <v>675</v>
      </c>
      <c r="L631">
        <f t="shared" si="29"/>
        <v>1</v>
      </c>
    </row>
    <row r="632" spans="1:12" x14ac:dyDescent="0.3">
      <c r="G632"/>
      <c r="H632"/>
      <c r="J632"/>
    </row>
  </sheetData>
  <autoFilter ref="A1:L63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4.4" x14ac:dyDescent="0.3"/>
  <cols>
    <col min="1" max="4" width="26.6640625" customWidth="1"/>
  </cols>
  <sheetData>
    <row r="1" spans="1:4" ht="17.399999999999999" customHeight="1" x14ac:dyDescent="0.35">
      <c r="A1" s="6" t="s">
        <v>339</v>
      </c>
    </row>
    <row r="3" spans="1:4" x14ac:dyDescent="0.3">
      <c r="A3" s="1" t="s">
        <v>340</v>
      </c>
      <c r="B3" s="1" t="s">
        <v>341</v>
      </c>
      <c r="C3" s="1" t="s">
        <v>342</v>
      </c>
    </row>
    <row r="5" spans="1:4" x14ac:dyDescent="0.3">
      <c r="A5" t="s">
        <v>343</v>
      </c>
    </row>
    <row r="6" spans="1:4" x14ac:dyDescent="0.3">
      <c r="A6" s="1" t="s">
        <v>4</v>
      </c>
      <c r="B6" s="1" t="s">
        <v>344</v>
      </c>
      <c r="C6" s="1" t="s">
        <v>345</v>
      </c>
      <c r="D6" s="1" t="s">
        <v>346</v>
      </c>
    </row>
    <row r="7" spans="1:4" x14ac:dyDescent="0.3">
      <c r="A7" t="s">
        <v>22</v>
      </c>
      <c r="B7" s="4">
        <f>SUMIFS('Base de Vendas'!$J:$J,'Base de Vendas'!$E:$E,A7,'Base de Vendas'!$A:$A,"&gt;="&amp;'Resumo Mensal (MTD)'!$B$5,'Base de Vendas'!$A:$A,"&lt;="&amp;'Resumo Mensal (MTD)'!$B$6)</f>
        <v>34030</v>
      </c>
      <c r="C7" s="4">
        <f>SUMIFS('Base de Vendas'!$J:$J,'Base de Vendas'!$E:$E,A7,'Base de Vendas'!$A:$A,"&gt;="&amp;'Resumo Mensal (MTD)'!$E$5,'Base de Vendas'!$A:$A,"&lt;="&amp;'Resumo Mensal (MTD)'!$E$6)</f>
        <v>61600</v>
      </c>
      <c r="D7" s="5">
        <f>IF(C7=0,0,(B7-C7)/C7)</f>
        <v>-0.44756493506493505</v>
      </c>
    </row>
    <row r="8" spans="1:4" x14ac:dyDescent="0.3">
      <c r="A8" t="s">
        <v>49</v>
      </c>
      <c r="B8" s="4">
        <f>SUMIFS('Base de Vendas'!$J:$J,'Base de Vendas'!$E:$E,A8,'Base de Vendas'!$A:$A,"&gt;="&amp;'Resumo Mensal (MTD)'!$B$5,'Base de Vendas'!$A:$A,"&lt;="&amp;'Resumo Mensal (MTD)'!$B$6)</f>
        <v>65780</v>
      </c>
      <c r="C8" s="4">
        <f>SUMIFS('Base de Vendas'!$J:$J,'Base de Vendas'!$E:$E,A8,'Base de Vendas'!$A:$A,"&gt;="&amp;'Resumo Mensal (MTD)'!$E$5,'Base de Vendas'!$A:$A,"&lt;="&amp;'Resumo Mensal (MTD)'!$E$6)</f>
        <v>81056.23</v>
      </c>
      <c r="D8" s="5">
        <f>IF(C8=0,0,(B8-C8)/C8)</f>
        <v>-0.18846460043848567</v>
      </c>
    </row>
    <row r="9" spans="1:4" x14ac:dyDescent="0.3">
      <c r="A9" t="s">
        <v>26</v>
      </c>
      <c r="B9" s="4">
        <f>SUMIFS('Base de Vendas'!$J:$J,'Base de Vendas'!$E:$E,A9,'Base de Vendas'!$A:$A,"&gt;="&amp;'Resumo Mensal (MTD)'!$B$5,'Base de Vendas'!$A:$A,"&lt;="&amp;'Resumo Mensal (MTD)'!$B$6)</f>
        <v>36462.6</v>
      </c>
      <c r="C9" s="4">
        <f>SUMIFS('Base de Vendas'!$J:$J,'Base de Vendas'!$E:$E,A9,'Base de Vendas'!$A:$A,"&gt;="&amp;'Resumo Mensal (MTD)'!$E$5,'Base de Vendas'!$A:$A,"&lt;="&amp;'Resumo Mensal (MTD)'!$E$6)</f>
        <v>75082</v>
      </c>
      <c r="D9" s="5">
        <f>IF(C9=0,0,(B9-C9)/C9)</f>
        <v>-0.51436296316027807</v>
      </c>
    </row>
    <row r="10" spans="1:4" x14ac:dyDescent="0.3">
      <c r="A10" t="s">
        <v>30</v>
      </c>
      <c r="B10" s="4">
        <f>SUMIFS('Base de Vendas'!$J:$J,'Base de Vendas'!$E:$E,A10,'Base de Vendas'!$A:$A,"&gt;="&amp;'Resumo Mensal (MTD)'!$B$5,'Base de Vendas'!$A:$A,"&lt;="&amp;'Resumo Mensal (MTD)'!$B$6)</f>
        <v>0</v>
      </c>
      <c r="C10" s="4">
        <f>SUMIFS('Base de Vendas'!$J:$J,'Base de Vendas'!$E:$E,A10,'Base de Vendas'!$A:$A,"&gt;="&amp;'Resumo Mensal (MTD)'!$E$5,'Base de Vendas'!$A:$A,"&lt;="&amp;'Resumo Mensal (MTD)'!$E$6)</f>
        <v>26125</v>
      </c>
      <c r="D10" s="5">
        <f>IF(C10=0,0,(B10-C10)/C10)</f>
        <v>-1</v>
      </c>
    </row>
    <row r="11" spans="1:4" x14ac:dyDescent="0.3">
      <c r="A11" t="s">
        <v>14</v>
      </c>
      <c r="B11" s="4">
        <f>SUMIFS('Base de Vendas'!$J:$J,'Base de Vendas'!$E:$E,A11,'Base de Vendas'!$A:$A,"&gt;="&amp;'Resumo Mensal (MTD)'!$B$5,'Base de Vendas'!$A:$A,"&lt;="&amp;'Resumo Mensal (MTD)'!$B$6)</f>
        <v>177287</v>
      </c>
      <c r="C11" s="4">
        <f>SUMIFS('Base de Vendas'!$J:$J,'Base de Vendas'!$E:$E,A11,'Base de Vendas'!$A:$A,"&gt;="&amp;'Resumo Mensal (MTD)'!$E$5,'Base de Vendas'!$A:$A,"&lt;="&amp;'Resumo Mensal (MTD)'!$E$6)</f>
        <v>404261</v>
      </c>
      <c r="D11" s="5">
        <f>IF(C11=0,0,(B11-C11)/C11)</f>
        <v>-0.56145411009224244</v>
      </c>
    </row>
  </sheetData>
  <conditionalFormatting sqref="D7:D11">
    <cfRule type="cellIs" dxfId="0" priority="1" operator="lessThanOrEqual">
      <formula>-0.4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9"/>
  <sheetViews>
    <sheetView workbookViewId="0">
      <selection activeCell="M18" sqref="M18"/>
    </sheetView>
  </sheetViews>
  <sheetFormatPr defaultRowHeight="14.4" x14ac:dyDescent="0.3"/>
  <sheetData>
    <row r="1" spans="1:1" ht="17.399999999999999" customHeight="1" x14ac:dyDescent="0.35">
      <c r="A1" s="6" t="s">
        <v>347</v>
      </c>
    </row>
    <row r="3" spans="1:1" x14ac:dyDescent="0.3">
      <c r="A3" t="s">
        <v>348</v>
      </c>
    </row>
    <row r="4" spans="1:1" x14ac:dyDescent="0.3">
      <c r="A4" t="s">
        <v>349</v>
      </c>
    </row>
    <row r="5" spans="1:1" x14ac:dyDescent="0.3">
      <c r="A5" t="s">
        <v>350</v>
      </c>
    </row>
    <row r="6" spans="1:1" x14ac:dyDescent="0.3">
      <c r="A6" t="s">
        <v>351</v>
      </c>
    </row>
    <row r="7" spans="1:1" x14ac:dyDescent="0.3">
      <c r="A7" t="s">
        <v>352</v>
      </c>
    </row>
    <row r="8" spans="1:1" x14ac:dyDescent="0.3">
      <c r="A8" t="s">
        <v>353</v>
      </c>
    </row>
    <row r="9" spans="1:1" x14ac:dyDescent="0.3">
      <c r="A9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workbookViewId="0">
      <selection activeCell="B17" sqref="B17"/>
    </sheetView>
  </sheetViews>
  <sheetFormatPr defaultRowHeight="14.4" x14ac:dyDescent="0.3"/>
  <cols>
    <col min="1" max="1" width="14.6640625" customWidth="1"/>
    <col min="2" max="2" width="18.6640625" customWidth="1"/>
    <col min="3" max="3" width="18.6640625" style="11" customWidth="1"/>
  </cols>
  <sheetData>
    <row r="1" spans="1:3" x14ac:dyDescent="0.3">
      <c r="A1" s="1" t="s">
        <v>285</v>
      </c>
      <c r="B1" s="1" t="s">
        <v>1</v>
      </c>
      <c r="C1" s="10" t="s">
        <v>286</v>
      </c>
    </row>
    <row r="2" spans="1:3" x14ac:dyDescent="0.3">
      <c r="A2" s="2">
        <v>45900</v>
      </c>
      <c r="B2" t="s">
        <v>37</v>
      </c>
      <c r="C2" s="11">
        <v>300000</v>
      </c>
    </row>
    <row r="3" spans="1:3" x14ac:dyDescent="0.3">
      <c r="A3" s="2">
        <v>45900</v>
      </c>
      <c r="B3" t="s">
        <v>59</v>
      </c>
      <c r="C3" s="11">
        <v>150000</v>
      </c>
    </row>
    <row r="4" spans="1:3" x14ac:dyDescent="0.3">
      <c r="A4" s="2">
        <v>45900</v>
      </c>
      <c r="B4" t="s">
        <v>130</v>
      </c>
      <c r="C4" s="11">
        <v>250000</v>
      </c>
    </row>
    <row r="5" spans="1:3" x14ac:dyDescent="0.3">
      <c r="A5" s="2">
        <v>45900</v>
      </c>
      <c r="B5" t="s">
        <v>12</v>
      </c>
      <c r="C5" s="11">
        <v>100000</v>
      </c>
    </row>
    <row r="6" spans="1:3" x14ac:dyDescent="0.3">
      <c r="A6" s="2">
        <v>45900</v>
      </c>
      <c r="B6" t="s">
        <v>28</v>
      </c>
      <c r="C6" s="11">
        <v>300000</v>
      </c>
    </row>
    <row r="7" spans="1:3" x14ac:dyDescent="0.3">
      <c r="A7" s="2">
        <v>45900</v>
      </c>
      <c r="B7" t="s">
        <v>72</v>
      </c>
      <c r="C7" s="11">
        <v>600000</v>
      </c>
    </row>
    <row r="8" spans="1:3" x14ac:dyDescent="0.3">
      <c r="A8" s="2">
        <v>45900</v>
      </c>
      <c r="B8" t="s">
        <v>24</v>
      </c>
      <c r="C8" s="11">
        <v>300000</v>
      </c>
    </row>
    <row r="9" spans="1:3" x14ac:dyDescent="0.3">
      <c r="A9" s="2">
        <v>45900</v>
      </c>
      <c r="B9" t="s">
        <v>287</v>
      </c>
      <c r="C9" s="11">
        <v>2000000</v>
      </c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</sheetData>
  <autoFilter ref="A1:C203" xr:uid="{00000000-0009-0000-0000-000001000000}">
    <sortState xmlns:xlrd2="http://schemas.microsoft.com/office/spreadsheetml/2017/richdata2" ref="A2:C203">
      <sortCondition ref="B1:B2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A10" sqref="A10"/>
    </sheetView>
  </sheetViews>
  <sheetFormatPr defaultRowHeight="14.4" x14ac:dyDescent="0.3"/>
  <cols>
    <col min="1" max="1" width="50.6640625" customWidth="1"/>
    <col min="2" max="2" width="22.6640625" customWidth="1"/>
    <col min="4" max="5" width="28.6640625" customWidth="1"/>
  </cols>
  <sheetData>
    <row r="1" spans="1:5" ht="17.399999999999999" customHeight="1" x14ac:dyDescent="0.35">
      <c r="A1" s="6" t="s">
        <v>288</v>
      </c>
    </row>
    <row r="3" spans="1:5" x14ac:dyDescent="0.3">
      <c r="A3" t="s">
        <v>289</v>
      </c>
      <c r="B3" s="8">
        <v>45900</v>
      </c>
      <c r="D3" t="s">
        <v>290</v>
      </c>
      <c r="E3" s="4">
        <f>'Metas Vendedores (Mensal)'!C9</f>
        <v>2000000</v>
      </c>
    </row>
    <row r="5" spans="1:5" x14ac:dyDescent="0.3">
      <c r="A5" t="s">
        <v>291</v>
      </c>
      <c r="B5" s="2">
        <f>DATE(YEAR(B3), MONTH(B3), 1)</f>
        <v>45870</v>
      </c>
      <c r="D5" t="s">
        <v>292</v>
      </c>
      <c r="E5" s="2">
        <f>EOMONTH(B3,-2)+1</f>
        <v>45839</v>
      </c>
    </row>
    <row r="6" spans="1:5" x14ac:dyDescent="0.3">
      <c r="A6" t="s">
        <v>293</v>
      </c>
      <c r="B6" s="2">
        <f>EOMONTH(B3,0)</f>
        <v>45900</v>
      </c>
      <c r="D6" t="s">
        <v>294</v>
      </c>
      <c r="E6" s="2">
        <f>EOMONTH(B3,-1)</f>
        <v>45869</v>
      </c>
    </row>
    <row r="8" spans="1:5" x14ac:dyDescent="0.3">
      <c r="A8" t="s">
        <v>295</v>
      </c>
      <c r="B8" s="11">
        <f>SUMIFS('Base de Vendas'!$J:$J,'Base de Vendas'!$A:$A,"&gt;="&amp;$B$5,'Base de Vendas'!$A:$A,"&lt;="&amp;$B$6)</f>
        <v>512588.35</v>
      </c>
    </row>
    <row r="9" spans="1:5" x14ac:dyDescent="0.3">
      <c r="A9" t="s">
        <v>296</v>
      </c>
      <c r="B9" s="5">
        <f>IF(E3=0, 0, B8/E3)</f>
        <v>0.25629417500000001</v>
      </c>
    </row>
    <row r="10" spans="1:5" x14ac:dyDescent="0.3">
      <c r="A10" t="s">
        <v>297</v>
      </c>
      <c r="B10" s="4">
        <f>SUMIFS('Base de Vendas'!$J:$J,'Base de Vendas'!$A:$A,"&gt;="&amp;$E$5,'Base de Vendas'!$A:$A,"&lt;="&amp;$E$6)</f>
        <v>1428637.35</v>
      </c>
    </row>
    <row r="11" spans="1:5" x14ac:dyDescent="0.3">
      <c r="A11" t="s">
        <v>298</v>
      </c>
      <c r="B11" s="5">
        <f>IF(B10=0,0,(B8-B10)/B10)</f>
        <v>-0.64120471160858283</v>
      </c>
    </row>
    <row r="12" spans="1:5" x14ac:dyDescent="0.3">
      <c r="A12" t="s">
        <v>299</v>
      </c>
      <c r="B12" s="3">
        <f>COUNTIFS('Base de Vendas'!$A:$A,"&gt;="&amp;$B$5,'Base de Vendas'!$A:$A,"&lt;="&amp;$B$6)</f>
        <v>132</v>
      </c>
    </row>
    <row r="13" spans="1:5" x14ac:dyDescent="0.3">
      <c r="A13" t="s">
        <v>300</v>
      </c>
      <c r="B13" s="3">
        <f>SUMIFS('Base de Vendas'!$G:$G,'Base de Vendas'!$A:$A,"&gt;="&amp;$B$5,'Base de Vendas'!$A:$A,"&lt;="&amp;$B$6)</f>
        <v>3172</v>
      </c>
    </row>
    <row r="14" spans="1:5" x14ac:dyDescent="0.3">
      <c r="A14" t="s">
        <v>301</v>
      </c>
      <c r="B14" s="4">
        <f>IF($B$12&gt;0,$B$8/$B$12,0)</f>
        <v>3883.2450757575757</v>
      </c>
    </row>
    <row r="15" spans="1:5" x14ac:dyDescent="0.3">
      <c r="A15" t="s">
        <v>302</v>
      </c>
      <c r="B15" s="4">
        <f>IF($B$13&gt;0,$B$8/$B$13,0)</f>
        <v>161.59784047919294</v>
      </c>
    </row>
    <row r="16" spans="1:5" x14ac:dyDescent="0.3">
      <c r="A16" t="s">
        <v>303</v>
      </c>
      <c r="B16" s="4">
        <f>SUMIFS('Base de Vendas'!$K:$K,'Base de Vendas'!$A:$A,"&gt;="&amp;$B$5,'Base de Vendas'!$A:$A,"&lt;="&amp;$B$6)</f>
        <v>512588.35</v>
      </c>
    </row>
    <row r="17" spans="1:2" x14ac:dyDescent="0.3">
      <c r="A17" s="18" t="s">
        <v>304</v>
      </c>
      <c r="B17" s="19">
        <f>IF(B8=0,0,B16/B8)</f>
        <v>1</v>
      </c>
    </row>
    <row r="18" spans="1:2" x14ac:dyDescent="0.3">
      <c r="A18" s="18" t="s">
        <v>305</v>
      </c>
      <c r="B18" s="20">
        <f>IF($B$8&gt;0,$B$16/$B$8,0)</f>
        <v>1</v>
      </c>
    </row>
    <row r="19" spans="1:2" x14ac:dyDescent="0.3">
      <c r="A19" s="18" t="s">
        <v>306</v>
      </c>
      <c r="B19" s="20">
        <f>SUMIFS('Base de Vendas'!$J:$J,'Base de Vendas'!$D:$D,"Distribuidor",'Base de Vendas'!$A:$A,"&gt;="&amp;$B$5,'Base de Vendas'!$A:$A,"&lt;="&amp;$B$6)</f>
        <v>0</v>
      </c>
    </row>
    <row r="20" spans="1:2" x14ac:dyDescent="0.3">
      <c r="A20" s="18" t="s">
        <v>307</v>
      </c>
      <c r="B20" s="20">
        <f>SUMIFS('Base de Vendas'!$J:$J,'Base de Vendas'!$D:$D,"Público",'Base de Vendas'!$A:$A,"&gt;="&amp;$B$5,'Base de Vendas'!$A:$A,"&lt;="&amp;$B$6)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D24" sqref="D24"/>
    </sheetView>
  </sheetViews>
  <sheetFormatPr defaultRowHeight="14.4" x14ac:dyDescent="0.3"/>
  <cols>
    <col min="1" max="5" width="18.6640625" customWidth="1"/>
    <col min="6" max="6" width="10.6640625" customWidth="1"/>
  </cols>
  <sheetData>
    <row r="1" spans="1:6" ht="17.399999999999999" customHeight="1" x14ac:dyDescent="0.35">
      <c r="A1" s="6" t="s">
        <v>308</v>
      </c>
    </row>
    <row r="3" spans="1:6" x14ac:dyDescent="0.3">
      <c r="A3" s="1" t="s">
        <v>1</v>
      </c>
      <c r="B3" s="1" t="s">
        <v>286</v>
      </c>
      <c r="C3" s="1" t="s">
        <v>309</v>
      </c>
      <c r="D3" s="1" t="s">
        <v>310</v>
      </c>
      <c r="E3" s="1" t="s">
        <v>311</v>
      </c>
      <c r="F3" s="1" t="s">
        <v>312</v>
      </c>
    </row>
    <row r="4" spans="1:6" x14ac:dyDescent="0.3">
      <c r="A4" t="str">
        <f>'Metas Vendedores (Mensal)'!B2</f>
        <v>Felipe Curi</v>
      </c>
      <c r="B4" s="4">
        <f>'Metas Vendedores (Mensal)'!C2</f>
        <v>300000</v>
      </c>
      <c r="C4" s="4">
        <f>SUMIFS('Base de Vendas'!$J:$J,'Base de Vendas'!$A:$A,"&gt;="&amp;'Resumo Mensal (MTD)'!$B$5,'Base de Vendas'!$A:$A,"&lt;="&amp;'Resumo Mensal (MTD)'!$B$6,'Base de Vendas'!$B:$B,A4)</f>
        <v>172121</v>
      </c>
      <c r="D4" s="5">
        <f t="shared" ref="D4:D10" si="0">IF(B4=0,0,C4/B4)</f>
        <v>0.57373666666666667</v>
      </c>
      <c r="E4" s="4">
        <f t="shared" ref="E4:E10" si="1">C4-B4</f>
        <v>-127879</v>
      </c>
      <c r="F4">
        <f t="shared" ref="F4:F10" si="2">RANK(D4,$D$4:$D$10,0)</f>
        <v>1</v>
      </c>
    </row>
    <row r="5" spans="1:6" x14ac:dyDescent="0.3">
      <c r="A5" t="str">
        <f>'Metas Vendedores (Mensal)'!B6</f>
        <v>Noemia Sattin</v>
      </c>
      <c r="B5" s="4">
        <f>'Metas Vendedores (Mensal)'!C6</f>
        <v>300000</v>
      </c>
      <c r="C5" s="4">
        <f>SUMIFS('Base de Vendas'!$J:$J,'Base de Vendas'!$A:$A,"&gt;="&amp;'Resumo Mensal (MTD)'!$B$5,'Base de Vendas'!$A:$A,"&lt;="&amp;'Resumo Mensal (MTD)'!$B$6,'Base de Vendas'!$B:$B,A5)</f>
        <v>87275.75</v>
      </c>
      <c r="D5" s="5">
        <f t="shared" si="0"/>
        <v>0.29091916666666667</v>
      </c>
      <c r="E5" s="4">
        <f t="shared" si="1"/>
        <v>-212724.25</v>
      </c>
      <c r="F5">
        <f t="shared" si="2"/>
        <v>2</v>
      </c>
    </row>
    <row r="6" spans="1:6" x14ac:dyDescent="0.3">
      <c r="A6" t="str">
        <f>'Metas Vendedores (Mensal)'!B7</f>
        <v>Distribuidores</v>
      </c>
      <c r="B6" s="4">
        <f>'Metas Vendedores (Mensal)'!C7</f>
        <v>600000</v>
      </c>
      <c r="C6" s="4">
        <f>SUMIFS('Base de Vendas'!$J:$J,'Base de Vendas'!$A:$A,"&gt;="&amp;'Resumo Mensal (MTD)'!$B$5,'Base de Vendas'!$A:$A,"&lt;="&amp;'Resumo Mensal (MTD)'!$B$6,'Base de Vendas'!$B:$B,A6)</f>
        <v>163728</v>
      </c>
      <c r="D6" s="5">
        <f t="shared" si="0"/>
        <v>0.27288000000000001</v>
      </c>
      <c r="E6" s="4">
        <f t="shared" si="1"/>
        <v>-436272</v>
      </c>
      <c r="F6">
        <f t="shared" si="2"/>
        <v>3</v>
      </c>
    </row>
    <row r="7" spans="1:6" x14ac:dyDescent="0.3">
      <c r="A7" t="str">
        <f>'Metas Vendedores (Mensal)'!B8</f>
        <v>Ricardo santos</v>
      </c>
      <c r="B7" s="4">
        <f>'Metas Vendedores (Mensal)'!C8</f>
        <v>300000</v>
      </c>
      <c r="C7" s="4">
        <f>SUMIFS('Base de Vendas'!$J:$J,'Base de Vendas'!$A:$A,"&gt;="&amp;'Resumo Mensal (MTD)'!$B$5,'Base de Vendas'!$A:$A,"&lt;="&amp;'Resumo Mensal (MTD)'!$B$6,'Base de Vendas'!$B:$B,A7)</f>
        <v>55420.6</v>
      </c>
      <c r="D7" s="5">
        <f t="shared" si="0"/>
        <v>0.18473533333333333</v>
      </c>
      <c r="E7" s="4">
        <f t="shared" si="1"/>
        <v>-244579.4</v>
      </c>
      <c r="F7">
        <f t="shared" si="2"/>
        <v>4</v>
      </c>
    </row>
    <row r="8" spans="1:6" x14ac:dyDescent="0.3">
      <c r="A8" t="str">
        <f>'Metas Vendedores (Mensal)'!B5</f>
        <v>Michele Rosete</v>
      </c>
      <c r="B8" s="4">
        <f>'Metas Vendedores (Mensal)'!C5</f>
        <v>100000</v>
      </c>
      <c r="C8" s="4">
        <f>SUMIFS('Base de Vendas'!$J:$J,'Base de Vendas'!$A:$A,"&gt;="&amp;'Resumo Mensal (MTD)'!$B$5,'Base de Vendas'!$A:$A,"&lt;="&amp;'Resumo Mensal (MTD)'!$B$6,'Base de Vendas'!$B:$B,A8)</f>
        <v>13835</v>
      </c>
      <c r="D8" s="5">
        <f t="shared" si="0"/>
        <v>0.13835</v>
      </c>
      <c r="E8" s="4">
        <f t="shared" si="1"/>
        <v>-86165</v>
      </c>
      <c r="F8">
        <f t="shared" si="2"/>
        <v>5</v>
      </c>
    </row>
    <row r="9" spans="1:6" x14ac:dyDescent="0.3">
      <c r="A9" t="str">
        <f>'Metas Vendedores (Mensal)'!B3</f>
        <v>Juliana Kluge</v>
      </c>
      <c r="B9" s="4">
        <f>'Metas Vendedores (Mensal)'!C3</f>
        <v>150000</v>
      </c>
      <c r="C9" s="4">
        <f>SUMIFS('Base de Vendas'!$J:$J,'Base de Vendas'!$A:$A,"&gt;="&amp;'Resumo Mensal (MTD)'!$B$5,'Base de Vendas'!$A:$A,"&lt;="&amp;'Resumo Mensal (MTD)'!$B$6,'Base de Vendas'!$B:$B,A9)</f>
        <v>15016</v>
      </c>
      <c r="D9" s="5">
        <f t="shared" si="0"/>
        <v>0.10010666666666666</v>
      </c>
      <c r="E9" s="4">
        <f t="shared" si="1"/>
        <v>-134984</v>
      </c>
      <c r="F9">
        <f t="shared" si="2"/>
        <v>6</v>
      </c>
    </row>
    <row r="10" spans="1:6" x14ac:dyDescent="0.3">
      <c r="A10" t="str">
        <f>'Metas Vendedores (Mensal)'!B4</f>
        <v>MELINA BASSO</v>
      </c>
      <c r="B10" s="4">
        <f>'Metas Vendedores (Mensal)'!C4</f>
        <v>250000</v>
      </c>
      <c r="C10" s="4">
        <f>SUMIFS('Base de Vendas'!$J:$J,'Base de Vendas'!$A:$A,"&gt;="&amp;'Resumo Mensal (MTD)'!$B$5,'Base de Vendas'!$A:$A,"&lt;="&amp;'Resumo Mensal (MTD)'!$B$6,'Base de Vendas'!$B:$B,A10)</f>
        <v>5192</v>
      </c>
      <c r="D10" s="5">
        <f t="shared" si="0"/>
        <v>2.0767999999999998E-2</v>
      </c>
      <c r="E10" s="4">
        <f t="shared" si="1"/>
        <v>-244808</v>
      </c>
      <c r="F10">
        <f t="shared" si="2"/>
        <v>7</v>
      </c>
    </row>
    <row r="12" spans="1:6" x14ac:dyDescent="0.3">
      <c r="C12" t="s">
        <v>362</v>
      </c>
    </row>
  </sheetData>
  <autoFilter ref="A3:F10" xr:uid="{00000000-0009-0000-0000-000003000000}">
    <sortState xmlns:xlrd2="http://schemas.microsoft.com/office/spreadsheetml/2017/richdata2" ref="A4:F10">
      <sortCondition ref="F3:F10"/>
    </sortState>
  </autoFilter>
  <conditionalFormatting sqref="D4:D10">
    <cfRule type="colorScale" priority="1">
      <colorScale>
        <cfvo type="min"/>
        <cfvo type="percentile" val="50"/>
        <cfvo type="max"/>
        <color rgb="FF9C0006"/>
        <color rgb="FFFFD965"/>
        <color rgb="FF1F7A1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797-1012-4DCE-BBAE-A127E5B47DF2}">
  <dimension ref="A2:C54"/>
  <sheetViews>
    <sheetView topLeftCell="A28" workbookViewId="0">
      <selection activeCell="J23" sqref="J23"/>
    </sheetView>
  </sheetViews>
  <sheetFormatPr defaultRowHeight="14.4" x14ac:dyDescent="0.3"/>
  <cols>
    <col min="1" max="1" width="17.21875" bestFit="1" customWidth="1"/>
    <col min="2" max="2" width="18.88671875" bestFit="1" customWidth="1"/>
    <col min="3" max="3" width="22.109375" style="3" bestFit="1" customWidth="1"/>
  </cols>
  <sheetData>
    <row r="2" spans="1:3" x14ac:dyDescent="0.3">
      <c r="A2" s="15" t="s">
        <v>0</v>
      </c>
      <c r="B2" t="s">
        <v>358</v>
      </c>
    </row>
    <row r="3" spans="1:3" x14ac:dyDescent="0.3">
      <c r="A3" s="15" t="s">
        <v>359</v>
      </c>
      <c r="B3" t="s">
        <v>357</v>
      </c>
    </row>
    <row r="4" spans="1:3" x14ac:dyDescent="0.3">
      <c r="C4"/>
    </row>
    <row r="5" spans="1:3" x14ac:dyDescent="0.3">
      <c r="A5" s="15" t="s">
        <v>355</v>
      </c>
      <c r="B5" s="3" t="s">
        <v>361</v>
      </c>
      <c r="C5" t="s">
        <v>360</v>
      </c>
    </row>
    <row r="6" spans="1:3" x14ac:dyDescent="0.3">
      <c r="A6" s="16" t="s">
        <v>54</v>
      </c>
      <c r="B6" s="3">
        <v>3</v>
      </c>
      <c r="C6" s="17">
        <v>450</v>
      </c>
    </row>
    <row r="7" spans="1:3" x14ac:dyDescent="0.3">
      <c r="A7" s="16" t="s">
        <v>134</v>
      </c>
      <c r="B7" s="3">
        <v>16</v>
      </c>
      <c r="C7" s="17">
        <v>1077</v>
      </c>
    </row>
    <row r="8" spans="1:3" x14ac:dyDescent="0.3">
      <c r="A8" s="16" t="s">
        <v>94</v>
      </c>
      <c r="B8" s="3">
        <v>55</v>
      </c>
      <c r="C8" s="17">
        <v>46538</v>
      </c>
    </row>
    <row r="9" spans="1:3" x14ac:dyDescent="0.3">
      <c r="A9" s="16" t="s">
        <v>95</v>
      </c>
      <c r="B9" s="3">
        <v>30</v>
      </c>
      <c r="C9" s="17">
        <v>19588</v>
      </c>
    </row>
    <row r="10" spans="1:3" x14ac:dyDescent="0.3">
      <c r="A10" s="16" t="s">
        <v>96</v>
      </c>
      <c r="B10" s="3">
        <v>9</v>
      </c>
      <c r="C10" s="17">
        <v>5890</v>
      </c>
    </row>
    <row r="11" spans="1:3" x14ac:dyDescent="0.3">
      <c r="A11" s="16" t="s">
        <v>245</v>
      </c>
      <c r="B11" s="3">
        <v>10</v>
      </c>
      <c r="C11" s="17">
        <v>5600</v>
      </c>
    </row>
    <row r="12" spans="1:3" x14ac:dyDescent="0.3">
      <c r="A12" s="16" t="s">
        <v>277</v>
      </c>
      <c r="B12" s="3">
        <v>5</v>
      </c>
      <c r="C12" s="17">
        <v>3300</v>
      </c>
    </row>
    <row r="13" spans="1:3" x14ac:dyDescent="0.3">
      <c r="A13" s="16" t="s">
        <v>91</v>
      </c>
      <c r="B13" s="3">
        <v>11</v>
      </c>
      <c r="C13" s="17">
        <v>3000</v>
      </c>
    </row>
    <row r="14" spans="1:3" x14ac:dyDescent="0.3">
      <c r="A14" s="16" t="s">
        <v>33</v>
      </c>
      <c r="B14" s="3">
        <v>3</v>
      </c>
      <c r="C14" s="17">
        <v>675</v>
      </c>
    </row>
    <row r="15" spans="1:3" x14ac:dyDescent="0.3">
      <c r="A15" s="16" t="s">
        <v>186</v>
      </c>
      <c r="B15" s="3">
        <v>25</v>
      </c>
      <c r="C15" s="17">
        <v>5924</v>
      </c>
    </row>
    <row r="16" spans="1:3" x14ac:dyDescent="0.3">
      <c r="A16" s="16" t="s">
        <v>187</v>
      </c>
      <c r="B16" s="3">
        <v>5</v>
      </c>
      <c r="C16" s="17">
        <v>1125</v>
      </c>
    </row>
    <row r="17" spans="1:3" x14ac:dyDescent="0.3">
      <c r="A17" s="16" t="s">
        <v>172</v>
      </c>
      <c r="B17" s="3">
        <v>5</v>
      </c>
      <c r="C17" s="17">
        <v>340</v>
      </c>
    </row>
    <row r="18" spans="1:3" x14ac:dyDescent="0.3">
      <c r="A18" s="16" t="s">
        <v>18</v>
      </c>
      <c r="B18" s="3">
        <v>121</v>
      </c>
      <c r="C18" s="17">
        <v>6465</v>
      </c>
    </row>
    <row r="19" spans="1:3" x14ac:dyDescent="0.3">
      <c r="A19" s="16" t="s">
        <v>15</v>
      </c>
      <c r="B19" s="3">
        <v>57</v>
      </c>
      <c r="C19" s="17">
        <v>3027</v>
      </c>
    </row>
    <row r="20" spans="1:3" x14ac:dyDescent="0.3">
      <c r="A20" s="16" t="s">
        <v>23</v>
      </c>
      <c r="B20" s="3">
        <v>12</v>
      </c>
      <c r="C20" s="17">
        <v>648</v>
      </c>
    </row>
    <row r="21" spans="1:3" x14ac:dyDescent="0.3">
      <c r="A21" s="16" t="s">
        <v>58</v>
      </c>
      <c r="B21" s="3">
        <v>100</v>
      </c>
      <c r="C21" s="17">
        <v>6400</v>
      </c>
    </row>
    <row r="22" spans="1:3" x14ac:dyDescent="0.3">
      <c r="A22" s="16" t="s">
        <v>50</v>
      </c>
      <c r="B22" s="3">
        <v>52</v>
      </c>
      <c r="C22" s="17">
        <v>2786</v>
      </c>
    </row>
    <row r="23" spans="1:3" x14ac:dyDescent="0.3">
      <c r="A23" s="16" t="s">
        <v>40</v>
      </c>
      <c r="B23" s="3">
        <v>75</v>
      </c>
      <c r="C23" s="17">
        <v>4937</v>
      </c>
    </row>
    <row r="24" spans="1:3" x14ac:dyDescent="0.3">
      <c r="A24" s="16" t="s">
        <v>31</v>
      </c>
      <c r="B24" s="3">
        <v>226</v>
      </c>
      <c r="C24" s="17">
        <v>9925</v>
      </c>
    </row>
    <row r="25" spans="1:3" x14ac:dyDescent="0.3">
      <c r="A25" s="16" t="s">
        <v>27</v>
      </c>
      <c r="B25" s="3">
        <v>22</v>
      </c>
      <c r="C25" s="17">
        <v>12462</v>
      </c>
    </row>
    <row r="26" spans="1:3" x14ac:dyDescent="0.3">
      <c r="A26" s="16" t="s">
        <v>270</v>
      </c>
      <c r="B26" s="3">
        <v>35</v>
      </c>
      <c r="C26" s="17">
        <v>21210</v>
      </c>
    </row>
    <row r="27" spans="1:3" x14ac:dyDescent="0.3">
      <c r="A27" s="16" t="s">
        <v>214</v>
      </c>
      <c r="B27" s="3">
        <v>26</v>
      </c>
      <c r="C27" s="17">
        <v>16328</v>
      </c>
    </row>
    <row r="28" spans="1:3" x14ac:dyDescent="0.3">
      <c r="A28" s="16" t="s">
        <v>247</v>
      </c>
      <c r="B28" s="3">
        <v>16</v>
      </c>
      <c r="C28" s="17">
        <v>9952</v>
      </c>
    </row>
    <row r="29" spans="1:3" x14ac:dyDescent="0.3">
      <c r="A29" s="16" t="s">
        <v>66</v>
      </c>
      <c r="B29" s="3">
        <v>1</v>
      </c>
      <c r="C29" s="17">
        <v>625</v>
      </c>
    </row>
    <row r="30" spans="1:3" x14ac:dyDescent="0.3">
      <c r="A30" s="16" t="s">
        <v>206</v>
      </c>
      <c r="B30" s="3">
        <v>25</v>
      </c>
      <c r="C30" s="17">
        <v>15300</v>
      </c>
    </row>
    <row r="31" spans="1:3" x14ac:dyDescent="0.3">
      <c r="A31" s="16" t="s">
        <v>228</v>
      </c>
      <c r="B31" s="3">
        <v>20</v>
      </c>
      <c r="C31" s="17">
        <v>12340</v>
      </c>
    </row>
    <row r="32" spans="1:3" x14ac:dyDescent="0.3">
      <c r="A32" s="16" t="s">
        <v>271</v>
      </c>
      <c r="B32" s="3">
        <v>20</v>
      </c>
      <c r="C32" s="17">
        <v>11880</v>
      </c>
    </row>
    <row r="33" spans="1:3" x14ac:dyDescent="0.3">
      <c r="A33" s="16" t="s">
        <v>229</v>
      </c>
      <c r="B33" s="3">
        <v>25</v>
      </c>
      <c r="C33" s="17">
        <v>15000</v>
      </c>
    </row>
    <row r="34" spans="1:3" x14ac:dyDescent="0.3">
      <c r="A34" s="16" t="s">
        <v>67</v>
      </c>
      <c r="B34" s="3">
        <v>20</v>
      </c>
      <c r="C34" s="17">
        <v>11760</v>
      </c>
    </row>
    <row r="35" spans="1:3" x14ac:dyDescent="0.3">
      <c r="A35" s="16" t="s">
        <v>283</v>
      </c>
      <c r="B35" s="3">
        <v>4</v>
      </c>
      <c r="C35" s="17">
        <v>900</v>
      </c>
    </row>
    <row r="36" spans="1:3" x14ac:dyDescent="0.3">
      <c r="A36" s="16" t="s">
        <v>223</v>
      </c>
      <c r="B36" s="3">
        <v>7</v>
      </c>
      <c r="C36" s="17">
        <v>775</v>
      </c>
    </row>
    <row r="37" spans="1:3" x14ac:dyDescent="0.3">
      <c r="A37" s="16" t="s">
        <v>16</v>
      </c>
      <c r="B37" s="3">
        <v>59</v>
      </c>
      <c r="C37" s="17">
        <v>16635</v>
      </c>
    </row>
    <row r="38" spans="1:3" x14ac:dyDescent="0.3">
      <c r="A38" s="16" t="s">
        <v>82</v>
      </c>
      <c r="B38" s="3">
        <v>2</v>
      </c>
      <c r="C38" s="17">
        <v>900</v>
      </c>
    </row>
    <row r="39" spans="1:3" x14ac:dyDescent="0.3">
      <c r="A39" s="16" t="s">
        <v>109</v>
      </c>
      <c r="B39" s="3">
        <v>15</v>
      </c>
      <c r="C39" s="17">
        <v>5850</v>
      </c>
    </row>
    <row r="40" spans="1:3" x14ac:dyDescent="0.3">
      <c r="A40" s="16" t="s">
        <v>17</v>
      </c>
      <c r="B40" s="3">
        <v>666</v>
      </c>
      <c r="C40" s="17">
        <v>49690</v>
      </c>
    </row>
    <row r="41" spans="1:3" x14ac:dyDescent="0.3">
      <c r="A41" s="16" t="s">
        <v>74</v>
      </c>
      <c r="B41" s="3">
        <v>10</v>
      </c>
      <c r="C41" s="17">
        <v>3950</v>
      </c>
    </row>
    <row r="42" spans="1:3" x14ac:dyDescent="0.3">
      <c r="A42" s="16" t="s">
        <v>81</v>
      </c>
      <c r="B42" s="3">
        <v>1</v>
      </c>
      <c r="C42" s="17">
        <v>705</v>
      </c>
    </row>
    <row r="43" spans="1:3" x14ac:dyDescent="0.3">
      <c r="A43" s="16" t="s">
        <v>42</v>
      </c>
      <c r="B43" s="3">
        <v>29</v>
      </c>
      <c r="C43" s="17">
        <v>22385</v>
      </c>
    </row>
    <row r="44" spans="1:3" x14ac:dyDescent="0.3">
      <c r="A44" s="16" t="s">
        <v>63</v>
      </c>
      <c r="B44" s="3">
        <v>11</v>
      </c>
      <c r="C44" s="17">
        <v>5120</v>
      </c>
    </row>
    <row r="45" spans="1:3" x14ac:dyDescent="0.3">
      <c r="A45" s="16" t="s">
        <v>219</v>
      </c>
      <c r="B45" s="3">
        <v>2</v>
      </c>
      <c r="C45" s="17">
        <v>900</v>
      </c>
    </row>
    <row r="46" spans="1:3" x14ac:dyDescent="0.3">
      <c r="A46" s="16" t="s">
        <v>92</v>
      </c>
      <c r="B46" s="3">
        <v>52</v>
      </c>
      <c r="C46" s="17">
        <v>20050</v>
      </c>
    </row>
    <row r="47" spans="1:3" x14ac:dyDescent="0.3">
      <c r="A47" s="16" t="s">
        <v>137</v>
      </c>
      <c r="B47" s="3">
        <v>804</v>
      </c>
      <c r="C47" s="17">
        <v>40161.35</v>
      </c>
    </row>
    <row r="48" spans="1:3" x14ac:dyDescent="0.3">
      <c r="A48" s="16" t="s">
        <v>128</v>
      </c>
      <c r="B48" s="3">
        <v>50</v>
      </c>
      <c r="C48" s="17">
        <v>16750</v>
      </c>
    </row>
    <row r="49" spans="1:3" x14ac:dyDescent="0.3">
      <c r="A49" s="16" t="s">
        <v>129</v>
      </c>
      <c r="B49" s="3">
        <v>100</v>
      </c>
      <c r="C49" s="17">
        <v>33500</v>
      </c>
    </row>
    <row r="50" spans="1:3" x14ac:dyDescent="0.3">
      <c r="A50" s="16" t="s">
        <v>121</v>
      </c>
      <c r="B50" s="3">
        <v>50</v>
      </c>
      <c r="C50" s="17">
        <v>16750</v>
      </c>
    </row>
    <row r="51" spans="1:3" x14ac:dyDescent="0.3">
      <c r="A51" s="16" t="s">
        <v>258</v>
      </c>
      <c r="B51" s="3">
        <v>95</v>
      </c>
      <c r="C51" s="17">
        <v>7595</v>
      </c>
    </row>
    <row r="52" spans="1:3" x14ac:dyDescent="0.3">
      <c r="A52" s="16" t="s">
        <v>36</v>
      </c>
      <c r="B52" s="3">
        <v>182</v>
      </c>
      <c r="C52" s="17">
        <v>13620</v>
      </c>
    </row>
    <row r="53" spans="1:3" x14ac:dyDescent="0.3">
      <c r="A53" s="16" t="s">
        <v>112</v>
      </c>
      <c r="B53" s="3">
        <v>3</v>
      </c>
      <c r="C53" s="17">
        <v>1800</v>
      </c>
    </row>
    <row r="54" spans="1:3" x14ac:dyDescent="0.3">
      <c r="A54" s="16" t="s">
        <v>356</v>
      </c>
      <c r="B54" s="3">
        <v>3172</v>
      </c>
      <c r="C54" s="17">
        <v>512588.35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workbookViewId="0">
      <selection activeCell="B12" sqref="B12"/>
    </sheetView>
  </sheetViews>
  <sheetFormatPr defaultRowHeight="14.4" x14ac:dyDescent="0.3"/>
  <cols>
    <col min="1" max="2" width="26.6640625" customWidth="1"/>
    <col min="3" max="3" width="13.109375" customWidth="1"/>
    <col min="4" max="5" width="28.6640625" customWidth="1"/>
  </cols>
  <sheetData>
    <row r="1" spans="1:11" ht="17.399999999999999" customHeight="1" x14ac:dyDescent="0.35">
      <c r="A1" s="6" t="s">
        <v>313</v>
      </c>
    </row>
    <row r="3" spans="1:11" x14ac:dyDescent="0.3">
      <c r="A3" t="s">
        <v>314</v>
      </c>
      <c r="B3" t="s">
        <v>287</v>
      </c>
    </row>
    <row r="5" spans="1:11" ht="17.399999999999999" customHeight="1" x14ac:dyDescent="0.35">
      <c r="A5" t="s">
        <v>286</v>
      </c>
      <c r="B5" s="4">
        <f>IFERROR(INDEX('Metas Vendedores (Mensal)'!$C$2:$C$300,MATCH(1,(EOMONTH('Metas Vendedores (Mensal)'!$A$2:$A$300,0)=EOMONTH('Resumo Mensal (MTD)'!$B$3,0))*('Metas Vendedores (Mensal)'!$B$2:$B$300=$B$3),0)),0)</f>
        <v>0</v>
      </c>
      <c r="C5">
        <f>'Resumo Mensal (MTD)'!E3</f>
        <v>2000000</v>
      </c>
      <c r="D5" s="6" t="s">
        <v>315</v>
      </c>
    </row>
    <row r="6" spans="1:11" x14ac:dyDescent="0.3">
      <c r="A6" t="s">
        <v>309</v>
      </c>
      <c r="B6" s="4">
        <f>SUMIFS('Base de Vendas'!$J:$J,'Base de Vendas'!$A:$A,"&gt;="&amp;'Resumo Mensal (MTD)'!$B$5,'Base de Vendas'!$A:$A,"&lt;="&amp;'Resumo Mensal (MTD)'!$B$6,'Base de Vendas'!$B:$B,$B$3)</f>
        <v>0</v>
      </c>
      <c r="C6">
        <f>SUMIFS('Base de Vendas'!$J:$J,'Base de Vendas'!$A:$A,"&gt;="&amp;'Resumo Mensal (MTD)'!$B$5,'Base de Vendas'!$A:$A,"&lt;="&amp;'Resumo Mensal (MTD)'!$B$6)</f>
        <v>512588.35</v>
      </c>
      <c r="D6" t="e">
        <f>K6</f>
        <v>#N/A</v>
      </c>
      <c r="E6" s="4">
        <f>J6</f>
        <v>0</v>
      </c>
      <c r="J6">
        <f>LARGE(IF(('Base de Vendas'!$B:$B=$B$3)*('Base de Vendas'!$A:$A&gt;='Resumo Mensal (MTD)'!$B$5)*('Base de Vendas'!$A:$A&lt;='Resumo Mensal (MTD)'!$B$6),'Base de Vendas'!$J:$J,0),1)</f>
        <v>0</v>
      </c>
      <c r="K6" t="e">
        <f>INDEX('Base de Vendas'!$C:$C,MATCH(J6,IF(('Base de Vendas'!$B:$B=$B$3)*('Base de Vendas'!$A:$A&gt;='Resumo Mensal (MTD)'!$B$5)*('Base de Vendas'!$A:$A&lt;='Resumo Mensal (MTD)'!$B$6),'Base de Vendas'!$J:$J),0))</f>
        <v>#N/A</v>
      </c>
    </row>
    <row r="7" spans="1:11" x14ac:dyDescent="0.3">
      <c r="A7" t="s">
        <v>310</v>
      </c>
      <c r="B7" s="5">
        <f>IF(B5=0,0,B6/B5)</f>
        <v>0</v>
      </c>
      <c r="C7">
        <f>IF(C5&gt;0,C6/C5,0)</f>
        <v>0.25629417500000001</v>
      </c>
      <c r="D7" t="e">
        <f>K7</f>
        <v>#NUM!</v>
      </c>
      <c r="E7" s="4" t="e">
        <f>J7</f>
        <v>#NUM!</v>
      </c>
      <c r="G7" t="str">
        <f ca="1">IFERROR(INDEX('Base de Vendas'!$C:$C,MATCH(I7,SUMIFS('Base de Vendas'!$J:$J,'Base de Vendas'!$C:$C,'Base de Vendas'!$C:$C,'Base de Vendas'!$A:$A,"&gt;="&amp;'Resumo Mensal (MTD)'!$B$5,'Base de Vendas'!$A:$A,"&lt;="&amp;'Resumo Mensal (MTD)'!$B$6),0)),"")</f>
        <v/>
      </c>
      <c r="I7">
        <f ca="1">IFERROR(_xludf.AGGREGATE(14,1,(SUMIFS('Base de Vendas'!$J:$J,'Base de Vendas'!$C:$C,'Base de Vendas'!$C:$C,'Base de Vendas'!$A:$A,"&gt;="&amp;'Resumo Mensal (MTD)'!$B$5,'Base de Vendas'!$A:$A,"&lt;="&amp;'Resumo Mensal (MTD)'!$B$6)),1),0)</f>
        <v>0</v>
      </c>
      <c r="J7" t="e">
        <f>LARGE(IF(('Base de Vendas'!$B:$B=$B$3)*('Base de Vendas'!$A:$A&gt;='Resumo Mensal (MTD)'!$B$5)*('Base de Vendas'!$A:$A&lt;='Resumo Mensal (MTD)'!$B$6),'Base de Vendas'!$J:$J,0),2)</f>
        <v>#NUM!</v>
      </c>
      <c r="K7" t="e">
        <f>INDEX('Base de Vendas'!$C:$C,MATCH(J7,IF(('Base de Vendas'!$B:$B=$B$3)*('Base de Vendas'!$A:$A&gt;='Resumo Mensal (MTD)'!$B$5)*('Base de Vendas'!$A:$A&lt;='Resumo Mensal (MTD)'!$B$6),'Base de Vendas'!$J:$J),0))</f>
        <v>#NUM!</v>
      </c>
    </row>
    <row r="8" spans="1:11" x14ac:dyDescent="0.3">
      <c r="A8" t="s">
        <v>316</v>
      </c>
      <c r="B8" s="3">
        <f>COUNTIFS('Base de Vendas'!$A:$A,"&gt;="&amp;'Resumo Mensal (MTD)'!$B$5,'Base de Vendas'!$A:$A,"&lt;="&amp;'Resumo Mensal (MTD)'!$B$6,'Base de Vendas'!$B:$B,$B$3)</f>
        <v>0</v>
      </c>
      <c r="C8">
        <f>COUNTIFS('Base de Vendas'!$A:$A,"&gt;="&amp;'Resumo Mensal (MTD)'!$B$5,'Base de Vendas'!$A:$A,"&lt;="&amp;'Resumo Mensal (MTD)'!$B$6)</f>
        <v>132</v>
      </c>
      <c r="D8" t="e">
        <f>K8</f>
        <v>#NUM!</v>
      </c>
      <c r="E8" s="4" t="e">
        <f>J8</f>
        <v>#NUM!</v>
      </c>
      <c r="G8" t="str">
        <f ca="1">IFERROR(INDEX('Base de Vendas'!$C:$C,MATCH(I8,SUMIFS('Base de Vendas'!$J:$J,'Base de Vendas'!$C:$C,'Base de Vendas'!$C:$C,'Base de Vendas'!$A:$A,"&gt;="&amp;'Resumo Mensal (MTD)'!$B$5,'Base de Vendas'!$A:$A,"&lt;="&amp;'Resumo Mensal (MTD)'!$B$6),0)),"")</f>
        <v/>
      </c>
      <c r="I8">
        <f ca="1">IFERROR(_xludf.AGGREGATE(14,2,(SUMIFS('Base de Vendas'!$J:$J,'Base de Vendas'!$C:$C,'Base de Vendas'!$C:$C,'Base de Vendas'!$A:$A,"&gt;="&amp;'Resumo Mensal (MTD)'!$B$5,'Base de Vendas'!$A:$A,"&lt;="&amp;'Resumo Mensal (MTD)'!$B$6)),1),0)</f>
        <v>0</v>
      </c>
      <c r="J8" t="e">
        <f>LARGE(IF(('Base de Vendas'!$B:$B=$B$3)*('Base de Vendas'!$A:$A&gt;='Resumo Mensal (MTD)'!$B$5)*('Base de Vendas'!$A:$A&lt;='Resumo Mensal (MTD)'!$B$6),'Base de Vendas'!$J:$J,0),3)</f>
        <v>#NUM!</v>
      </c>
      <c r="K8" t="e">
        <f>INDEX('Base de Vendas'!$C:$C,MATCH(J8,IF(('Base de Vendas'!$B:$B=$B$3)*('Base de Vendas'!$A:$A&gt;='Resumo Mensal (MTD)'!$B$5)*('Base de Vendas'!$A:$A&lt;='Resumo Mensal (MTD)'!$B$6),'Base de Vendas'!$J:$J),0))</f>
        <v>#NUM!</v>
      </c>
    </row>
    <row r="9" spans="1:11" x14ac:dyDescent="0.3">
      <c r="A9" t="s">
        <v>317</v>
      </c>
      <c r="B9" s="4">
        <f>IF(B8=0,0,B6/B8)</f>
        <v>0</v>
      </c>
      <c r="C9">
        <f>IF(C8&gt;0,C6/C8,0)</f>
        <v>3883.2450757575757</v>
      </c>
      <c r="D9" t="e">
        <f>K9</f>
        <v>#NUM!</v>
      </c>
      <c r="E9" s="4" t="e">
        <f>J9</f>
        <v>#NUM!</v>
      </c>
      <c r="G9" t="str">
        <f ca="1">IFERROR(INDEX('Base de Vendas'!$C:$C,MATCH(I9,SUMIFS('Base de Vendas'!$J:$J,'Base de Vendas'!$C:$C,'Base de Vendas'!$C:$C,'Base de Vendas'!$A:$A,"&gt;="&amp;'Resumo Mensal (MTD)'!$B$5,'Base de Vendas'!$A:$A,"&lt;="&amp;'Resumo Mensal (MTD)'!$B$6),0)),"")</f>
        <v/>
      </c>
      <c r="I9">
        <f ca="1">IFERROR(_xludf.AGGREGATE(14,3,(SUMIFS('Base de Vendas'!$J:$J,'Base de Vendas'!$C:$C,'Base de Vendas'!$C:$C,'Base de Vendas'!$A:$A,"&gt;="&amp;'Resumo Mensal (MTD)'!$B$5,'Base de Vendas'!$A:$A,"&lt;="&amp;'Resumo Mensal (MTD)'!$B$6)),1),0)</f>
        <v>0</v>
      </c>
      <c r="J9" t="e">
        <f>LARGE(IF(('Base de Vendas'!$B:$B=$B$3)*('Base de Vendas'!$A:$A&gt;='Resumo Mensal (MTD)'!$B$5)*('Base de Vendas'!$A:$A&lt;='Resumo Mensal (MTD)'!$B$6),'Base de Vendas'!$J:$J,0),4)</f>
        <v>#NUM!</v>
      </c>
      <c r="K9" t="e">
        <f>INDEX('Base de Vendas'!$C:$C,MATCH(J9,IF(('Base de Vendas'!$B:$B=$B$3)*('Base de Vendas'!$A:$A&gt;='Resumo Mensal (MTD)'!$B$5)*('Base de Vendas'!$A:$A&lt;='Resumo Mensal (MTD)'!$B$6),'Base de Vendas'!$J:$J),0))</f>
        <v>#NUM!</v>
      </c>
    </row>
    <row r="10" spans="1:11" x14ac:dyDescent="0.3">
      <c r="D10" t="e">
        <f>K10</f>
        <v>#NUM!</v>
      </c>
      <c r="E10" s="4" t="e">
        <f>J10</f>
        <v>#NUM!</v>
      </c>
      <c r="G10" t="str">
        <f ca="1">IFERROR(INDEX('Base de Vendas'!$C:$C,MATCH(I10,SUMIFS('Base de Vendas'!$J:$J,'Base de Vendas'!$C:$C,'Base de Vendas'!$C:$C,'Base de Vendas'!$A:$A,"&gt;="&amp;'Resumo Mensal (MTD)'!$B$5,'Base de Vendas'!$A:$A,"&lt;="&amp;'Resumo Mensal (MTD)'!$B$6),0)),"")</f>
        <v/>
      </c>
      <c r="I10">
        <f ca="1">IFERROR(_xludf.AGGREGATE(14,4,(SUMIFS('Base de Vendas'!$J:$J,'Base de Vendas'!$C:$C,'Base de Vendas'!$C:$C,'Base de Vendas'!$A:$A,"&gt;="&amp;'Resumo Mensal (MTD)'!$B$5,'Base de Vendas'!$A:$A,"&lt;="&amp;'Resumo Mensal (MTD)'!$B$6)),1),0)</f>
        <v>0</v>
      </c>
      <c r="J10" t="e">
        <f>LARGE(IF(('Base de Vendas'!$B:$B=$B$3)*('Base de Vendas'!$A:$A&gt;='Resumo Mensal (MTD)'!$B$5)*('Base de Vendas'!$A:$A&lt;='Resumo Mensal (MTD)'!$B$6),'Base de Vendas'!$J:$J,0),5)</f>
        <v>#NUM!</v>
      </c>
      <c r="K10" t="e">
        <f>INDEX('Base de Vendas'!$C:$C,MATCH(J10,IF(('Base de Vendas'!$B:$B=$B$3)*('Base de Vendas'!$A:$A&gt;='Resumo Mensal (MTD)'!$B$5)*('Base de Vendas'!$A:$A&lt;='Resumo Mensal (MTD)'!$B$6),'Base de Vendas'!$J:$J),0))</f>
        <v>#NUM!</v>
      </c>
    </row>
    <row r="11" spans="1:11" x14ac:dyDescent="0.3">
      <c r="G11" t="str">
        <f ca="1">IFERROR(INDEX('Base de Vendas'!$C:$C,MATCH(I11,SUMIFS('Base de Vendas'!$J:$J,'Base de Vendas'!$C:$C,'Base de Vendas'!$C:$C,'Base de Vendas'!$A:$A,"&gt;="&amp;'Resumo Mensal (MTD)'!$B$5,'Base de Vendas'!$A:$A,"&lt;="&amp;'Resumo Mensal (MTD)'!$B$6),0)),"")</f>
        <v/>
      </c>
      <c r="I11">
        <f ca="1">IFERROR(_xludf.AGGREGATE(14,5,(SUMIFS('Base de Vendas'!$J:$J,'Base de Vendas'!$C:$C,'Base de Vendas'!$C:$C,'Base de Vendas'!$A:$A,"&gt;="&amp;'Resumo Mensal (MTD)'!$B$5,'Base de Vendas'!$A:$A,"&lt;="&amp;'Resumo Mensal (MTD)'!$B$6)),1),0)</f>
        <v>0</v>
      </c>
    </row>
    <row r="13" spans="1:11" ht="17.399999999999999" customHeight="1" x14ac:dyDescent="0.35">
      <c r="D13" s="6" t="s">
        <v>318</v>
      </c>
    </row>
    <row r="14" spans="1:11" x14ac:dyDescent="0.3">
      <c r="D14" t="e">
        <f>K14</f>
        <v>#N/A</v>
      </c>
      <c r="E14" s="4">
        <f>J14</f>
        <v>0</v>
      </c>
      <c r="J14">
        <f>LARGE(IF(('Base de Vendas'!$B:$B=$B$3)*('Base de Vendas'!$A:$A&gt;='Resumo Mensal (MTD)'!$B$5)*('Base de Vendas'!$A:$A&lt;='Resumo Mensal (MTD)'!$B$6),'Base de Vendas'!$J:$J,0),1)</f>
        <v>0</v>
      </c>
      <c r="K14" t="e">
        <f>INDEX('Base de Vendas'!$F:$F,MATCH(J14,IF(('Base de Vendas'!$B:$B=$B$3)*('Base de Vendas'!$A:$A&gt;='Resumo Mensal (MTD)'!$B$5)*('Base de Vendas'!$A:$A&lt;='Resumo Mensal (MTD)'!$B$6),'Base de Vendas'!$J:$J),0))</f>
        <v>#N/A</v>
      </c>
    </row>
    <row r="15" spans="1:11" x14ac:dyDescent="0.3">
      <c r="D15" t="e">
        <f>K15</f>
        <v>#NUM!</v>
      </c>
      <c r="E15" s="4" t="e">
        <f>J15</f>
        <v>#NUM!</v>
      </c>
      <c r="G15" t="str">
        <f ca="1">IFERROR(INDEX('Base de Vendas'!$F:$F,MATCH(I15,SUMIFS('Base de Vendas'!$J:$J,'Base de Vendas'!$F:$F,'Base de Vendas'!$F:$F,'Base de Vendas'!$A:$A,"&gt;="&amp;'Resumo Mensal (MTD)'!$B$5,'Base de Vendas'!$A:$A,"&lt;="&amp;'Resumo Mensal (MTD)'!$B$6),0)),"")</f>
        <v/>
      </c>
      <c r="I15">
        <f ca="1">IFERROR(_xludf.AGGREGATE(14,1,(SUMIFS('Base de Vendas'!$J:$J,'Base de Vendas'!$F:$F,'Base de Vendas'!$F:$F,'Base de Vendas'!$A:$A,"&gt;="&amp;'Resumo Mensal (MTD)'!$B$5,'Base de Vendas'!$A:$A,"&lt;="&amp;'Resumo Mensal (MTD)'!$B$6)),1),0)</f>
        <v>0</v>
      </c>
      <c r="J15" t="e">
        <f>LARGE(IF(('Base de Vendas'!$B:$B=$B$3)*('Base de Vendas'!$A:$A&gt;='Resumo Mensal (MTD)'!$B$5)*('Base de Vendas'!$A:$A&lt;='Resumo Mensal (MTD)'!$B$6),'Base de Vendas'!$J:$J,0),2)</f>
        <v>#NUM!</v>
      </c>
      <c r="K15" t="e">
        <f>INDEX('Base de Vendas'!$F:$F,MATCH(J15,IF(('Base de Vendas'!$B:$B=$B$3)*('Base de Vendas'!$A:$A&gt;='Resumo Mensal (MTD)'!$B$5)*('Base de Vendas'!$A:$A&lt;='Resumo Mensal (MTD)'!$B$6),'Base de Vendas'!$J:$J),0))</f>
        <v>#NUM!</v>
      </c>
    </row>
    <row r="16" spans="1:11" x14ac:dyDescent="0.3">
      <c r="D16" t="e">
        <f>K16</f>
        <v>#NUM!</v>
      </c>
      <c r="E16" s="4" t="e">
        <f>J16</f>
        <v>#NUM!</v>
      </c>
      <c r="G16" t="str">
        <f ca="1">IFERROR(INDEX('Base de Vendas'!$F:$F,MATCH(I16,SUMIFS('Base de Vendas'!$J:$J,'Base de Vendas'!$F:$F,'Base de Vendas'!$F:$F,'Base de Vendas'!$A:$A,"&gt;="&amp;'Resumo Mensal (MTD)'!$B$5,'Base de Vendas'!$A:$A,"&lt;="&amp;'Resumo Mensal (MTD)'!$B$6),0)),"")</f>
        <v/>
      </c>
      <c r="I16">
        <f ca="1">IFERROR(_xludf.AGGREGATE(14,2,(SUMIFS('Base de Vendas'!$J:$J,'Base de Vendas'!$F:$F,'Base de Vendas'!$F:$F,'Base de Vendas'!$A:$A,"&gt;="&amp;'Resumo Mensal (MTD)'!$B$5,'Base de Vendas'!$A:$A,"&lt;="&amp;'Resumo Mensal (MTD)'!$B$6)),1),0)</f>
        <v>0</v>
      </c>
      <c r="J16" t="e">
        <f>LARGE(IF(('Base de Vendas'!$B:$B=$B$3)*('Base de Vendas'!$A:$A&gt;='Resumo Mensal (MTD)'!$B$5)*('Base de Vendas'!$A:$A&lt;='Resumo Mensal (MTD)'!$B$6),'Base de Vendas'!$J:$J,0),3)</f>
        <v>#NUM!</v>
      </c>
      <c r="K16" t="e">
        <f>INDEX('Base de Vendas'!$F:$F,MATCH(J16,IF(('Base de Vendas'!$B:$B=$B$3)*('Base de Vendas'!$A:$A&gt;='Resumo Mensal (MTD)'!$B$5)*('Base de Vendas'!$A:$A&lt;='Resumo Mensal (MTD)'!$B$6),'Base de Vendas'!$J:$J),0))</f>
        <v>#NUM!</v>
      </c>
    </row>
    <row r="17" spans="4:11" x14ac:dyDescent="0.3">
      <c r="D17" t="e">
        <f>K17</f>
        <v>#NUM!</v>
      </c>
      <c r="E17" s="4" t="e">
        <f>J17</f>
        <v>#NUM!</v>
      </c>
      <c r="G17" t="str">
        <f ca="1">IFERROR(INDEX('Base de Vendas'!$F:$F,MATCH(I17,SUMIFS('Base de Vendas'!$J:$J,'Base de Vendas'!$F:$F,'Base de Vendas'!$F:$F,'Base de Vendas'!$A:$A,"&gt;="&amp;'Resumo Mensal (MTD)'!$B$5,'Base de Vendas'!$A:$A,"&lt;="&amp;'Resumo Mensal (MTD)'!$B$6),0)),"")</f>
        <v/>
      </c>
      <c r="I17">
        <f ca="1">IFERROR(_xludf.AGGREGATE(14,3,(SUMIFS('Base de Vendas'!$J:$J,'Base de Vendas'!$F:$F,'Base de Vendas'!$F:$F,'Base de Vendas'!$A:$A,"&gt;="&amp;'Resumo Mensal (MTD)'!$B$5,'Base de Vendas'!$A:$A,"&lt;="&amp;'Resumo Mensal (MTD)'!$B$6)),1),0)</f>
        <v>0</v>
      </c>
      <c r="J17" t="e">
        <f>LARGE(IF(('Base de Vendas'!$B:$B=$B$3)*('Base de Vendas'!$A:$A&gt;='Resumo Mensal (MTD)'!$B$5)*('Base de Vendas'!$A:$A&lt;='Resumo Mensal (MTD)'!$B$6),'Base de Vendas'!$J:$J,0),4)</f>
        <v>#NUM!</v>
      </c>
      <c r="K17" t="e">
        <f>INDEX('Base de Vendas'!$F:$F,MATCH(J17,IF(('Base de Vendas'!$B:$B=$B$3)*('Base de Vendas'!$A:$A&gt;='Resumo Mensal (MTD)'!$B$5)*('Base de Vendas'!$A:$A&lt;='Resumo Mensal (MTD)'!$B$6),'Base de Vendas'!$J:$J),0))</f>
        <v>#NUM!</v>
      </c>
    </row>
    <row r="18" spans="4:11" x14ac:dyDescent="0.3">
      <c r="D18" t="e">
        <f>K18</f>
        <v>#NUM!</v>
      </c>
      <c r="E18" s="4" t="e">
        <f>J18</f>
        <v>#NUM!</v>
      </c>
      <c r="G18" t="str">
        <f ca="1">IFERROR(INDEX('Base de Vendas'!$F:$F,MATCH(I18,SUMIFS('Base de Vendas'!$J:$J,'Base de Vendas'!$F:$F,'Base de Vendas'!$F:$F,'Base de Vendas'!$A:$A,"&gt;="&amp;'Resumo Mensal (MTD)'!$B$5,'Base de Vendas'!$A:$A,"&lt;="&amp;'Resumo Mensal (MTD)'!$B$6),0)),"")</f>
        <v/>
      </c>
      <c r="I18">
        <f ca="1">IFERROR(_xludf.AGGREGATE(14,4,(SUMIFS('Base de Vendas'!$J:$J,'Base de Vendas'!$F:$F,'Base de Vendas'!$F:$F,'Base de Vendas'!$A:$A,"&gt;="&amp;'Resumo Mensal (MTD)'!$B$5,'Base de Vendas'!$A:$A,"&lt;="&amp;'Resumo Mensal (MTD)'!$B$6)),1),0)</f>
        <v>0</v>
      </c>
      <c r="J18" t="e">
        <f>LARGE(IF(('Base de Vendas'!$B:$B=$B$3)*('Base de Vendas'!$A:$A&gt;='Resumo Mensal (MTD)'!$B$5)*('Base de Vendas'!$A:$A&lt;='Resumo Mensal (MTD)'!$B$6),'Base de Vendas'!$J:$J,0),5)</f>
        <v>#NUM!</v>
      </c>
      <c r="K18" t="e">
        <f>INDEX('Base de Vendas'!$F:$F,MATCH(J18,IF(('Base de Vendas'!$B:$B=$B$3)*('Base de Vendas'!$A:$A&gt;='Resumo Mensal (MTD)'!$B$5)*('Base de Vendas'!$A:$A&lt;='Resumo Mensal (MTD)'!$B$6),'Base de Vendas'!$J:$J),0))</f>
        <v>#NUM!</v>
      </c>
    </row>
    <row r="19" spans="4:11" x14ac:dyDescent="0.3">
      <c r="G19" t="str">
        <f ca="1">IFERROR(INDEX('Base de Vendas'!$F:$F,MATCH(I19,SUMIFS('Base de Vendas'!$J:$J,'Base de Vendas'!$F:$F,'Base de Vendas'!$F:$F,'Base de Vendas'!$A:$A,"&gt;="&amp;'Resumo Mensal (MTD)'!$B$5,'Base de Vendas'!$A:$A,"&lt;="&amp;'Resumo Mensal (MTD)'!$B$6),0)),"")</f>
        <v/>
      </c>
      <c r="I19">
        <f ca="1">IFERROR(_xludf.AGGREGATE(14,5,(SUMIFS('Base de Vendas'!$J:$J,'Base de Vendas'!$F:$F,'Base de Vendas'!$F:$F,'Base de Vendas'!$A:$A,"&gt;="&amp;'Resumo Mensal (MTD)'!$B$5,'Base de Vendas'!$A:$A,"&lt;="&amp;'Resumo Mensal (MTD)'!$B$6)),1),0)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A19" sqref="A19"/>
    </sheetView>
  </sheetViews>
  <sheetFormatPr defaultRowHeight="14.4" x14ac:dyDescent="0.3"/>
  <cols>
    <col min="1" max="3" width="26.6640625" customWidth="1"/>
    <col min="4" max="5" width="16.6640625" customWidth="1"/>
    <col min="6" max="6" width="15.88671875" bestFit="1" customWidth="1"/>
  </cols>
  <sheetData>
    <row r="1" spans="1:6" ht="17.399999999999999" customHeight="1" x14ac:dyDescent="0.35">
      <c r="A1" s="6" t="s">
        <v>319</v>
      </c>
      <c r="E1" s="6" t="s">
        <v>320</v>
      </c>
    </row>
    <row r="3" spans="1:6" x14ac:dyDescent="0.3">
      <c r="A3" s="1" t="s">
        <v>3</v>
      </c>
      <c r="B3" s="1" t="s">
        <v>321</v>
      </c>
      <c r="C3" s="1" t="s">
        <v>322</v>
      </c>
      <c r="E3" s="1" t="s">
        <v>4</v>
      </c>
      <c r="F3" s="1" t="s">
        <v>321</v>
      </c>
    </row>
    <row r="4" spans="1:6" x14ac:dyDescent="0.3">
      <c r="A4" s="18" t="s">
        <v>323</v>
      </c>
      <c r="B4" s="4">
        <f>SUMIFS('Base de Vendas'!$J:$J,'Base de Vendas'!$D:$D,A4,'Base de Vendas'!$A:$A,"&gt;="&amp;'Resumo Mensal (MTD)'!$B$5,'Base de Vendas'!$A:$A,"&lt;="&amp;'Resumo Mensal (MTD)'!$B$6)</f>
        <v>0</v>
      </c>
      <c r="C4" s="5">
        <f>IF($B$7=0,0,B4/$B$7)</f>
        <v>0</v>
      </c>
      <c r="E4" t="s">
        <v>22</v>
      </c>
      <c r="F4" s="4">
        <f>SUMIFS('Base de Vendas'!$J:$J,'Base de Vendas'!$E:$E,E4,'Base de Vendas'!$A:$A,"&gt;="&amp;'Resumo Mensal (MTD)'!$B$5,'Base de Vendas'!$A:$A,"&lt;="&amp;'Resumo Mensal (MTD)'!$B$6)</f>
        <v>34030</v>
      </c>
    </row>
    <row r="5" spans="1:6" x14ac:dyDescent="0.3">
      <c r="A5" s="18" t="s">
        <v>324</v>
      </c>
      <c r="B5" s="4">
        <f>SUMIFS('Base de Vendas'!$J:$J,'Base de Vendas'!$D:$D,A5,'Base de Vendas'!$A:$A,"&gt;="&amp;'Resumo Mensal (MTD)'!$B$5,'Base de Vendas'!$A:$A,"&lt;="&amp;'Resumo Mensal (MTD)'!$B$6)</f>
        <v>0</v>
      </c>
      <c r="C5" s="5">
        <f>IF($B$7=0,0,B5/$B$7)</f>
        <v>0</v>
      </c>
      <c r="E5" t="s">
        <v>49</v>
      </c>
      <c r="F5" s="4">
        <f>SUMIFS('Base de Vendas'!$J:$J,'Base de Vendas'!$E:$E,E5,'Base de Vendas'!$A:$A,"&gt;="&amp;'Resumo Mensal (MTD)'!$B$5,'Base de Vendas'!$A:$A,"&lt;="&amp;'Resumo Mensal (MTD)'!$B$6)</f>
        <v>65780</v>
      </c>
    </row>
    <row r="6" spans="1:6" x14ac:dyDescent="0.3">
      <c r="A6" s="18" t="s">
        <v>325</v>
      </c>
      <c r="B6" s="4">
        <f>SUMIFS('Base de Vendas'!$J:$J,'Base de Vendas'!$D:$D,A6,'Base de Vendas'!$A:$A,"&gt;="&amp;'Resumo Mensal (MTD)'!$B$5,'Base de Vendas'!$A:$A,"&lt;="&amp;'Resumo Mensal (MTD)'!$B$6)</f>
        <v>0</v>
      </c>
      <c r="C6" s="5">
        <f>IF($B$7=0,0,B6/$B$7)</f>
        <v>0</v>
      </c>
      <c r="E6" t="s">
        <v>26</v>
      </c>
      <c r="F6" s="4">
        <f>SUMIFS('Base de Vendas'!$J:$J,'Base de Vendas'!$E:$E,E6,'Base de Vendas'!$A:$A,"&gt;="&amp;'Resumo Mensal (MTD)'!$B$5,'Base de Vendas'!$A:$A,"&lt;="&amp;'Resumo Mensal (MTD)'!$B$6)</f>
        <v>36462.6</v>
      </c>
    </row>
    <row r="7" spans="1:6" x14ac:dyDescent="0.3">
      <c r="A7" s="1" t="s">
        <v>326</v>
      </c>
      <c r="B7" s="4">
        <f>SUM(B4:B6)</f>
        <v>0</v>
      </c>
      <c r="E7" t="s">
        <v>30</v>
      </c>
      <c r="F7" s="4">
        <f>SUMIFS('Base de Vendas'!$J:$J,'Base de Vendas'!$E:$E,E7,'Base de Vendas'!$A:$A,"&gt;="&amp;'Resumo Mensal (MTD)'!$B$5,'Base de Vendas'!$A:$A,"&lt;="&amp;'Resumo Mensal (MTD)'!$B$6)</f>
        <v>0</v>
      </c>
    </row>
    <row r="8" spans="1:6" x14ac:dyDescent="0.3">
      <c r="E8" t="s">
        <v>14</v>
      </c>
      <c r="F8" s="4">
        <f>SUMIFS('Base de Vendas'!$J:$J,'Base de Vendas'!$E:$E,E8,'Base de Vendas'!$A:$A,"&gt;="&amp;'Resumo Mensal (MTD)'!$B$5,'Base de Vendas'!$A:$A,"&lt;="&amp;'Resumo Mensal (MTD)'!$B$6)</f>
        <v>177287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A22" sqref="A22"/>
    </sheetView>
  </sheetViews>
  <sheetFormatPr defaultRowHeight="14.4" x14ac:dyDescent="0.3"/>
  <cols>
    <col min="1" max="10" width="26.6640625" customWidth="1"/>
  </cols>
  <sheetData>
    <row r="1" spans="1:10" ht="17.399999999999999" customHeight="1" x14ac:dyDescent="0.35">
      <c r="A1" s="6" t="s">
        <v>327</v>
      </c>
    </row>
    <row r="3" spans="1:10" ht="17.399999999999999" customHeight="1" x14ac:dyDescent="0.35">
      <c r="A3" s="6" t="s">
        <v>328</v>
      </c>
      <c r="E3" s="6" t="s">
        <v>329</v>
      </c>
      <c r="I3" s="6" t="s">
        <v>330</v>
      </c>
    </row>
    <row r="4" spans="1:10" x14ac:dyDescent="0.3">
      <c r="A4" t="e">
        <f>INDEX('Base de Vendas'!$F:$F, MATCH(LARGE(SUMIFS('Base de Vendas'!$J:$J,'Base de Vendas'!$A:$A,"&gt;="&amp;'Resumo Mensal (MTD)'!$B$5,'Base de Vendas'!$A:$A,"&lt;="&amp;'Resumo Mensal (MTD)'!$B$6,'Base de Vendas'!$F:$F,'Base de Vendas'!$F:$F),1),SUMIFS('Base de Vendas'!$J:$J,'Base de Vendas'!$A:$A,"&gt;="&amp;'Resumo Mensal (MTD)'!$B$5,'Base de Vendas'!$A:$A,"&lt;="&amp;'Resumo Mensal (MTD)'!$B$6,'Base de Vendas'!$F:$F,'Base de Vendas'!$F:$F),0))</f>
        <v>#N/A</v>
      </c>
      <c r="B4" s="4">
        <f>LARGE(SUMIFS('Base de Vendas'!$J:$J,'Base de Vendas'!$A:$A,"&gt;="&amp;'Resumo Mensal (MTD)'!$B$5,'Base de Vendas'!$A:$A,"&lt;="&amp;'Resumo Mensal (MTD)'!$B$6,'Base de Vendas'!$F:$F,'Base de Vendas'!$F:$F),1)</f>
        <v>49690</v>
      </c>
      <c r="E4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Vendas'!$D:$D,"Final"),1),SUMIFS('Base de Vendas'!$J:$J,'Base de Vendas'!$A:$A,"&gt;="&amp;'Resumo Mensal (MTD)'!$B$5,'Base de Vendas'!$A:$A,"&lt;="&amp;'Resumo Mensal (MTD)'!$B$6,'Base de Vendas'!$C:$C,'Base de Vendas'!$C:$C,'Base de Vendas'!$D:$D,"Final"),0))</f>
        <v>#N/A</v>
      </c>
      <c r="F4" s="4">
        <f>LARGE(SUMIFS('Base de Vendas'!$J:$J,'Base de Vendas'!$A:$A,"&gt;="&amp;'Resumo Mensal (MTD)'!$B$5,'Base de Vendas'!$A:$A,"&lt;="&amp;'Resumo Mensal (MTD)'!$B$6,'Base de Vendas'!$C:$C,'Base de Vendas'!$C:$C,'Base de Vendas'!$D:$D,"Final"),1)</f>
        <v>0</v>
      </c>
      <c r="I4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Vendas'!$D:$D,"Distribuidor"),1),SUMIFS('Base de Vendas'!$J:$J,'Base de Vendas'!$A:$A,"&gt;="&amp;'Resumo Mensal (MTD)'!$B$5,'Base de Vendas'!$A:$A,"&lt;="&amp;'Resumo Mensal (MTD)'!$B$6,'Base de Vendas'!$C:$C,'Base de Vendas'!$C:$C,'Base de Vendas'!$D:$D,"Distribuidor"),0))</f>
        <v>#N/A</v>
      </c>
      <c r="J4" s="4">
        <f>LARGE(SUMIFS('Base de Vendas'!$J:$J,'Base de Vendas'!$A:$A,"&gt;="&amp;'Resumo Mensal (MTD)'!$B$5,'Base de Vendas'!$A:$A,"&lt;="&amp;'Resumo Mensal (MTD)'!$B$6,'Base de Vendas'!$C:$C,'Base de Vendas'!$C:$C,'Base de Vendas'!$D:$D,"Distribuidor"),1)</f>
        <v>0</v>
      </c>
    </row>
    <row r="5" spans="1:10" x14ac:dyDescent="0.3">
      <c r="A5" t="e">
        <f>INDEX('Base de Vendas'!$F:$F, MATCH(LARGE(SUMIFS('Base de Vendas'!$J:$J,'Base de Vendas'!$A:$A,"&gt;="&amp;'Resumo Mensal (MTD)'!$B$5,'Base de Vendas'!$A:$A,"&lt;="&amp;'Resumo Mensal (MTD)'!$B$6,'Base de Vendas'!$F:$F,'Base de Vendas'!$F:$F),2),SUMIFS('Base de Vendas'!$J:$J,'Base de Vendas'!$A:$A,"&gt;="&amp;'Resumo Mensal (MTD)'!$B$5,'Base de Vendas'!$A:$A,"&lt;="&amp;'Resumo Mensal (MTD)'!$B$6,'Base de Vendas'!$F:$F,'Base de Vendas'!$F:$F),0))</f>
        <v>#NUM!</v>
      </c>
      <c r="B5" s="4" t="e">
        <f>LARGE(SUMIFS('Base de Vendas'!$J:$J,'Base de Vendas'!$A:$A,"&gt;="&amp;'Resumo Mensal (MTD)'!$B$5,'Base de Vendas'!$A:$A,"&lt;="&amp;'Resumo Mensal (MTD)'!$B$6,'Base de Vendas'!$F:$F,'Base de Vendas'!$F:$F),2)</f>
        <v>#NUM!</v>
      </c>
      <c r="E5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Vendas'!$D:$D,"Final"),2),SUMIFS('Base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5" s="4" t="e">
        <f>LARGE(SUMIFS('Base de Vendas'!$J:$J,'Base de Vendas'!$A:$A,"&gt;="&amp;'Resumo Mensal (MTD)'!$B$5,'Base de Vendas'!$A:$A,"&lt;="&amp;'Resumo Mensal (MTD)'!$B$6,'Base de Vendas'!$C:$C,'Base de Vendas'!$C:$C,'Base de Vendas'!$D:$D,"Final"),2)</f>
        <v>#NUM!</v>
      </c>
      <c r="I5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Vendas'!$D:$D,"Distribuidor"),2),SUMIFS('Base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5" s="4" t="e">
        <f>LARGE(SUMIFS('Base de Vendas'!$J:$J,'Base de Vendas'!$A:$A,"&gt;="&amp;'Resumo Mensal (MTD)'!$B$5,'Base de Vendas'!$A:$A,"&lt;="&amp;'Resumo Mensal (MTD)'!$B$6,'Base de Vendas'!$C:$C,'Base de Vendas'!$C:$C,'Base de Vendas'!$D:$D,"Distribuidor"),2)</f>
        <v>#NUM!</v>
      </c>
    </row>
    <row r="6" spans="1:10" x14ac:dyDescent="0.3">
      <c r="A6" t="e">
        <f>INDEX('Base de Vendas'!$F:$F, MATCH(LARGE(SUMIFS('Base de Vendas'!$J:$J,'Base de Vendas'!$A:$A,"&gt;="&amp;'Resumo Mensal (MTD)'!$B$5,'Base de Vendas'!$A:$A,"&lt;="&amp;'Resumo Mensal (MTD)'!$B$6,'Base de Vendas'!$F:$F,'Base de Vendas'!$F:$F),3),SUMIFS('Base de Vendas'!$J:$J,'Base de Vendas'!$A:$A,"&gt;="&amp;'Resumo Mensal (MTD)'!$B$5,'Base de Vendas'!$A:$A,"&lt;="&amp;'Resumo Mensal (MTD)'!$B$6,'Base de Vendas'!$F:$F,'Base de Vendas'!$F:$F),0))</f>
        <v>#NUM!</v>
      </c>
      <c r="B6" s="4" t="e">
        <f>LARGE(SUMIFS('Base de Vendas'!$J:$J,'Base de Vendas'!$A:$A,"&gt;="&amp;'Resumo Mensal (MTD)'!$B$5,'Base de Vendas'!$A:$A,"&lt;="&amp;'Resumo Mensal (MTD)'!$B$6,'Base de Vendas'!$F:$F,'Base de Vendas'!$F:$F),3)</f>
        <v>#NUM!</v>
      </c>
      <c r="E6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Vendas'!$D:$D,"Final"),3),SUMIFS('Base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6" s="4" t="e">
        <f>LARGE(SUMIFS('Base de Vendas'!$J:$J,'Base de Vendas'!$A:$A,"&gt;="&amp;'Resumo Mensal (MTD)'!$B$5,'Base de Vendas'!$A:$A,"&lt;="&amp;'Resumo Mensal (MTD)'!$B$6,'Base de Vendas'!$C:$C,'Base de Vendas'!$C:$C,'Base de Vendas'!$D:$D,"Final"),3)</f>
        <v>#NUM!</v>
      </c>
      <c r="I6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Vendas'!$D:$D,"Distribuidor"),3),SUMIFS('Base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6" s="4" t="e">
        <f>LARGE(SUMIFS('Base de Vendas'!$J:$J,'Base de Vendas'!$A:$A,"&gt;="&amp;'Resumo Mensal (MTD)'!$B$5,'Base de Vendas'!$A:$A,"&lt;="&amp;'Resumo Mensal (MTD)'!$B$6,'Base de Vendas'!$C:$C,'Base de Vendas'!$C:$C,'Base de Vendas'!$D:$D,"Distribuidor"),3)</f>
        <v>#NUM!</v>
      </c>
    </row>
    <row r="7" spans="1:10" x14ac:dyDescent="0.3">
      <c r="A7" t="e">
        <f>INDEX('Base de Vendas'!$F:$F, MATCH(LARGE(SUMIFS('Base de Vendas'!$J:$J,'Base de Vendas'!$A:$A,"&gt;="&amp;'Resumo Mensal (MTD)'!$B$5,'Base de Vendas'!$A:$A,"&lt;="&amp;'Resumo Mensal (MTD)'!$B$6,'Base de Vendas'!$F:$F,'Base de Vendas'!$F:$F),4),SUMIFS('Base de Vendas'!$J:$J,'Base de Vendas'!$A:$A,"&gt;="&amp;'Resumo Mensal (MTD)'!$B$5,'Base de Vendas'!$A:$A,"&lt;="&amp;'Resumo Mensal (MTD)'!$B$6,'Base de Vendas'!$F:$F,'Base de Vendas'!$F:$F),0))</f>
        <v>#NUM!</v>
      </c>
      <c r="B7" s="4" t="e">
        <f>LARGE(SUMIFS('Base de Vendas'!$J:$J,'Base de Vendas'!$A:$A,"&gt;="&amp;'Resumo Mensal (MTD)'!$B$5,'Base de Vendas'!$A:$A,"&lt;="&amp;'Resumo Mensal (MTD)'!$B$6,'Base de Vendas'!$F:$F,'Base de Vendas'!$F:$F),4)</f>
        <v>#NUM!</v>
      </c>
      <c r="E7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Vendas'!$D:$D,"Final"),4),SUMIFS('Base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7" s="4" t="e">
        <f>LARGE(SUMIFS('Base de Vendas'!$J:$J,'Base de Vendas'!$A:$A,"&gt;="&amp;'Resumo Mensal (MTD)'!$B$5,'Base de Vendas'!$A:$A,"&lt;="&amp;'Resumo Mensal (MTD)'!$B$6,'Base de Vendas'!$C:$C,'Base de Vendas'!$C:$C,'Base de Vendas'!$D:$D,"Final"),4)</f>
        <v>#NUM!</v>
      </c>
      <c r="I7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Vendas'!$D:$D,"Distribuidor"),4),SUMIFS('Base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7" s="4" t="e">
        <f>LARGE(SUMIFS('Base de Vendas'!$J:$J,'Base de Vendas'!$A:$A,"&gt;="&amp;'Resumo Mensal (MTD)'!$B$5,'Base de Vendas'!$A:$A,"&lt;="&amp;'Resumo Mensal (MTD)'!$B$6,'Base de Vendas'!$C:$C,'Base de Vendas'!$C:$C,'Base de Vendas'!$D:$D,"Distribuidor"),4)</f>
        <v>#NUM!</v>
      </c>
    </row>
    <row r="8" spans="1:10" x14ac:dyDescent="0.3">
      <c r="A8" t="e">
        <f>INDEX('Base de Vendas'!$F:$F, MATCH(LARGE(SUMIFS('Base de Vendas'!$J:$J,'Base de Vendas'!$A:$A,"&gt;="&amp;'Resumo Mensal (MTD)'!$B$5,'Base de Vendas'!$A:$A,"&lt;="&amp;'Resumo Mensal (MTD)'!$B$6,'Base de Vendas'!$F:$F,'Base de Vendas'!$F:$F),5),SUMIFS('Base de Vendas'!$J:$J,'Base de Vendas'!$A:$A,"&gt;="&amp;'Resumo Mensal (MTD)'!$B$5,'Base de Vendas'!$A:$A,"&lt;="&amp;'Resumo Mensal (MTD)'!$B$6,'Base de Vendas'!$F:$F,'Base de Vendas'!$F:$F),0))</f>
        <v>#NUM!</v>
      </c>
      <c r="B8" s="4" t="e">
        <f>LARGE(SUMIFS('Base de Vendas'!$J:$J,'Base de Vendas'!$A:$A,"&gt;="&amp;'Resumo Mensal (MTD)'!$B$5,'Base de Vendas'!$A:$A,"&lt;="&amp;'Resumo Mensal (MTD)'!$B$6,'Base de Vendas'!$F:$F,'Base de Vendas'!$F:$F),5)</f>
        <v>#NUM!</v>
      </c>
      <c r="E8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Vendas'!$D:$D,"Final"),5),SUMIFS('Base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8" s="4" t="e">
        <f>LARGE(SUMIFS('Base de Vendas'!$J:$J,'Base de Vendas'!$A:$A,"&gt;="&amp;'Resumo Mensal (MTD)'!$B$5,'Base de Vendas'!$A:$A,"&lt;="&amp;'Resumo Mensal (MTD)'!$B$6,'Base de Vendas'!$C:$C,'Base de Vendas'!$C:$C,'Base de Vendas'!$D:$D,"Final"),5)</f>
        <v>#NUM!</v>
      </c>
      <c r="I8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Vendas'!$D:$D,"Distribuidor"),5),SUMIFS('Base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8" s="4" t="e">
        <f>LARGE(SUMIFS('Base de Vendas'!$J:$J,'Base de Vendas'!$A:$A,"&gt;="&amp;'Resumo Mensal (MTD)'!$B$5,'Base de Vendas'!$A:$A,"&lt;="&amp;'Resumo Mensal (MTD)'!$B$6,'Base de Vendas'!$C:$C,'Base de Vendas'!$C:$C,'Base de Vendas'!$D:$D,"Distribuidor"),5)</f>
        <v>#NUM!</v>
      </c>
    </row>
    <row r="9" spans="1:10" x14ac:dyDescent="0.3">
      <c r="A9" t="e">
        <f>INDEX('Base de Vendas'!$F:$F, MATCH(LARGE(SUMIFS('Base de Vendas'!$J:$J,'Base de Vendas'!$A:$A,"&gt;="&amp;'Resumo Mensal (MTD)'!$B$5,'Base de Vendas'!$A:$A,"&lt;="&amp;'Resumo Mensal (MTD)'!$B$6,'Base de Vendas'!$F:$F,'Base de Vendas'!$F:$F),6),SUMIFS('Base de Vendas'!$J:$J,'Base de Vendas'!$A:$A,"&gt;="&amp;'Resumo Mensal (MTD)'!$B$5,'Base de Vendas'!$A:$A,"&lt;="&amp;'Resumo Mensal (MTD)'!$B$6,'Base de Vendas'!$F:$F,'Base de Vendas'!$F:$F),0))</f>
        <v>#NUM!</v>
      </c>
      <c r="B9" s="4" t="e">
        <f>LARGE(SUMIFS('Base de Vendas'!$J:$J,'Base de Vendas'!$A:$A,"&gt;="&amp;'Resumo Mensal (MTD)'!$B$5,'Base de Vendas'!$A:$A,"&lt;="&amp;'Resumo Mensal (MTD)'!$B$6,'Base de Vendas'!$F:$F,'Base de Vendas'!$F:$F),6)</f>
        <v>#NUM!</v>
      </c>
      <c r="E9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Vendas'!$D:$D,"Final"),6),SUMIFS('Base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9" s="4" t="e">
        <f>LARGE(SUMIFS('Base de Vendas'!$J:$J,'Base de Vendas'!$A:$A,"&gt;="&amp;'Resumo Mensal (MTD)'!$B$5,'Base de Vendas'!$A:$A,"&lt;="&amp;'Resumo Mensal (MTD)'!$B$6,'Base de Vendas'!$C:$C,'Base de Vendas'!$C:$C,'Base de Vendas'!$D:$D,"Final"),6)</f>
        <v>#NUM!</v>
      </c>
      <c r="I9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Vendas'!$D:$D,"Distribuidor"),6),SUMIFS('Base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9" s="4" t="e">
        <f>LARGE(SUMIFS('Base de Vendas'!$J:$J,'Base de Vendas'!$A:$A,"&gt;="&amp;'Resumo Mensal (MTD)'!$B$5,'Base de Vendas'!$A:$A,"&lt;="&amp;'Resumo Mensal (MTD)'!$B$6,'Base de Vendas'!$C:$C,'Base de Vendas'!$C:$C,'Base de Vendas'!$D:$D,"Distribuidor"),6)</f>
        <v>#NUM!</v>
      </c>
    </row>
    <row r="10" spans="1:10" x14ac:dyDescent="0.3">
      <c r="A10" t="e">
        <f>INDEX('Base de Vendas'!$F:$F, MATCH(LARGE(SUMIFS('Base de Vendas'!$J:$J,'Base de Vendas'!$A:$A,"&gt;="&amp;'Resumo Mensal (MTD)'!$B$5,'Base de Vendas'!$A:$A,"&lt;="&amp;'Resumo Mensal (MTD)'!$B$6,'Base de Vendas'!$F:$F,'Base de Vendas'!$F:$F),7),SUMIFS('Base de Vendas'!$J:$J,'Base de Vendas'!$A:$A,"&gt;="&amp;'Resumo Mensal (MTD)'!$B$5,'Base de Vendas'!$A:$A,"&lt;="&amp;'Resumo Mensal (MTD)'!$B$6,'Base de Vendas'!$F:$F,'Base de Vendas'!$F:$F),0))</f>
        <v>#NUM!</v>
      </c>
      <c r="B10" s="4" t="e">
        <f>LARGE(SUMIFS('Base de Vendas'!$J:$J,'Base de Vendas'!$A:$A,"&gt;="&amp;'Resumo Mensal (MTD)'!$B$5,'Base de Vendas'!$A:$A,"&lt;="&amp;'Resumo Mensal (MTD)'!$B$6,'Base de Vendas'!$F:$F,'Base de Vendas'!$F:$F),7)</f>
        <v>#NUM!</v>
      </c>
      <c r="E10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Vendas'!$D:$D,"Final"),7),SUMIFS('Base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10" s="4" t="e">
        <f>LARGE(SUMIFS('Base de Vendas'!$J:$J,'Base de Vendas'!$A:$A,"&gt;="&amp;'Resumo Mensal (MTD)'!$B$5,'Base de Vendas'!$A:$A,"&lt;="&amp;'Resumo Mensal (MTD)'!$B$6,'Base de Vendas'!$C:$C,'Base de Vendas'!$C:$C,'Base de Vendas'!$D:$D,"Final"),7)</f>
        <v>#NUM!</v>
      </c>
      <c r="I10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Vendas'!$D:$D,"Distribuidor"),7),SUMIFS('Base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10" s="4" t="e">
        <f>LARGE(SUMIFS('Base de Vendas'!$J:$J,'Base de Vendas'!$A:$A,"&gt;="&amp;'Resumo Mensal (MTD)'!$B$5,'Base de Vendas'!$A:$A,"&lt;="&amp;'Resumo Mensal (MTD)'!$B$6,'Base de Vendas'!$C:$C,'Base de Vendas'!$C:$C,'Base de Vendas'!$D:$D,"Distribuidor"),7)</f>
        <v>#NUM!</v>
      </c>
    </row>
    <row r="11" spans="1:10" x14ac:dyDescent="0.3">
      <c r="A11" t="e">
        <f>INDEX('Base de Vendas'!$F:$F, MATCH(LARGE(SUMIFS('Base de Vendas'!$J:$J,'Base de Vendas'!$A:$A,"&gt;="&amp;'Resumo Mensal (MTD)'!$B$5,'Base de Vendas'!$A:$A,"&lt;="&amp;'Resumo Mensal (MTD)'!$B$6,'Base de Vendas'!$F:$F,'Base de Vendas'!$F:$F),8),SUMIFS('Base de Vendas'!$J:$J,'Base de Vendas'!$A:$A,"&gt;="&amp;'Resumo Mensal (MTD)'!$B$5,'Base de Vendas'!$A:$A,"&lt;="&amp;'Resumo Mensal (MTD)'!$B$6,'Base de Vendas'!$F:$F,'Base de Vendas'!$F:$F),0))</f>
        <v>#NUM!</v>
      </c>
      <c r="B11" s="4" t="e">
        <f>LARGE(SUMIFS('Base de Vendas'!$J:$J,'Base de Vendas'!$A:$A,"&gt;="&amp;'Resumo Mensal (MTD)'!$B$5,'Base de Vendas'!$A:$A,"&lt;="&amp;'Resumo Mensal (MTD)'!$B$6,'Base de Vendas'!$F:$F,'Base de Vendas'!$F:$F),8)</f>
        <v>#NUM!</v>
      </c>
      <c r="E11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Vendas'!$D:$D,"Final"),8),SUMIFS('Base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11" s="4" t="e">
        <f>LARGE(SUMIFS('Base de Vendas'!$J:$J,'Base de Vendas'!$A:$A,"&gt;="&amp;'Resumo Mensal (MTD)'!$B$5,'Base de Vendas'!$A:$A,"&lt;="&amp;'Resumo Mensal (MTD)'!$B$6,'Base de Vendas'!$C:$C,'Base de Vendas'!$C:$C,'Base de Vendas'!$D:$D,"Final"),8)</f>
        <v>#NUM!</v>
      </c>
      <c r="I11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Vendas'!$D:$D,"Distribuidor"),8),SUMIFS('Base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11" s="4" t="e">
        <f>LARGE(SUMIFS('Base de Vendas'!$J:$J,'Base de Vendas'!$A:$A,"&gt;="&amp;'Resumo Mensal (MTD)'!$B$5,'Base de Vendas'!$A:$A,"&lt;="&amp;'Resumo Mensal (MTD)'!$B$6,'Base de Vendas'!$C:$C,'Base de Vendas'!$C:$C,'Base de Vendas'!$D:$D,"Distribuidor"),8)</f>
        <v>#NUM!</v>
      </c>
    </row>
    <row r="12" spans="1:10" x14ac:dyDescent="0.3">
      <c r="A12" t="e">
        <f>INDEX('Base de Vendas'!$F:$F, MATCH(LARGE(SUMIFS('Base de Vendas'!$J:$J,'Base de Vendas'!$A:$A,"&gt;="&amp;'Resumo Mensal (MTD)'!$B$5,'Base de Vendas'!$A:$A,"&lt;="&amp;'Resumo Mensal (MTD)'!$B$6,'Base de Vendas'!$F:$F,'Base de Vendas'!$F:$F),9),SUMIFS('Base de Vendas'!$J:$J,'Base de Vendas'!$A:$A,"&gt;="&amp;'Resumo Mensal (MTD)'!$B$5,'Base de Vendas'!$A:$A,"&lt;="&amp;'Resumo Mensal (MTD)'!$B$6,'Base de Vendas'!$F:$F,'Base de Vendas'!$F:$F),0))</f>
        <v>#NUM!</v>
      </c>
      <c r="B12" s="4" t="e">
        <f>LARGE(SUMIFS('Base de Vendas'!$J:$J,'Base de Vendas'!$A:$A,"&gt;="&amp;'Resumo Mensal (MTD)'!$B$5,'Base de Vendas'!$A:$A,"&lt;="&amp;'Resumo Mensal (MTD)'!$B$6,'Base de Vendas'!$F:$F,'Base de Vendas'!$F:$F),9)</f>
        <v>#NUM!</v>
      </c>
      <c r="E12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Vendas'!$D:$D,"Final"),9),SUMIFS('Base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12" s="4" t="e">
        <f>LARGE(SUMIFS('Base de Vendas'!$J:$J,'Base de Vendas'!$A:$A,"&gt;="&amp;'Resumo Mensal (MTD)'!$B$5,'Base de Vendas'!$A:$A,"&lt;="&amp;'Resumo Mensal (MTD)'!$B$6,'Base de Vendas'!$C:$C,'Base de Vendas'!$C:$C,'Base de Vendas'!$D:$D,"Final"),9)</f>
        <v>#NUM!</v>
      </c>
      <c r="I12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Vendas'!$D:$D,"Distribuidor"),9),SUMIFS('Base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12" s="4" t="e">
        <f>LARGE(SUMIFS('Base de Vendas'!$J:$J,'Base de Vendas'!$A:$A,"&gt;="&amp;'Resumo Mensal (MTD)'!$B$5,'Base de Vendas'!$A:$A,"&lt;="&amp;'Resumo Mensal (MTD)'!$B$6,'Base de Vendas'!$C:$C,'Base de Vendas'!$C:$C,'Base de Vendas'!$D:$D,"Distribuidor"),9)</f>
        <v>#NUM!</v>
      </c>
    </row>
    <row r="13" spans="1:10" x14ac:dyDescent="0.3">
      <c r="A13" t="e">
        <f>INDEX('Base de Vendas'!$F:$F, MATCH(LARGE(SUMIFS('Base de Vendas'!$J:$J,'Base de Vendas'!$A:$A,"&gt;="&amp;'Resumo Mensal (MTD)'!$B$5,'Base de Vendas'!$A:$A,"&lt;="&amp;'Resumo Mensal (MTD)'!$B$6,'Base de Vendas'!$F:$F,'Base de Vendas'!$F:$F),10),SUMIFS('Base de Vendas'!$J:$J,'Base de Vendas'!$A:$A,"&gt;="&amp;'Resumo Mensal (MTD)'!$B$5,'Base de Vendas'!$A:$A,"&lt;="&amp;'Resumo Mensal (MTD)'!$B$6,'Base de Vendas'!$F:$F,'Base de Vendas'!$F:$F),0))</f>
        <v>#NUM!</v>
      </c>
      <c r="B13" s="4" t="e">
        <f>LARGE(SUMIFS('Base de Vendas'!$J:$J,'Base de Vendas'!$A:$A,"&gt;="&amp;'Resumo Mensal (MTD)'!$B$5,'Base de Vendas'!$A:$A,"&lt;="&amp;'Resumo Mensal (MTD)'!$B$6,'Base de Vendas'!$F:$F,'Base de Vendas'!$F:$F),10)</f>
        <v>#NUM!</v>
      </c>
      <c r="E13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Vendas'!$D:$D,"Final"),10),SUMIFS('Base de Vendas'!$J:$J,'Base de Vendas'!$A:$A,"&gt;="&amp;'Resumo Mensal (MTD)'!$B$5,'Base de Vendas'!$A:$A,"&lt;="&amp;'Resumo Mensal (MTD)'!$B$6,'Base de Vendas'!$C:$C,'Base de Vendas'!$C:$C,'Base de Vendas'!$D:$D,"Final"),0))</f>
        <v>#NUM!</v>
      </c>
      <c r="F13" s="4" t="e">
        <f>LARGE(SUMIFS('Base de Vendas'!$J:$J,'Base de Vendas'!$A:$A,"&gt;="&amp;'Resumo Mensal (MTD)'!$B$5,'Base de Vendas'!$A:$A,"&lt;="&amp;'Resumo Mensal (MTD)'!$B$6,'Base de Vendas'!$C:$C,'Base de Vendas'!$C:$C,'Base de Vendas'!$D:$D,"Final"),10)</f>
        <v>#NUM!</v>
      </c>
      <c r="I13" t="e">
        <f>INDEX('Base de Vendas'!$C:$C, MATCH(LARGE(SUMIFS('Base de Vendas'!$J:$J,'Base de Vendas'!$A:$A,"&gt;="&amp;'Resumo Mensal (MTD)'!$B$5,'Base de Vendas'!$A:$A,"&lt;="&amp;'Resumo Mensal (MTD)'!$B$6,'Base de Vendas'!$C:$C,'Base de Vendas'!$C:$C,'Base de Vendas'!$D:$D,"Distribuidor"),10),SUMIFS('Base de Vendas'!$J:$J,'Base de Vendas'!$A:$A,"&gt;="&amp;'Resumo Mensal (MTD)'!$B$5,'Base de Vendas'!$A:$A,"&lt;="&amp;'Resumo Mensal (MTD)'!$B$6,'Base de Vendas'!$C:$C,'Base de Vendas'!$C:$C,'Base de Vendas'!$D:$D,"Distribuidor"),0))</f>
        <v>#NUM!</v>
      </c>
      <c r="J13" s="4" t="e">
        <f>LARGE(SUMIFS('Base de Vendas'!$J:$J,'Base de Vendas'!$A:$A,"&gt;="&amp;'Resumo Mensal (MTD)'!$B$5,'Base de Vendas'!$A:$A,"&lt;="&amp;'Resumo Mensal (MTD)'!$B$6,'Base de Vendas'!$C:$C,'Base de Vendas'!$C:$C,'Base de Vendas'!$D:$D,"Distribuidor"),10)</f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B21" sqref="B21"/>
    </sheetView>
  </sheetViews>
  <sheetFormatPr defaultRowHeight="14.4" x14ac:dyDescent="0.3"/>
  <cols>
    <col min="1" max="1" width="16" bestFit="1" customWidth="1"/>
    <col min="2" max="2" width="15.88671875" bestFit="1" customWidth="1"/>
  </cols>
  <sheetData>
    <row r="1" spans="1:2" x14ac:dyDescent="0.3">
      <c r="A1" s="1" t="s">
        <v>331</v>
      </c>
      <c r="B1" s="1" t="s">
        <v>332</v>
      </c>
    </row>
    <row r="2" spans="1:2" x14ac:dyDescent="0.3">
      <c r="A2" t="s">
        <v>333</v>
      </c>
      <c r="B2" s="4">
        <f>'Resumo Mensal (MTD)'!B8</f>
        <v>512588.35</v>
      </c>
    </row>
    <row r="3" spans="1:2" x14ac:dyDescent="0.3">
      <c r="A3" t="s">
        <v>334</v>
      </c>
      <c r="B3" s="4">
        <f>'Resumo Mensal (MTD)'!E3</f>
        <v>2000000</v>
      </c>
    </row>
    <row r="4" spans="1:2" x14ac:dyDescent="0.3">
      <c r="A4" t="s">
        <v>335</v>
      </c>
      <c r="B4" s="4">
        <f>'Resumo Mensal (MTD)'!B10</f>
        <v>1428637.35</v>
      </c>
    </row>
    <row r="7" spans="1:2" x14ac:dyDescent="0.3">
      <c r="A7" s="1" t="s">
        <v>336</v>
      </c>
      <c r="B7" s="1" t="s">
        <v>337</v>
      </c>
    </row>
    <row r="8" spans="1:2" x14ac:dyDescent="0.3">
      <c r="A8" t="s">
        <v>323</v>
      </c>
      <c r="B8" s="4">
        <f>'Resumo Mensal (MTD)'!B18</f>
        <v>1</v>
      </c>
    </row>
    <row r="9" spans="1:2" x14ac:dyDescent="0.3">
      <c r="A9" t="s">
        <v>324</v>
      </c>
      <c r="B9" s="4">
        <f>'Resumo Mensal (MTD)'!B19</f>
        <v>0</v>
      </c>
    </row>
    <row r="10" spans="1:2" x14ac:dyDescent="0.3">
      <c r="A10" t="s">
        <v>325</v>
      </c>
      <c r="B10" s="4">
        <f>'Resumo Mensal (MTD)'!B20</f>
        <v>0</v>
      </c>
    </row>
    <row r="13" spans="1:2" x14ac:dyDescent="0.3">
      <c r="A13" s="1" t="s">
        <v>338</v>
      </c>
      <c r="B13" s="1" t="s">
        <v>321</v>
      </c>
    </row>
    <row r="14" spans="1:2" x14ac:dyDescent="0.3">
      <c r="A14" s="7">
        <v>45878</v>
      </c>
      <c r="B14" s="4">
        <f>SUMIFS('Base de Vendas'!$J:$J,'Base de Vendas'!$A:$A,"&gt;="&amp;'Resumo Mensal (MTD)'!$B$5,'Base de Vendas'!$A:$A,"&lt;="&amp;DATE(2025,8,9))</f>
        <v>359903.35</v>
      </c>
    </row>
    <row r="15" spans="1:2" x14ac:dyDescent="0.3">
      <c r="A15" s="7">
        <v>45885</v>
      </c>
      <c r="B15" s="4">
        <f>SUMIFS('Base de Vendas'!$J:$J,'Base de Vendas'!$A:$A,"&gt;="&amp;'Resumo Mensal (MTD)'!$B$5,'Base de Vendas'!$A:$A,"&lt;="&amp;DATE(2025,8,16))</f>
        <v>512588.35</v>
      </c>
    </row>
    <row r="16" spans="1:2" x14ac:dyDescent="0.3">
      <c r="A16" s="7">
        <v>45892</v>
      </c>
      <c r="B16" s="4">
        <f>SUMIFS('Base de Vendas'!$J:$J,'Base de Vendas'!$A:$A,"&gt;="&amp;'Resumo Mensal (MTD)'!$B$5,'Base de Vendas'!$A:$A,"&lt;="&amp;DATE(2025,8,23))</f>
        <v>512588.35</v>
      </c>
    </row>
    <row r="17" spans="1:2" x14ac:dyDescent="0.3">
      <c r="A17" s="7">
        <v>45899</v>
      </c>
      <c r="B17" s="4">
        <f>SUMIFS('Base de Vendas'!$J:$J,'Base de Vendas'!$A:$A,"&gt;="&amp;'Resumo Mensal (MTD)'!$B$5,'Base de Vendas'!$A:$A,"&lt;="&amp;DATE(2025,8,30))</f>
        <v>512588.35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Base de Vendas</vt:lpstr>
      <vt:lpstr>Metas Vendedores (Mensal)</vt:lpstr>
      <vt:lpstr>Resumo Mensal (MTD)</vt:lpstr>
      <vt:lpstr>Metas x Vendedor (Mensal)</vt:lpstr>
      <vt:lpstr>Por produto</vt:lpstr>
      <vt:lpstr>Painel Vendedor (Mensal)</vt:lpstr>
      <vt:lpstr>Análises (Tipo &amp; UF) - Mensal</vt:lpstr>
      <vt:lpstr>Rankings (Mensal)</vt:lpstr>
      <vt:lpstr>Gráficos (Mensal)</vt:lpstr>
      <vt:lpstr>Alertas (Mensal)</vt:lpstr>
      <vt:lpstr>Como Usar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Melina Basso</cp:lastModifiedBy>
  <dcterms:created xsi:type="dcterms:W3CDTF">2025-08-11T14:08:17Z</dcterms:created>
  <dcterms:modified xsi:type="dcterms:W3CDTF">2025-08-12T19:04:27Z</dcterms:modified>
</cp:coreProperties>
</file>