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0" windowWidth="20740" windowHeight="10060" firstSheet="2" activeTab="13"/>
  </bookViews>
  <sheets>
    <sheet name="Лист1" sheetId="1" r:id="rId1"/>
    <sheet name="впр материалы" sheetId="2" r:id="rId2"/>
    <sheet name="Client" sheetId="3" r:id="rId3"/>
    <sheet name="Order" sheetId="4" r:id="rId4"/>
    <sheet name="Process" sheetId="5" r:id="rId5"/>
    <sheet name="emplyee" sheetId="6" r:id="rId6"/>
    <sheet name="finishprod" sheetId="7" r:id="rId7"/>
    <sheet name="material" sheetId="8" r:id="rId8"/>
    <sheet name="nomenclature" sheetId="9" r:id="rId9"/>
    <sheet name="priceList" sheetId="10" r:id="rId10"/>
    <sheet name="Role" sheetId="12" r:id="rId11"/>
    <sheet name="Shop" sheetId="13" r:id="rId12"/>
    <sheet name="Status" sheetId="14" r:id="rId13"/>
    <sheet name="User" sheetId="15" r:id="rId14"/>
  </sheets>
  <calcPr calcId="145621"/>
</workbook>
</file>

<file path=xl/calcChain.xml><?xml version="1.0" encoding="utf-8"?>
<calcChain xmlns="http://schemas.openxmlformats.org/spreadsheetml/2006/main">
  <c r="I18" i="5" l="1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2" i="5"/>
  <c r="F49" i="5"/>
  <c r="F50" i="5"/>
  <c r="G50" i="5" s="1"/>
  <c r="F47" i="5"/>
  <c r="G47" i="5" s="1"/>
  <c r="F46" i="5"/>
  <c r="F40" i="5"/>
  <c r="G40" i="5" s="1"/>
  <c r="F41" i="5"/>
  <c r="G41" i="5" s="1"/>
  <c r="F39" i="5"/>
  <c r="G39" i="5" s="1"/>
  <c r="F26" i="5"/>
  <c r="G26" i="5" s="1"/>
  <c r="F27" i="5"/>
  <c r="G27" i="5" s="1"/>
  <c r="F28" i="5"/>
  <c r="G28" i="5" s="1"/>
  <c r="F25" i="5"/>
  <c r="G25" i="5" s="1"/>
  <c r="F37" i="5"/>
  <c r="G37" i="5" s="1"/>
  <c r="F36" i="5"/>
  <c r="G36" i="5" s="1"/>
  <c r="F35" i="5"/>
  <c r="F34" i="5"/>
  <c r="G34" i="5" s="1"/>
  <c r="F30" i="5"/>
  <c r="F31" i="5"/>
  <c r="F32" i="5"/>
  <c r="G32" i="5" s="1"/>
  <c r="F29" i="5"/>
  <c r="G29" i="5" s="1"/>
  <c r="F24" i="5"/>
  <c r="F10" i="5"/>
  <c r="F11" i="5"/>
  <c r="F9" i="5"/>
  <c r="G9" i="5" s="1"/>
  <c r="F7" i="5"/>
  <c r="F6" i="5"/>
  <c r="G6" i="5" s="1"/>
  <c r="F20" i="5"/>
  <c r="G20" i="5" s="1"/>
  <c r="F21" i="5"/>
  <c r="F19" i="5"/>
  <c r="G19" i="5" s="1"/>
  <c r="F16" i="5"/>
  <c r="G16" i="5" s="1"/>
  <c r="F17" i="5"/>
  <c r="G17" i="5" s="1"/>
  <c r="F15" i="5"/>
  <c r="G15" i="5" s="1"/>
  <c r="G22" i="5"/>
  <c r="G23" i="5"/>
  <c r="G24" i="5"/>
  <c r="G30" i="5"/>
  <c r="G31" i="5"/>
  <c r="G33" i="5"/>
  <c r="G35" i="5"/>
  <c r="G38" i="5"/>
  <c r="G42" i="5"/>
  <c r="G43" i="5"/>
  <c r="G44" i="5"/>
  <c r="G45" i="5"/>
  <c r="G46" i="5"/>
  <c r="G48" i="5"/>
  <c r="G49" i="5"/>
  <c r="G3" i="5"/>
  <c r="G4" i="5"/>
  <c r="G5" i="5"/>
  <c r="G7" i="5"/>
  <c r="G8" i="5"/>
  <c r="G10" i="5"/>
  <c r="G11" i="5"/>
  <c r="G12" i="5"/>
  <c r="G13" i="5"/>
  <c r="G14" i="5"/>
  <c r="G18" i="5"/>
  <c r="G21" i="5"/>
  <c r="G2" i="5"/>
  <c r="F45" i="5"/>
  <c r="F48" i="5"/>
  <c r="F44" i="5"/>
  <c r="F42" i="5"/>
  <c r="F43" i="5"/>
  <c r="F38" i="5"/>
  <c r="F33" i="5"/>
  <c r="F23" i="5"/>
  <c r="F14" i="5"/>
  <c r="F18" i="5"/>
  <c r="F22" i="5"/>
  <c r="F13" i="5"/>
  <c r="F8" i="5"/>
  <c r="F12" i="5"/>
  <c r="F5" i="5"/>
  <c r="F3" i="5"/>
  <c r="F4" i="5"/>
  <c r="F2" i="5"/>
  <c r="D50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40" i="4"/>
  <c r="F41" i="4"/>
  <c r="F42" i="4"/>
  <c r="F43" i="4"/>
  <c r="F44" i="4"/>
  <c r="F48" i="4"/>
  <c r="F49" i="4"/>
  <c r="F50" i="4"/>
  <c r="F2" i="4"/>
  <c r="E34" i="4"/>
  <c r="E24" i="4"/>
  <c r="E20" i="4"/>
  <c r="E10" i="4"/>
  <c r="E27" i="4"/>
  <c r="E41" i="4"/>
  <c r="E45" i="4"/>
  <c r="E37" i="4"/>
  <c r="E30" i="4"/>
  <c r="E9" i="4"/>
  <c r="E15" i="4"/>
  <c r="E12" i="4"/>
  <c r="E4" i="4"/>
  <c r="E2" i="4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3" i="1"/>
  <c r="Q4" i="1"/>
  <c r="Q5" i="1"/>
  <c r="Q6" i="1"/>
  <c r="Q2" i="1"/>
  <c r="C3" i="1"/>
  <c r="C2" i="1"/>
  <c r="C1" i="1"/>
  <c r="C5" i="1"/>
  <c r="C4" i="1"/>
  <c r="C14" i="1"/>
  <c r="C13" i="1"/>
  <c r="C12" i="1"/>
  <c r="C11" i="1"/>
  <c r="C10" i="1"/>
  <c r="C9" i="1"/>
  <c r="C8" i="1"/>
  <c r="C7" i="1"/>
  <c r="C6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5" i="1"/>
</calcChain>
</file>

<file path=xl/sharedStrings.xml><?xml version="1.0" encoding="utf-8"?>
<sst xmlns="http://schemas.openxmlformats.org/spreadsheetml/2006/main" count="1139" uniqueCount="216">
  <si>
    <t>Лигатура Ni-B</t>
  </si>
  <si>
    <t>Лигатура Ni-Mg</t>
  </si>
  <si>
    <t>Лигатура Al-Cr</t>
  </si>
  <si>
    <t>Лигатура Al-Mn</t>
  </si>
  <si>
    <t>Иванов Иван Иванович</t>
  </si>
  <si>
    <t>Ivanov@namecomp.ru</t>
  </si>
  <si>
    <t>2L6KZG</t>
  </si>
  <si>
    <t>Петров Петр Петрович</t>
  </si>
  <si>
    <t>petrov@namecomp.ru</t>
  </si>
  <si>
    <t>uzWC67</t>
  </si>
  <si>
    <t>Федоров Федор Федорович</t>
  </si>
  <si>
    <t>admin</t>
  </si>
  <si>
    <t>Миронов Вениамин Куприянович</t>
  </si>
  <si>
    <t>mironov@namecomp.ru</t>
  </si>
  <si>
    <t>YOyhfR</t>
  </si>
  <si>
    <t>Ширяев Ермолай Вениаминович</t>
  </si>
  <si>
    <t>shiryev@namecomp.ru</t>
  </si>
  <si>
    <t>RSbvHv</t>
  </si>
  <si>
    <t>Игнатов Кассиан Васильевич</t>
  </si>
  <si>
    <t>ignatov@namecomp.ru</t>
  </si>
  <si>
    <t>rwVDh9</t>
  </si>
  <si>
    <t>Хохлов Владимир Мэлсович</t>
  </si>
  <si>
    <t>hohlov@namecomp.ru</t>
  </si>
  <si>
    <t>LdNyos</t>
  </si>
  <si>
    <t>Стрелков Мстислав Георгьевич</t>
  </si>
  <si>
    <t>strelkov@namecomp.ru</t>
  </si>
  <si>
    <t>gynQMT</t>
  </si>
  <si>
    <t>Беляева Лилия Наумовна</t>
  </si>
  <si>
    <t>Pokup</t>
  </si>
  <si>
    <t>id</t>
  </si>
  <si>
    <t>idn</t>
  </si>
  <si>
    <t>cost</t>
  </si>
  <si>
    <t>Пруток ВТ18У КР 150 ТУ 1-801-5146-03</t>
  </si>
  <si>
    <t>Пруток ВТ20 КР 100 ТУ 1-801-5047-01</t>
  </si>
  <si>
    <t>Пруток ВТ20 КР 140 ТУ 1-801-5047-01</t>
  </si>
  <si>
    <t>Пруток ВТ20 КР 150 ОСТ 1 90107-73</t>
  </si>
  <si>
    <t>Пруток ВТ20 КР 180 ОСТ 1 90107-73</t>
  </si>
  <si>
    <t>Пруток ВТ3-1 КВ 190 ТУ 1-801-5061-02</t>
  </si>
  <si>
    <t>Пруток ВТ5 КР 280 ТУ 1-92-148-89</t>
  </si>
  <si>
    <t>Пруток ВТ6 КР 90 ОСТ 1 90107-73</t>
  </si>
  <si>
    <t>Пруток ВТ6 КР 125 ТУ 1-801-1964-2000</t>
  </si>
  <si>
    <t>Пруток ВТ6 КР 130 ОСТ 1 90107-73</t>
  </si>
  <si>
    <t>Пруток ВТ6 КР 150 ТУ 1-801-1964-2000</t>
  </si>
  <si>
    <t>Пруток ВТ6 КР 160 ТУ 1-801-1964-2000</t>
  </si>
  <si>
    <t>Пруток ВТ6 КР 80 ТУ 1-801-1964-2000</t>
  </si>
  <si>
    <t>Пруток ВТ6ч КР 90 ОСТ 1 90107-73</t>
  </si>
  <si>
    <t>5-642 Штамповка ВТ20 Протокол 1-801-5369-06</t>
  </si>
  <si>
    <t>6-282 Поковка штампованная ТН1 Протокол 630Т-146-2010</t>
  </si>
  <si>
    <t>КМП-1 Штамповка СТ6 Протокол 630Т-112-2009</t>
  </si>
  <si>
    <t>Слиток ВЖ136-ВД КР 320 Протокол 520-162-2009</t>
  </si>
  <si>
    <t>Слиток ВЖ136-ВД КР 400 Протокол 520-161-2009</t>
  </si>
  <si>
    <t>Чушка ВЖ136-ВД</t>
  </si>
  <si>
    <t>Слиток ВЖ159-ИД КР 320 Протокол 520-162-2009</t>
  </si>
  <si>
    <t>Слиток ВЖ159-ИД КР 400 Протокол 520-161-2009</t>
  </si>
  <si>
    <t>Слиток ЭИ698-ВД КР 320 Протокол 520-162-2009</t>
  </si>
  <si>
    <t>Слиток ЭИ698-ВД КР 400 Протокол 520-161-2009</t>
  </si>
  <si>
    <t>ВЖЛ12У-ВИ Пруток КР 65 ОСТ 1 90126-85</t>
  </si>
  <si>
    <t>ВЖЛ12У-ВИ Пруток КР 90 Протокол №7-01/872-2008 ОСТ 1 90126-85</t>
  </si>
  <si>
    <t>ВЖЛ12Э-ВИ Пруток КР 65 ОСТ 1 90126-85</t>
  </si>
  <si>
    <t>ВЖЛ12Э-ВИ Пруток КР 90 ОСТ 1 90126-85</t>
  </si>
  <si>
    <t>ВКНА-2Л Пруток КР 90 Протокол №7-01/804-2008 ТУ 1-92-49-77</t>
  </si>
  <si>
    <t>ВКНА-2Л Пруток КР 90 ТУ 1-92-49-77</t>
  </si>
  <si>
    <t>ЖС30-ВИ Пруток КР 65 ОСТ 1 90126-85</t>
  </si>
  <si>
    <t>ЖС30-ВИ Пруток КР 90 ОСТ 1 90126-85</t>
  </si>
  <si>
    <t>ЖС6У-ВИ Пруток КР 65 ОСТ 1 90126-85</t>
  </si>
  <si>
    <t>ЖС6У-ВИ Пруток КР 65 Протокол №7-01/804-2008 ОСТ 1 90126-85</t>
  </si>
  <si>
    <t>ЖС6У-ВИ Пруток КР 65 Протокол №7-01/804-2008 ТУ 1-92-177-91</t>
  </si>
  <si>
    <t>ЖС6У-ВИ Пруток КР 90 ОСТ 1 90126-85</t>
  </si>
  <si>
    <t>ЖС6У-ВИ Пруток КР 90 Протокол №7-01/804-2008 ТУ 1-92-177-91</t>
  </si>
  <si>
    <t>53-136 Жаропрочная поковка/штамповка ЭИ698-ВД ТУ 1-801-699-79</t>
  </si>
  <si>
    <t>53-139 Жаропрочная поковка/штамповка ЭИ698-ВД ТУ 1-801-870-95</t>
  </si>
  <si>
    <t>53-173А Жаропрочная поковка/штамповка ЭИ698-ВД ТУ 1-801-870-95</t>
  </si>
  <si>
    <t>53-187 Жаропрочная поковка/штамповка ЭИ698-ВД ТУ 1-801-870-95</t>
  </si>
  <si>
    <t>А-209 Жаропрочная поковка/штамповка ЭИ437БУ-ВД ТУ 1-801-959-03</t>
  </si>
  <si>
    <t>А-210 Жаропрочная поковка/штамповка ЭИ437БУ-ВД ТУ 1-801-959-03</t>
  </si>
  <si>
    <t>А-252 Жаропрочная поковка/штамповка ЭИ437БУ-ВД Протокол от 25.11.02</t>
  </si>
  <si>
    <t>120-402 Стальная поковка/штамповка 40ХН2МА ТУ 14-1-950-86</t>
  </si>
  <si>
    <t>120-421 Стальная поковка/штамповка 30ХГСА Протокол от 19.10.06</t>
  </si>
  <si>
    <t>120-422 Стальная поковка/штамповка 30ХГСА Протокол от 19.10.06</t>
  </si>
  <si>
    <t>120-423 Стальная поковка/штамповка 30ХГСА Протокол от 19.10.06</t>
  </si>
  <si>
    <t>А-121 Стальная поковка/штамповка ЭП410У-Ш Протокол от 29.06.78</t>
  </si>
  <si>
    <t>А-122 Стальная поковка/штамповка ЭИ415-Ш Протокол от 05.02.79</t>
  </si>
  <si>
    <t>А-123 Стальная поковка/штамповка ЭИ415-Ш Протокол от 05.02.79</t>
  </si>
  <si>
    <t>А-124 Стальная поковка/штамповка ЭИ415-Ш Протокол от 05.02.79</t>
  </si>
  <si>
    <t>Заготовки гранульные всесторонние СДП-100 ЭП741НП ТУ 1-801-1212-2008</t>
  </si>
  <si>
    <t>Заготовки гранульные всесторонние СДП-105 ЭП741НП ТУ 1-801-1207-2007</t>
  </si>
  <si>
    <t>Заготовки гранульные всесторонние СДП-106 ЭП962П ТУ 1-801-1216-2008</t>
  </si>
  <si>
    <t>Заготовки гранульные всесторонние СДП-110 ЭП741НП ТУ 1-801-1208-2007</t>
  </si>
  <si>
    <t>Заготовки гранульные всесторонние СДП-114 ЭП962П ТУ 1-801-1219-2009</t>
  </si>
  <si>
    <t>Заготовки гранульные всесторонние СДП-115 ЭП962П ТУ 1-801-1219-2009</t>
  </si>
  <si>
    <t>Заготовки гранульные всесторонние СДП-26 ЭП741НП ТУ 1-801-1208-2007</t>
  </si>
  <si>
    <t>Заготовки гранульные СДП-34 ЭП741НП ТУ 1-801-1207-2007</t>
  </si>
  <si>
    <t>Заготовки гранульные СДП-35 ЭП741НП ТУ 1-801-1207-2007</t>
  </si>
  <si>
    <t>Заготовки гранульные СДП-36 ЭП741НП ТУ 1-801-1207-2007</t>
  </si>
  <si>
    <t>Заготовки гранульные СДП-37 ЭП741НП ТУ 1-801-1207-2007</t>
  </si>
  <si>
    <t>Заготовки гранульные СДП-39 ЭП741НП ТУ 1-801-1207-2007</t>
  </si>
  <si>
    <t>Заготовки гранульные СДП-40 ЭП741НП ТУ 1-801-1207-2007</t>
  </si>
  <si>
    <t>Заготовки гранульные СДП-42 ЭП741НП ТУ 1-801-1207-2007</t>
  </si>
  <si>
    <t>Заготовки гранульные СДП-43 ЭП741НП ТУ 1-801-1207-2007</t>
  </si>
  <si>
    <t>Пруток ЭИ698-ВД КР 100 Протокол 1-801-1894-99</t>
  </si>
  <si>
    <t>Пруток ЭИ698-ВД КР 140 Протокол 1-801-1894-99</t>
  </si>
  <si>
    <t>Пруток ЭИ698-ВД КР 160 Протокол 1-801-1894-99</t>
  </si>
  <si>
    <t>Пруток ЭИ698-ВД КР 300 ТУ 14-1-5329-96</t>
  </si>
  <si>
    <t>Пруток ЭИ698-ВД КР 350 ТУ 14-1-5329-96</t>
  </si>
  <si>
    <t>Пруток ЭИ698-ВД КР 90 Протокол 1-801-1913-2000</t>
  </si>
  <si>
    <t>АКП-104 Штамповка ЭИ698-ВД ТУ 1-801-5098-02</t>
  </si>
  <si>
    <t>АКП-106 Штамповка ЭП742-ИД ТУ 1-801-5112-02</t>
  </si>
  <si>
    <t>АКП-107 Штамповка ЭИ698-ВД ТУ 1-801-5098-02</t>
  </si>
  <si>
    <t>АКП-108 Штамповка ЭП975-ИД ТУ 1-801-5141-03</t>
  </si>
  <si>
    <t>АКП-10А Штамповка ЭК79-ИД ТУ 1-801-467-94</t>
  </si>
  <si>
    <t>АКП-114 Штамповка ЭИ698-ВД ТУ 1-801-5187-03</t>
  </si>
  <si>
    <t>АКП-115 Штамповка ЭП742-ИД ТУ 1-801-5195-04</t>
  </si>
  <si>
    <t>120-390 Титановая поковка ВТ3-1 Протокол от 27.10.1962</t>
  </si>
  <si>
    <t>120-426 Титановая поковка ВТ3-1 Протокол от 19.10.06</t>
  </si>
  <si>
    <t>120-427 Титановая поковка ВТ3-1 Протокол от 02.10.07</t>
  </si>
  <si>
    <t>120-428 Титановая поковка ВТ3-1 Протокол от 19.10.06</t>
  </si>
  <si>
    <t>120-453 Титановая поковка ВТ3-1 Протокол от 23.07.09</t>
  </si>
  <si>
    <t>Г-206 Титановая поковка  6AL4V Протокол от 21.08.02</t>
  </si>
  <si>
    <t>Г-212 Титановая поковка  ВТ6 ОСТ 1 90000-70</t>
  </si>
  <si>
    <t>Г-442 Титановая поковка  ВТ6 ТУ 1-801-957-03</t>
  </si>
  <si>
    <t>Г-642 Титановая поковка  ВТ5-1 Протокол от 29.07.03</t>
  </si>
  <si>
    <t>Г-643 Титановая поковка  ВТ5-1 Протокол от 29.07.03</t>
  </si>
  <si>
    <t>Г-644 Титановая поковка  ВТ5-1 Протокол от 29.07.03</t>
  </si>
  <si>
    <t>Г-662 Титановая поковка  ПТ1М ТУ 1-5-132-78</t>
  </si>
  <si>
    <t>Г-793 Титановая поковка  ВТ5-1 Протокол от 13.12.03</t>
  </si>
  <si>
    <t>СГ-392 Титановая поковка ОТ4 Протокол от 24.03.11</t>
  </si>
  <si>
    <t>СК-458 Титановая поковка ВТ5 Протокол от 05.02.09</t>
  </si>
  <si>
    <t>СК-459 Титановая поковка ВТ5 Протокол от 05.02.09</t>
  </si>
  <si>
    <t>СК-461 Титановая поковка ВТ3-1 Протокол от 05.02.09</t>
  </si>
  <si>
    <t>СП-748 Титановая поковка  ОТ4-1 Протокол от 05.12.03</t>
  </si>
  <si>
    <t>Т-1014 Титановая поковка ВТ6 Протокол от 11.09.09</t>
  </si>
  <si>
    <t>Т-1103 Титановая поковка ВТ6 Протокол от 11.09.09</t>
  </si>
  <si>
    <t>ВТ18У</t>
  </si>
  <si>
    <t>ВТ20</t>
  </si>
  <si>
    <t>ВТ3-1</t>
  </si>
  <si>
    <t>ВТ5</t>
  </si>
  <si>
    <t>ВТ6</t>
  </si>
  <si>
    <t>ВТ6ч</t>
  </si>
  <si>
    <t>ТН1</t>
  </si>
  <si>
    <t>СТ6</t>
  </si>
  <si>
    <t>ВЖ136-ВД</t>
  </si>
  <si>
    <t>ВЖ159-ИД</t>
  </si>
  <si>
    <t>ЭИ698-ВД</t>
  </si>
  <si>
    <t>ВЖЛ12У-ИД</t>
  </si>
  <si>
    <t>ВЖЛ12Э-ИД</t>
  </si>
  <si>
    <t>ВКНА-2Л-ВИ</t>
  </si>
  <si>
    <t>ЖС30-ВИ</t>
  </si>
  <si>
    <t>ЖС6У-ВИ</t>
  </si>
  <si>
    <t>ЭИ698</t>
  </si>
  <si>
    <t>ЭИ437БУ</t>
  </si>
  <si>
    <t>40ХН2МА</t>
  </si>
  <si>
    <t>30ХГСА</t>
  </si>
  <si>
    <t>ЭП410У</t>
  </si>
  <si>
    <t>ЭИ415</t>
  </si>
  <si>
    <t>ЭП741НП</t>
  </si>
  <si>
    <t>ЭП962П</t>
  </si>
  <si>
    <t>ЭП742</t>
  </si>
  <si>
    <t>ЭП975</t>
  </si>
  <si>
    <t>ЭК79</t>
  </si>
  <si>
    <t>6AL4V</t>
  </si>
  <si>
    <t>ВТ5-1</t>
  </si>
  <si>
    <t>ПТ1М</t>
  </si>
  <si>
    <t>ОТ4</t>
  </si>
  <si>
    <t>ОТ4-1</t>
  </si>
  <si>
    <t>Пензенская область, город Зарайск, ул. Будапештсткая, 69</t>
  </si>
  <si>
    <t>Амурская область, город Волоколамск, пл. Ломоносова, 94</t>
  </si>
  <si>
    <t>Читинская область, город Лотошино, спуск Домодедовская, 83</t>
  </si>
  <si>
    <t>Ярославская область, город Коломна, бульвар Ленина, 59</t>
  </si>
  <si>
    <t>Рязанская область, город Раменское, пл. Сталина, 86</t>
  </si>
  <si>
    <t>Тульская область, город Павловский Посад, пл. Ломоносова, 29</t>
  </si>
  <si>
    <t>тонна</t>
  </si>
  <si>
    <t>date_order</t>
  </si>
  <si>
    <t>cent</t>
  </si>
  <si>
    <t>name</t>
  </si>
  <si>
    <t>idClient</t>
  </si>
  <si>
    <t>idNomencl</t>
  </si>
  <si>
    <t>idStatus</t>
  </si>
  <si>
    <t>time_creation</t>
  </si>
  <si>
    <t>Г-212 Титановая поковка  ВТ6 ОСТ 1 90000-70</t>
  </si>
  <si>
    <t>Г-442 Титановая поковка  ВТ6 ТУ 1-801-957-03</t>
  </si>
  <si>
    <t>Г-642 Титановая поковка  ВТ5-1 Протокол от 29.07.03</t>
  </si>
  <si>
    <t>Г-643 Титановая поковка  ВТ5-1 Протокол от 29.07.03</t>
  </si>
  <si>
    <t>Г-644 Титановая поковка  ВТ5-1 Протокол от 29.07.03</t>
  </si>
  <si>
    <t>Г-662 Титановая поковка  ПТ1М ТУ 1-5-132-78</t>
  </si>
  <si>
    <t>СП-748 Титановая поковка  ОТ4-1 Протокол от 05.12.03</t>
  </si>
  <si>
    <t>NULL</t>
  </si>
  <si>
    <t>Заготовки гранульные</t>
  </si>
  <si>
    <t>Гранульная металлургия</t>
  </si>
  <si>
    <t>Лигатура</t>
  </si>
  <si>
    <t>Внутреннее потребление</t>
  </si>
  <si>
    <t>Жаропрочные поковки/штамповки</t>
  </si>
  <si>
    <t>Поковки и штамповки</t>
  </si>
  <si>
    <t>Плавление в вакуумных печах</t>
  </si>
  <si>
    <t>Плавление жаропрочных сплавов</t>
  </si>
  <si>
    <t>Деформируемые спл.(вн.об.ц630)</t>
  </si>
  <si>
    <t>Жаропрочные прутки</t>
  </si>
  <si>
    <t>Жаропрочные штамповки/поковки</t>
  </si>
  <si>
    <t>Кованые прутки</t>
  </si>
  <si>
    <t>Титан</t>
  </si>
  <si>
    <t>Титановые поковки</t>
  </si>
  <si>
    <t>Стальные поковки/штамповки</t>
  </si>
  <si>
    <t>Переработка</t>
  </si>
  <si>
    <t>Деформируемые сплавы</t>
  </si>
  <si>
    <t>Жаропрочные шт-ки/поковки</t>
  </si>
  <si>
    <t>Титановые штамповки</t>
  </si>
  <si>
    <t>Г-206 Титановая поковка  6AL4V Протокол от 21.08.02</t>
  </si>
  <si>
    <t>Г-793 Титановая поковка  ВТ5-1 Протокол от 13.12.03</t>
  </si>
  <si>
    <t>Титановые прутки</t>
  </si>
  <si>
    <t>Сотрудник</t>
  </si>
  <si>
    <t>Клиент</t>
  </si>
  <si>
    <t>В обработке</t>
  </si>
  <si>
    <t>В производстве</t>
  </si>
  <si>
    <t>На испытаниях</t>
  </si>
  <si>
    <t>Отгрузка на склад</t>
  </si>
  <si>
    <t>Доставка заказчику</t>
  </si>
  <si>
    <t>Выполнен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</si>
</sst>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6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8"/>
      <name val="Arial"/>
      <family val="2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rgb="FF797979"/>
      <name val="Lato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horizontal="left"/>
    </xf>
  </cellStyleXfs>
  <cellXfs count="70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left" vertical="top"/>
    </xf>
    <xf numFmtId="0" fontId="3" fillId="0" borderId="4" xfId="1" applyFont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vertical="top" wrapText="1"/>
    </xf>
    <xf numFmtId="0" fontId="1" fillId="8" borderId="1" xfId="0" applyFont="1" applyFill="1" applyBorder="1" applyAlignment="1">
      <alignment vertical="top" wrapText="1"/>
    </xf>
    <xf numFmtId="0" fontId="1" fillId="10" borderId="1" xfId="0" applyFont="1" applyFill="1" applyBorder="1" applyAlignment="1">
      <alignment vertical="top" wrapText="1"/>
    </xf>
    <xf numFmtId="0" fontId="1" fillId="11" borderId="1" xfId="0" applyFont="1" applyFill="1" applyBorder="1" applyAlignment="1">
      <alignment vertical="top" wrapText="1"/>
    </xf>
    <xf numFmtId="0" fontId="1" fillId="11" borderId="1" xfId="0" applyFont="1" applyFill="1" applyBorder="1" applyAlignment="1">
      <alignment horizontal="left" vertical="top"/>
    </xf>
    <xf numFmtId="0" fontId="1" fillId="12" borderId="4" xfId="0" applyFont="1" applyFill="1" applyBorder="1" applyAlignment="1">
      <alignment vertical="top" wrapText="1"/>
    </xf>
    <xf numFmtId="0" fontId="1" fillId="12" borderId="1" xfId="0" applyFont="1" applyFill="1" applyBorder="1" applyAlignment="1">
      <alignment vertical="top" wrapText="1"/>
    </xf>
    <xf numFmtId="0" fontId="1" fillId="13" borderId="3" xfId="0" applyFont="1" applyFill="1" applyBorder="1" applyAlignment="1">
      <alignment vertical="top" wrapText="1"/>
    </xf>
    <xf numFmtId="0" fontId="1" fillId="13" borderId="1" xfId="0" applyFont="1" applyFill="1" applyBorder="1" applyAlignment="1">
      <alignment vertical="top" wrapText="1"/>
    </xf>
    <xf numFmtId="0" fontId="1" fillId="15" borderId="1" xfId="0" applyFont="1" applyFill="1" applyBorder="1" applyAlignment="1">
      <alignment vertical="top" wrapText="1"/>
    </xf>
    <xf numFmtId="0" fontId="3" fillId="15" borderId="1" xfId="1" applyFont="1" applyFill="1" applyBorder="1" applyAlignment="1">
      <alignment vertical="top" wrapText="1"/>
    </xf>
    <xf numFmtId="0" fontId="4" fillId="16" borderId="0" xfId="0" applyFont="1" applyFill="1"/>
    <xf numFmtId="0" fontId="5" fillId="0" borderId="0" xfId="0" applyFont="1" applyAlignment="1">
      <alignment vertical="center" wrapText="1"/>
    </xf>
    <xf numFmtId="0" fontId="4" fillId="0" borderId="4" xfId="0" applyFont="1" applyBorder="1"/>
    <xf numFmtId="0" fontId="3" fillId="0" borderId="4" xfId="1" applyFont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1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16" borderId="0" xfId="0" applyFill="1" applyAlignment="1">
      <alignment vertical="top"/>
    </xf>
    <xf numFmtId="0" fontId="3" fillId="16" borderId="4" xfId="0" applyFont="1" applyFill="1" applyBorder="1" applyAlignment="1">
      <alignment horizontal="left" vertical="top"/>
    </xf>
    <xf numFmtId="0" fontId="0" fillId="3" borderId="0" xfId="0" applyFill="1" applyAlignment="1">
      <alignment vertical="top"/>
    </xf>
    <xf numFmtId="0" fontId="3" fillId="3" borderId="4" xfId="0" applyFont="1" applyFill="1" applyBorder="1" applyAlignment="1">
      <alignment horizontal="left" vertical="top"/>
    </xf>
    <xf numFmtId="0" fontId="0" fillId="14" borderId="0" xfId="0" applyFill="1" applyAlignment="1">
      <alignment vertical="top"/>
    </xf>
    <xf numFmtId="0" fontId="3" fillId="14" borderId="4" xfId="0" applyFont="1" applyFill="1" applyBorder="1" applyAlignment="1">
      <alignment horizontal="left" vertical="top"/>
    </xf>
    <xf numFmtId="0" fontId="0" fillId="17" borderId="0" xfId="0" applyFill="1" applyAlignment="1">
      <alignment vertical="top"/>
    </xf>
    <xf numFmtId="0" fontId="3" fillId="17" borderId="4" xfId="0" applyFont="1" applyFill="1" applyBorder="1" applyAlignment="1">
      <alignment horizontal="left" vertical="top"/>
    </xf>
    <xf numFmtId="0" fontId="0" fillId="15" borderId="0" xfId="0" applyFill="1" applyAlignment="1">
      <alignment vertical="top"/>
    </xf>
    <xf numFmtId="0" fontId="3" fillId="15" borderId="4" xfId="0" applyFont="1" applyFill="1" applyBorder="1" applyAlignment="1">
      <alignment horizontal="left" vertical="top"/>
    </xf>
    <xf numFmtId="0" fontId="0" fillId="18" borderId="0" xfId="0" applyFill="1" applyAlignment="1">
      <alignment vertical="top"/>
    </xf>
    <xf numFmtId="0" fontId="3" fillId="18" borderId="4" xfId="0" applyFont="1" applyFill="1" applyBorder="1" applyAlignment="1">
      <alignment horizontal="left" vertical="top"/>
    </xf>
    <xf numFmtId="0" fontId="0" fillId="19" borderId="0" xfId="0" applyFill="1" applyAlignment="1">
      <alignment vertical="top"/>
    </xf>
    <xf numFmtId="0" fontId="3" fillId="19" borderId="4" xfId="0" applyFont="1" applyFill="1" applyBorder="1" applyAlignment="1">
      <alignment horizontal="left" vertical="top"/>
    </xf>
    <xf numFmtId="0" fontId="0" fillId="7" borderId="0" xfId="0" applyFill="1" applyAlignment="1">
      <alignment vertical="top"/>
    </xf>
    <xf numFmtId="0" fontId="3" fillId="7" borderId="4" xfId="0" applyFont="1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3" fillId="4" borderId="4" xfId="0" applyFont="1" applyFill="1" applyBorder="1" applyAlignment="1">
      <alignment horizontal="left" vertical="top"/>
    </xf>
    <xf numFmtId="0" fontId="0" fillId="20" borderId="0" xfId="0" applyFill="1" applyAlignment="1">
      <alignment vertical="top"/>
    </xf>
    <xf numFmtId="0" fontId="3" fillId="20" borderId="4" xfId="0" applyFont="1" applyFill="1" applyBorder="1" applyAlignment="1">
      <alignment horizontal="left" vertical="top"/>
    </xf>
    <xf numFmtId="0" fontId="0" fillId="21" borderId="0" xfId="0" applyFill="1" applyAlignment="1">
      <alignment vertical="top"/>
    </xf>
    <xf numFmtId="0" fontId="3" fillId="21" borderId="4" xfId="1" applyFont="1" applyFill="1" applyBorder="1" applyAlignment="1">
      <alignment horizontal="left" vertical="top"/>
    </xf>
    <xf numFmtId="0" fontId="0" fillId="22" borderId="0" xfId="0" applyFill="1" applyAlignment="1">
      <alignment vertical="top"/>
    </xf>
    <xf numFmtId="0" fontId="3" fillId="22" borderId="4" xfId="0" applyFont="1" applyFill="1" applyBorder="1" applyAlignment="1">
      <alignment horizontal="left" vertical="top"/>
    </xf>
    <xf numFmtId="0" fontId="0" fillId="9" borderId="0" xfId="0" applyFill="1" applyAlignment="1">
      <alignment vertical="top"/>
    </xf>
    <xf numFmtId="0" fontId="3" fillId="9" borderId="4" xfId="0" applyFont="1" applyFill="1" applyBorder="1" applyAlignment="1">
      <alignment horizontal="left" vertical="top"/>
    </xf>
    <xf numFmtId="21" fontId="0" fillId="0" borderId="0" xfId="0" applyNumberFormat="1"/>
    <xf numFmtId="14" fontId="0" fillId="0" borderId="0" xfId="0" applyNumberFormat="1" applyAlignment="1">
      <alignment vertical="center" wrapText="1"/>
    </xf>
    <xf numFmtId="0" fontId="0" fillId="21" borderId="0" xfId="0" applyFill="1"/>
    <xf numFmtId="0" fontId="0" fillId="21" borderId="0" xfId="0" applyFill="1" applyAlignment="1">
      <alignment vertical="center" wrapText="1"/>
    </xf>
    <xf numFmtId="0" fontId="5" fillId="21" borderId="0" xfId="0" applyFont="1" applyFill="1" applyAlignment="1">
      <alignment vertical="center" wrapText="1"/>
    </xf>
    <xf numFmtId="14" fontId="0" fillId="21" borderId="0" xfId="0" applyNumberFormat="1" applyFill="1"/>
    <xf numFmtId="164" fontId="0" fillId="21" borderId="0" xfId="0" applyNumberFormat="1" applyFill="1"/>
    <xf numFmtId="21" fontId="0" fillId="21" borderId="0" xfId="0" applyNumberFormat="1" applyFill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opLeftCell="B1" workbookViewId="0">
      <selection activeCell="I9" sqref="I9"/>
    </sheetView>
  </sheetViews>
  <sheetFormatPr defaultRowHeight="14.5"/>
  <cols>
    <col min="2" max="2" width="16.08984375" customWidth="1"/>
    <col min="3" max="3" width="10.453125" customWidth="1"/>
    <col min="4" max="4" width="16.6328125" customWidth="1"/>
    <col min="8" max="8" width="6.6328125" customWidth="1"/>
    <col min="9" max="9" width="21.08984375" customWidth="1"/>
    <col min="10" max="10" width="26.08984375" customWidth="1"/>
    <col min="11" max="11" width="25.6328125" customWidth="1"/>
    <col min="12" max="12" width="21.453125" customWidth="1"/>
    <col min="13" max="13" width="12.08984375" customWidth="1"/>
    <col min="14" max="14" width="30.7265625" customWidth="1"/>
    <col min="15" max="15" width="28.81640625" style="30" customWidth="1"/>
    <col min="17" max="18" width="8.7265625" style="34"/>
    <col min="19" max="19" width="25.36328125" customWidth="1"/>
  </cols>
  <sheetData>
    <row r="1" spans="1:21" ht="28.5" customHeight="1">
      <c r="A1" s="28">
        <v>1</v>
      </c>
      <c r="B1" s="28">
        <v>510</v>
      </c>
      <c r="C1" s="28">
        <f>VLOOKUP(D1,'впр материалы'!$A$1:$B$36,2,0)</f>
        <v>9</v>
      </c>
      <c r="D1" s="12" t="s">
        <v>140</v>
      </c>
      <c r="E1">
        <v>1</v>
      </c>
      <c r="F1" s="64">
        <v>510</v>
      </c>
      <c r="G1" s="64">
        <v>1</v>
      </c>
      <c r="I1" s="7" t="s">
        <v>4</v>
      </c>
      <c r="J1">
        <v>1</v>
      </c>
      <c r="K1" s="7" t="s">
        <v>5</v>
      </c>
      <c r="L1" s="7" t="s">
        <v>6</v>
      </c>
      <c r="O1" s="30" t="s">
        <v>29</v>
      </c>
      <c r="Q1" s="35" t="s">
        <v>31</v>
      </c>
      <c r="R1" s="35" t="s">
        <v>30</v>
      </c>
      <c r="U1" s="7" t="s">
        <v>31</v>
      </c>
    </row>
    <row r="2" spans="1:21" ht="29.5" customHeight="1">
      <c r="A2" s="28">
        <v>1</v>
      </c>
      <c r="B2" s="28">
        <v>510</v>
      </c>
      <c r="C2" s="28">
        <f>VLOOKUP(D2,'впр материалы'!$A$1:$B$36,2,0)</f>
        <v>10</v>
      </c>
      <c r="D2" s="12" t="s">
        <v>141</v>
      </c>
      <c r="E2">
        <v>2</v>
      </c>
      <c r="F2" s="64">
        <v>630</v>
      </c>
      <c r="G2" s="64">
        <v>2</v>
      </c>
      <c r="I2" s="7" t="s">
        <v>7</v>
      </c>
      <c r="J2">
        <v>1</v>
      </c>
      <c r="K2" s="7" t="s">
        <v>8</v>
      </c>
      <c r="L2" s="7" t="s">
        <v>9</v>
      </c>
      <c r="N2" s="8" t="s">
        <v>32</v>
      </c>
      <c r="P2" t="s">
        <v>170</v>
      </c>
      <c r="Q2" s="34">
        <f>ROUNDDOWN(U2,-3)</f>
        <v>416000</v>
      </c>
      <c r="R2" s="9">
        <v>631342</v>
      </c>
      <c r="S2" s="8" t="s">
        <v>32</v>
      </c>
      <c r="T2">
        <v>1</v>
      </c>
      <c r="U2">
        <v>416266</v>
      </c>
    </row>
    <row r="3" spans="1:21" ht="38.5" customHeight="1">
      <c r="A3" s="28">
        <v>1</v>
      </c>
      <c r="B3" s="28">
        <v>510</v>
      </c>
      <c r="C3" s="28">
        <f>VLOOKUP(D3,'впр материалы'!$A$1:$B$36,2,0)</f>
        <v>11</v>
      </c>
      <c r="D3" s="12" t="s">
        <v>0</v>
      </c>
      <c r="E3">
        <v>3</v>
      </c>
      <c r="F3" s="64">
        <v>520</v>
      </c>
      <c r="G3" s="64">
        <v>3</v>
      </c>
      <c r="I3" s="7" t="s">
        <v>10</v>
      </c>
      <c r="J3">
        <v>1</v>
      </c>
      <c r="K3" s="7" t="s">
        <v>11</v>
      </c>
      <c r="L3" s="7">
        <v>1</v>
      </c>
      <c r="N3" s="8" t="s">
        <v>33</v>
      </c>
      <c r="P3" t="s">
        <v>170</v>
      </c>
      <c r="Q3" s="34">
        <f t="shared" ref="Q3:Q66" si="0">ROUNDDOWN(U3,-3)</f>
        <v>636000</v>
      </c>
      <c r="R3" s="9">
        <v>63673</v>
      </c>
      <c r="S3" s="8" t="s">
        <v>33</v>
      </c>
      <c r="T3">
        <v>2</v>
      </c>
      <c r="U3">
        <v>636087</v>
      </c>
    </row>
    <row r="4" spans="1:21" ht="32" customHeight="1">
      <c r="A4" s="28">
        <v>1</v>
      </c>
      <c r="B4" s="28">
        <v>510</v>
      </c>
      <c r="C4" s="28">
        <f>VLOOKUP(D4,'впр материалы'!$A$1:$B$36,2,0)</f>
        <v>12</v>
      </c>
      <c r="D4" s="12" t="s">
        <v>1</v>
      </c>
      <c r="E4">
        <v>4</v>
      </c>
      <c r="F4" s="64">
        <v>40</v>
      </c>
      <c r="G4" s="64">
        <v>4</v>
      </c>
      <c r="I4" s="7"/>
      <c r="K4" s="7"/>
      <c r="L4" s="7"/>
      <c r="N4" s="8" t="s">
        <v>34</v>
      </c>
      <c r="P4" t="s">
        <v>170</v>
      </c>
      <c r="Q4" s="58">
        <f t="shared" si="0"/>
        <v>326000</v>
      </c>
      <c r="R4" s="59">
        <v>63635</v>
      </c>
      <c r="S4" s="8" t="s">
        <v>34</v>
      </c>
      <c r="T4">
        <v>3</v>
      </c>
      <c r="U4">
        <v>326894</v>
      </c>
    </row>
    <row r="5" spans="1:21" ht="40" customHeight="1">
      <c r="A5" s="28">
        <v>1</v>
      </c>
      <c r="B5" s="28">
        <v>510</v>
      </c>
      <c r="C5" s="28">
        <f>VLOOKUP(D5,'впр материалы'!$A$1:$B$36,2,0)</f>
        <v>7</v>
      </c>
      <c r="D5" s="13" t="s">
        <v>138</v>
      </c>
      <c r="E5">
        <v>5</v>
      </c>
      <c r="I5" s="7"/>
      <c r="K5" s="7"/>
      <c r="L5" s="7"/>
      <c r="N5" s="8" t="s">
        <v>35</v>
      </c>
      <c r="P5" t="s">
        <v>170</v>
      </c>
      <c r="Q5" s="58">
        <f t="shared" si="0"/>
        <v>418000</v>
      </c>
      <c r="R5" s="59">
        <v>631364</v>
      </c>
      <c r="S5" s="8" t="s">
        <v>35</v>
      </c>
      <c r="T5">
        <v>4</v>
      </c>
      <c r="U5">
        <v>418758</v>
      </c>
    </row>
    <row r="6" spans="1:21" ht="37" customHeight="1">
      <c r="A6" s="28">
        <v>1</v>
      </c>
      <c r="B6" s="28">
        <v>510</v>
      </c>
      <c r="C6" s="28">
        <f>VLOOKUP(D6,'впр материалы'!$A$1:$B$36,2,0)</f>
        <v>8</v>
      </c>
      <c r="D6" s="14" t="s">
        <v>139</v>
      </c>
      <c r="E6">
        <v>6</v>
      </c>
      <c r="I6" s="7"/>
      <c r="K6" s="7"/>
      <c r="L6" s="7"/>
      <c r="N6" s="8" t="s">
        <v>36</v>
      </c>
      <c r="P6" t="s">
        <v>170</v>
      </c>
      <c r="Q6" s="58">
        <f t="shared" si="0"/>
        <v>545000</v>
      </c>
      <c r="R6" s="59">
        <v>631242</v>
      </c>
      <c r="S6" s="8" t="s">
        <v>36</v>
      </c>
      <c r="T6">
        <v>5</v>
      </c>
      <c r="U6">
        <v>545608</v>
      </c>
    </row>
    <row r="7" spans="1:21" ht="32" customHeight="1">
      <c r="A7" s="28">
        <v>1</v>
      </c>
      <c r="B7" s="28">
        <v>510</v>
      </c>
      <c r="C7" s="28">
        <f>VLOOKUP(D7,'впр материалы'!$A$1:$B$36,2,0)</f>
        <v>28</v>
      </c>
      <c r="D7" s="15" t="s">
        <v>155</v>
      </c>
      <c r="E7">
        <v>7</v>
      </c>
      <c r="I7" s="7"/>
      <c r="K7" s="7"/>
      <c r="L7" s="7"/>
      <c r="N7" s="8" t="s">
        <v>37</v>
      </c>
      <c r="P7" t="s">
        <v>170</v>
      </c>
      <c r="Q7" s="36">
        <f t="shared" si="0"/>
        <v>310000</v>
      </c>
      <c r="R7" s="37">
        <v>63768</v>
      </c>
      <c r="S7" s="8" t="s">
        <v>37</v>
      </c>
      <c r="T7">
        <v>6</v>
      </c>
      <c r="U7">
        <v>310387</v>
      </c>
    </row>
    <row r="8" spans="1:21" ht="36" customHeight="1">
      <c r="A8" s="28">
        <v>1</v>
      </c>
      <c r="B8" s="28">
        <v>510</v>
      </c>
      <c r="C8" s="28">
        <f>VLOOKUP(D8,'впр материалы'!$A$1:$B$36,2,0)</f>
        <v>29</v>
      </c>
      <c r="D8" s="15" t="s">
        <v>156</v>
      </c>
      <c r="E8">
        <v>8</v>
      </c>
      <c r="I8" s="7"/>
      <c r="K8" s="7"/>
      <c r="L8" s="7"/>
      <c r="N8" s="8" t="s">
        <v>38</v>
      </c>
      <c r="P8" t="s">
        <v>170</v>
      </c>
      <c r="Q8" s="36">
        <f t="shared" si="0"/>
        <v>301000</v>
      </c>
      <c r="R8" s="37">
        <v>631832</v>
      </c>
      <c r="S8" s="8" t="s">
        <v>38</v>
      </c>
      <c r="T8">
        <v>7</v>
      </c>
      <c r="U8">
        <v>301319</v>
      </c>
    </row>
    <row r="9" spans="1:21" ht="30.5" customHeight="1">
      <c r="A9" s="28">
        <v>2</v>
      </c>
      <c r="B9" s="28">
        <v>630</v>
      </c>
      <c r="C9" s="28">
        <f>VLOOKUP(D9,'впр материалы'!$A$1:$B$36,2,0)</f>
        <v>30</v>
      </c>
      <c r="D9" s="15" t="s">
        <v>157</v>
      </c>
      <c r="E9">
        <v>9</v>
      </c>
      <c r="I9" s="7"/>
      <c r="K9" s="7"/>
      <c r="L9" s="7"/>
      <c r="N9" s="9" t="s">
        <v>39</v>
      </c>
      <c r="P9" t="s">
        <v>170</v>
      </c>
      <c r="Q9" s="36">
        <f t="shared" si="0"/>
        <v>694000</v>
      </c>
      <c r="R9" s="37">
        <v>631433</v>
      </c>
      <c r="S9" s="9" t="s">
        <v>39</v>
      </c>
      <c r="T9">
        <v>8</v>
      </c>
      <c r="U9">
        <v>694982</v>
      </c>
    </row>
    <row r="10" spans="1:21" ht="42" customHeight="1">
      <c r="A10" s="28">
        <v>2</v>
      </c>
      <c r="B10" s="28">
        <v>630</v>
      </c>
      <c r="C10" s="28">
        <f>VLOOKUP(D10,'впр материалы'!$A$1:$B$36,2,0)</f>
        <v>31</v>
      </c>
      <c r="D10" s="15" t="s">
        <v>158</v>
      </c>
      <c r="E10">
        <v>10</v>
      </c>
      <c r="I10" s="7"/>
      <c r="K10" s="7"/>
      <c r="L10" s="7"/>
      <c r="N10" s="8" t="s">
        <v>40</v>
      </c>
      <c r="P10" t="s">
        <v>170</v>
      </c>
      <c r="Q10" s="36">
        <f t="shared" si="0"/>
        <v>501000</v>
      </c>
      <c r="R10" s="37">
        <v>6334</v>
      </c>
      <c r="S10" s="8" t="s">
        <v>40</v>
      </c>
      <c r="T10">
        <v>9</v>
      </c>
      <c r="U10">
        <v>501745</v>
      </c>
    </row>
    <row r="11" spans="1:21" ht="41.5" customHeight="1">
      <c r="A11" s="28">
        <v>2</v>
      </c>
      <c r="B11" s="28">
        <v>630</v>
      </c>
      <c r="C11" s="28">
        <f>VLOOKUP(D11,'впр материалы'!$A$1:$B$36,2,0)</f>
        <v>35</v>
      </c>
      <c r="D11" s="16" t="s">
        <v>162</v>
      </c>
      <c r="E11">
        <v>11</v>
      </c>
      <c r="N11" s="8" t="s">
        <v>41</v>
      </c>
      <c r="P11" t="s">
        <v>170</v>
      </c>
      <c r="Q11" s="36">
        <f t="shared" si="0"/>
        <v>551000</v>
      </c>
      <c r="R11" s="37">
        <v>631431</v>
      </c>
      <c r="S11" s="8" t="s">
        <v>41</v>
      </c>
      <c r="T11">
        <v>10</v>
      </c>
      <c r="U11">
        <v>551651</v>
      </c>
    </row>
    <row r="12" spans="1:21" ht="34.5" customHeight="1">
      <c r="A12" s="28">
        <v>2</v>
      </c>
      <c r="B12" s="28">
        <v>630</v>
      </c>
      <c r="C12" s="28">
        <f>VLOOKUP(D12,'впр материалы'!$A$1:$B$36,2,0)</f>
        <v>36</v>
      </c>
      <c r="D12" s="16" t="s">
        <v>163</v>
      </c>
      <c r="E12">
        <v>12</v>
      </c>
      <c r="N12" s="8" t="s">
        <v>42</v>
      </c>
      <c r="P12" t="s">
        <v>170</v>
      </c>
      <c r="Q12" s="36">
        <f t="shared" si="0"/>
        <v>387000</v>
      </c>
      <c r="R12" s="37">
        <v>63563</v>
      </c>
      <c r="S12" s="8" t="s">
        <v>42</v>
      </c>
      <c r="T12">
        <v>11</v>
      </c>
      <c r="U12">
        <v>387340</v>
      </c>
    </row>
    <row r="13" spans="1:21" ht="34.5" customHeight="1">
      <c r="A13" s="28">
        <v>2</v>
      </c>
      <c r="B13" s="28">
        <v>630</v>
      </c>
      <c r="C13" s="28">
        <f>VLOOKUP(D13,'впр материалы'!$A$1:$B$36,2,0)</f>
        <v>1</v>
      </c>
      <c r="D13" s="17" t="s">
        <v>132</v>
      </c>
      <c r="E13">
        <v>13</v>
      </c>
      <c r="N13" s="8" t="s">
        <v>43</v>
      </c>
      <c r="P13" t="s">
        <v>170</v>
      </c>
      <c r="Q13" s="36">
        <f t="shared" si="0"/>
        <v>543000</v>
      </c>
      <c r="R13" s="37">
        <v>63615</v>
      </c>
      <c r="S13" s="8" t="s">
        <v>43</v>
      </c>
      <c r="T13">
        <v>12</v>
      </c>
      <c r="U13">
        <v>543561</v>
      </c>
    </row>
    <row r="14" spans="1:21" ht="35" customHeight="1">
      <c r="A14" s="28">
        <v>2</v>
      </c>
      <c r="B14" s="28">
        <v>630</v>
      </c>
      <c r="C14" s="28">
        <f>VLOOKUP(D14,'впр материалы'!$A$1:$B$36,2,0)</f>
        <v>2</v>
      </c>
      <c r="D14" s="17" t="s">
        <v>133</v>
      </c>
      <c r="E14">
        <v>14</v>
      </c>
      <c r="N14" s="8" t="s">
        <v>44</v>
      </c>
      <c r="P14" t="s">
        <v>170</v>
      </c>
      <c r="Q14" s="34">
        <f t="shared" si="0"/>
        <v>428000</v>
      </c>
      <c r="R14" s="9">
        <v>63579</v>
      </c>
      <c r="S14" s="8" t="s">
        <v>44</v>
      </c>
      <c r="T14">
        <v>13</v>
      </c>
      <c r="U14">
        <v>428874</v>
      </c>
    </row>
    <row r="15" spans="1:21" ht="38.5" customHeight="1">
      <c r="A15" s="28">
        <v>2</v>
      </c>
      <c r="B15" s="28">
        <v>630</v>
      </c>
      <c r="C15" s="28">
        <f>VLOOKUP(D15,'впр материалы'!$A$1:$B$36,2,0)</f>
        <v>13</v>
      </c>
      <c r="D15" s="18" t="s">
        <v>2</v>
      </c>
      <c r="E15">
        <v>15</v>
      </c>
      <c r="N15" s="8" t="s">
        <v>45</v>
      </c>
      <c r="P15" t="s">
        <v>170</v>
      </c>
      <c r="Q15" s="34">
        <f t="shared" si="0"/>
        <v>303000</v>
      </c>
      <c r="R15" s="9">
        <v>632542</v>
      </c>
      <c r="S15" s="8" t="s">
        <v>45</v>
      </c>
      <c r="T15">
        <v>14</v>
      </c>
      <c r="U15">
        <v>303875</v>
      </c>
    </row>
    <row r="16" spans="1:21" ht="39.5" customHeight="1">
      <c r="A16" s="28">
        <v>2</v>
      </c>
      <c r="B16" s="28">
        <v>630</v>
      </c>
      <c r="C16" s="28">
        <f>VLOOKUP(D16,'впр материалы'!$A$1:$B$36,2,0)</f>
        <v>14</v>
      </c>
      <c r="D16" s="18" t="s">
        <v>3</v>
      </c>
      <c r="E16">
        <v>16</v>
      </c>
      <c r="N16" s="8" t="s">
        <v>46</v>
      </c>
      <c r="P16" t="s">
        <v>170</v>
      </c>
      <c r="Q16" s="34">
        <f t="shared" si="0"/>
        <v>477000</v>
      </c>
      <c r="R16" s="9">
        <v>634892</v>
      </c>
      <c r="S16" s="8" t="s">
        <v>46</v>
      </c>
      <c r="T16">
        <v>15</v>
      </c>
      <c r="U16">
        <v>477125</v>
      </c>
    </row>
    <row r="17" spans="1:21" ht="42">
      <c r="A17" s="28">
        <v>2</v>
      </c>
      <c r="B17" s="28">
        <v>630</v>
      </c>
      <c r="C17" s="28">
        <f>VLOOKUP(D17,'впр материалы'!$A$1:$B$36,2,0)</f>
        <v>15</v>
      </c>
      <c r="D17" s="18" t="s">
        <v>142</v>
      </c>
      <c r="E17">
        <v>17</v>
      </c>
      <c r="N17" s="8" t="s">
        <v>47</v>
      </c>
      <c r="P17" t="s">
        <v>170</v>
      </c>
      <c r="Q17" s="34">
        <f t="shared" si="0"/>
        <v>307000</v>
      </c>
      <c r="R17" s="9">
        <v>63945</v>
      </c>
      <c r="S17" s="8" t="s">
        <v>47</v>
      </c>
      <c r="T17">
        <v>16</v>
      </c>
      <c r="U17">
        <v>307894</v>
      </c>
    </row>
    <row r="18" spans="1:21" ht="45" customHeight="1">
      <c r="A18" s="28">
        <v>3</v>
      </c>
      <c r="B18" s="28">
        <v>520</v>
      </c>
      <c r="C18" s="28">
        <f>VLOOKUP(D18,'впр материалы'!$A$1:$B$36,2,0)</f>
        <v>16</v>
      </c>
      <c r="D18" s="18" t="s">
        <v>143</v>
      </c>
      <c r="E18">
        <v>18</v>
      </c>
      <c r="N18" s="8" t="s">
        <v>48</v>
      </c>
      <c r="P18" t="s">
        <v>170</v>
      </c>
      <c r="Q18" s="34">
        <f t="shared" si="0"/>
        <v>425000</v>
      </c>
      <c r="R18" s="9">
        <v>63798</v>
      </c>
      <c r="S18" s="8" t="s">
        <v>48</v>
      </c>
      <c r="T18">
        <v>17</v>
      </c>
      <c r="U18">
        <v>425135</v>
      </c>
    </row>
    <row r="19" spans="1:21" ht="40" customHeight="1">
      <c r="A19" s="28">
        <v>3</v>
      </c>
      <c r="B19" s="28">
        <v>520</v>
      </c>
      <c r="C19" s="28">
        <f>VLOOKUP(D19,'впр материалы'!$A$1:$B$36,2,0)</f>
        <v>32</v>
      </c>
      <c r="D19" s="19" t="s">
        <v>159</v>
      </c>
      <c r="E19">
        <v>19</v>
      </c>
      <c r="N19" s="8" t="s">
        <v>49</v>
      </c>
      <c r="P19" t="s">
        <v>170</v>
      </c>
      <c r="Q19" s="34">
        <f t="shared" si="0"/>
        <v>689000</v>
      </c>
      <c r="R19" s="9">
        <v>52519</v>
      </c>
      <c r="S19" s="8" t="s">
        <v>49</v>
      </c>
      <c r="T19">
        <v>18</v>
      </c>
      <c r="U19">
        <v>689018</v>
      </c>
    </row>
    <row r="20" spans="1:21" ht="36" customHeight="1">
      <c r="A20" s="28">
        <v>3</v>
      </c>
      <c r="B20" s="28">
        <v>520</v>
      </c>
      <c r="C20" s="28">
        <f>VLOOKUP(D20,'впр материалы'!$A$1:$B$36,2,0)</f>
        <v>33</v>
      </c>
      <c r="D20" s="19" t="s">
        <v>160</v>
      </c>
      <c r="E20">
        <v>20</v>
      </c>
      <c r="N20" s="8" t="s">
        <v>50</v>
      </c>
      <c r="P20" t="s">
        <v>170</v>
      </c>
      <c r="Q20" s="34">
        <f t="shared" si="0"/>
        <v>489000</v>
      </c>
      <c r="R20" s="9">
        <v>52435</v>
      </c>
      <c r="S20" s="8" t="s">
        <v>50</v>
      </c>
      <c r="T20">
        <v>19</v>
      </c>
      <c r="U20">
        <v>489890</v>
      </c>
    </row>
    <row r="21" spans="1:21" ht="33.5" customHeight="1">
      <c r="A21" s="28">
        <v>3</v>
      </c>
      <c r="B21" s="28">
        <v>520</v>
      </c>
      <c r="C21" s="28">
        <f>VLOOKUP(D21,'впр материалы'!$A$1:$B$36,2,0)</f>
        <v>34</v>
      </c>
      <c r="D21" s="19" t="s">
        <v>161</v>
      </c>
      <c r="E21">
        <v>21</v>
      </c>
      <c r="N21" s="8" t="s">
        <v>51</v>
      </c>
      <c r="P21" t="s">
        <v>170</v>
      </c>
      <c r="Q21" s="34">
        <f t="shared" si="0"/>
        <v>566000</v>
      </c>
      <c r="R21" s="9">
        <v>52154</v>
      </c>
      <c r="S21" s="8" t="s">
        <v>51</v>
      </c>
      <c r="T21">
        <v>20</v>
      </c>
      <c r="U21">
        <v>566192</v>
      </c>
    </row>
    <row r="22" spans="1:21" ht="28">
      <c r="A22" s="28">
        <v>3</v>
      </c>
      <c r="B22" s="28">
        <v>520</v>
      </c>
      <c r="C22" s="28">
        <f>VLOOKUP(D22,'впр материалы'!$A$1:$B$36,2,0)</f>
        <v>3</v>
      </c>
      <c r="D22" s="20" t="s">
        <v>134</v>
      </c>
      <c r="E22">
        <v>22</v>
      </c>
      <c r="N22" s="8" t="s">
        <v>52</v>
      </c>
      <c r="P22" t="s">
        <v>170</v>
      </c>
      <c r="Q22" s="34">
        <f t="shared" si="0"/>
        <v>683000</v>
      </c>
      <c r="R22" s="9">
        <v>52218</v>
      </c>
      <c r="S22" s="8" t="s">
        <v>52</v>
      </c>
      <c r="T22">
        <v>21</v>
      </c>
      <c r="U22">
        <v>683786</v>
      </c>
    </row>
    <row r="23" spans="1:21" ht="35" customHeight="1">
      <c r="A23" s="28">
        <v>3</v>
      </c>
      <c r="B23" s="28">
        <v>520</v>
      </c>
      <c r="C23" s="28">
        <f>VLOOKUP(D23,'впр материалы'!$A$1:$B$36,2,0)</f>
        <v>4</v>
      </c>
      <c r="D23" s="20" t="s">
        <v>135</v>
      </c>
      <c r="E23">
        <v>23</v>
      </c>
      <c r="N23" s="8" t="s">
        <v>53</v>
      </c>
      <c r="P23" t="s">
        <v>170</v>
      </c>
      <c r="Q23" s="34">
        <f t="shared" si="0"/>
        <v>656000</v>
      </c>
      <c r="R23" s="9">
        <v>5281</v>
      </c>
      <c r="S23" s="8" t="s">
        <v>53</v>
      </c>
      <c r="T23">
        <v>22</v>
      </c>
      <c r="U23">
        <v>656279</v>
      </c>
    </row>
    <row r="24" spans="1:21" ht="25.5" customHeight="1">
      <c r="A24" s="28">
        <v>3</v>
      </c>
      <c r="B24" s="28">
        <v>520</v>
      </c>
      <c r="C24" s="28">
        <f>VLOOKUP(D24,'впр материалы'!$A$1:$B$36,2,0)</f>
        <v>5</v>
      </c>
      <c r="D24" s="21" t="s">
        <v>136</v>
      </c>
      <c r="E24">
        <v>24</v>
      </c>
      <c r="N24" s="8" t="s">
        <v>0</v>
      </c>
      <c r="P24" t="s">
        <v>170</v>
      </c>
      <c r="Q24" s="34">
        <f t="shared" si="0"/>
        <v>420000</v>
      </c>
      <c r="R24" s="9">
        <v>52178</v>
      </c>
      <c r="S24" s="8" t="s">
        <v>0</v>
      </c>
      <c r="T24">
        <v>23</v>
      </c>
      <c r="U24">
        <v>420738</v>
      </c>
    </row>
    <row r="25" spans="1:21" ht="34.5" customHeight="1">
      <c r="A25" s="28">
        <v>3</v>
      </c>
      <c r="B25" s="28">
        <v>520</v>
      </c>
      <c r="C25" s="28">
        <f>VLOOKUP(D25,'впр материалы'!$A$1:$B$36,2,0)</f>
        <v>6</v>
      </c>
      <c r="D25" s="20" t="s">
        <v>137</v>
      </c>
      <c r="E25">
        <v>25</v>
      </c>
      <c r="N25" s="8" t="s">
        <v>1</v>
      </c>
      <c r="P25" t="s">
        <v>170</v>
      </c>
      <c r="Q25" s="34">
        <f t="shared" si="0"/>
        <v>431000</v>
      </c>
      <c r="R25" s="9">
        <v>52637</v>
      </c>
      <c r="S25" s="8" t="s">
        <v>1</v>
      </c>
      <c r="T25">
        <v>24</v>
      </c>
      <c r="U25">
        <v>431764</v>
      </c>
    </row>
    <row r="26" spans="1:21" ht="39.5" customHeight="1">
      <c r="A26" s="28">
        <v>3</v>
      </c>
      <c r="B26" s="28">
        <v>520</v>
      </c>
      <c r="C26" s="28">
        <f>VLOOKUP(D26,'впр материалы'!$A$1:$B$36,2,0)</f>
        <v>23</v>
      </c>
      <c r="D26" s="22" t="s">
        <v>150</v>
      </c>
      <c r="E26">
        <v>26</v>
      </c>
      <c r="N26" s="8" t="s">
        <v>2</v>
      </c>
      <c r="P26" t="s">
        <v>170</v>
      </c>
      <c r="Q26" s="34">
        <f t="shared" si="0"/>
        <v>453000</v>
      </c>
      <c r="R26" s="9">
        <v>524</v>
      </c>
      <c r="S26" s="8" t="s">
        <v>2</v>
      </c>
      <c r="T26">
        <v>25</v>
      </c>
      <c r="U26">
        <v>453673</v>
      </c>
    </row>
    <row r="27" spans="1:21" ht="39.5" customHeight="1">
      <c r="A27" s="28">
        <v>3</v>
      </c>
      <c r="B27" s="28">
        <v>520</v>
      </c>
      <c r="C27" s="28">
        <f>VLOOKUP(D27,'впр материалы'!$A$1:$B$36,2,0)</f>
        <v>24</v>
      </c>
      <c r="D27" s="22" t="s">
        <v>151</v>
      </c>
      <c r="E27">
        <v>27</v>
      </c>
      <c r="N27" s="8" t="s">
        <v>3</v>
      </c>
      <c r="P27" t="s">
        <v>170</v>
      </c>
      <c r="Q27" s="38">
        <f t="shared" si="0"/>
        <v>553000</v>
      </c>
      <c r="R27" s="39">
        <v>52488</v>
      </c>
      <c r="S27" s="8" t="s">
        <v>3</v>
      </c>
      <c r="T27">
        <v>26</v>
      </c>
      <c r="U27">
        <v>553032</v>
      </c>
    </row>
    <row r="28" spans="1:21" ht="35.5" customHeight="1">
      <c r="A28" s="28">
        <v>4</v>
      </c>
      <c r="B28" s="28">
        <v>40</v>
      </c>
      <c r="C28" s="28">
        <f>VLOOKUP(D28,'впр материалы'!$A$1:$B$36,2,0)</f>
        <v>25</v>
      </c>
      <c r="D28" s="22" t="s">
        <v>152</v>
      </c>
      <c r="E28">
        <v>28</v>
      </c>
      <c r="N28" s="8" t="s">
        <v>54</v>
      </c>
      <c r="P28" t="s">
        <v>170</v>
      </c>
      <c r="Q28" s="38">
        <f t="shared" si="0"/>
        <v>367000</v>
      </c>
      <c r="R28" s="39">
        <v>52676</v>
      </c>
      <c r="S28" s="8" t="s">
        <v>54</v>
      </c>
      <c r="T28">
        <v>27</v>
      </c>
      <c r="U28">
        <v>367575</v>
      </c>
    </row>
    <row r="29" spans="1:21" ht="28">
      <c r="A29" s="28">
        <v>4</v>
      </c>
      <c r="B29" s="28">
        <v>40</v>
      </c>
      <c r="C29" s="28">
        <f>VLOOKUP(D29,'впр материалы'!$A$1:$B$36,2,0)</f>
        <v>26</v>
      </c>
      <c r="D29" s="22" t="s">
        <v>153</v>
      </c>
      <c r="E29">
        <v>29</v>
      </c>
      <c r="N29" s="8" t="s">
        <v>55</v>
      </c>
      <c r="P29" t="s">
        <v>170</v>
      </c>
      <c r="Q29" s="38">
        <f t="shared" si="0"/>
        <v>681000</v>
      </c>
      <c r="R29" s="39">
        <v>5254</v>
      </c>
      <c r="S29" s="8" t="s">
        <v>55</v>
      </c>
      <c r="T29">
        <v>28</v>
      </c>
      <c r="U29">
        <v>681643</v>
      </c>
    </row>
    <row r="30" spans="1:21" ht="38" customHeight="1">
      <c r="A30" s="28">
        <v>4</v>
      </c>
      <c r="B30" s="28">
        <v>40</v>
      </c>
      <c r="C30" s="28">
        <f>VLOOKUP(D30,'впр материалы'!$A$1:$B$36,2,0)</f>
        <v>27</v>
      </c>
      <c r="D30" s="23" t="s">
        <v>154</v>
      </c>
      <c r="E30">
        <v>30</v>
      </c>
      <c r="N30" s="8" t="s">
        <v>56</v>
      </c>
      <c r="P30" t="s">
        <v>170</v>
      </c>
      <c r="Q30" s="38">
        <f t="shared" si="0"/>
        <v>558000</v>
      </c>
      <c r="R30" s="39">
        <v>5211</v>
      </c>
      <c r="S30" s="8" t="s">
        <v>56</v>
      </c>
      <c r="T30">
        <v>29</v>
      </c>
      <c r="U30">
        <v>558550</v>
      </c>
    </row>
    <row r="31" spans="1:21" ht="40.5" customHeight="1" thickBot="1">
      <c r="A31" s="28">
        <v>4</v>
      </c>
      <c r="B31" s="28">
        <v>40</v>
      </c>
      <c r="C31" s="28">
        <f>VLOOKUP(D31,'впр материалы'!$A$1:$B$36,2,0)</f>
        <v>17</v>
      </c>
      <c r="D31" s="24" t="s">
        <v>144</v>
      </c>
      <c r="E31">
        <v>31</v>
      </c>
      <c r="N31" s="8" t="s">
        <v>57</v>
      </c>
      <c r="P31" t="s">
        <v>170</v>
      </c>
      <c r="Q31" s="52">
        <f t="shared" si="0"/>
        <v>426000</v>
      </c>
      <c r="R31" s="53">
        <v>52757</v>
      </c>
      <c r="S31" s="8" t="s">
        <v>57</v>
      </c>
      <c r="T31">
        <v>30</v>
      </c>
      <c r="U31">
        <v>426991</v>
      </c>
    </row>
    <row r="32" spans="1:21" ht="35" customHeight="1">
      <c r="A32" s="28">
        <v>4</v>
      </c>
      <c r="B32" s="28">
        <v>40</v>
      </c>
      <c r="C32" s="28">
        <f>VLOOKUP(D32,'впр материалы'!$A$1:$B$36,2,0)</f>
        <v>18</v>
      </c>
      <c r="D32" s="25" t="s">
        <v>145</v>
      </c>
      <c r="E32">
        <v>32</v>
      </c>
      <c r="N32" s="8" t="s">
        <v>58</v>
      </c>
      <c r="P32" t="s">
        <v>170</v>
      </c>
      <c r="Q32" s="52">
        <f t="shared" si="0"/>
        <v>680000</v>
      </c>
      <c r="R32" s="53">
        <v>5234</v>
      </c>
      <c r="S32" s="8" t="s">
        <v>58</v>
      </c>
      <c r="T32">
        <v>31</v>
      </c>
      <c r="U32">
        <v>680918</v>
      </c>
    </row>
    <row r="33" spans="1:21" ht="38.5" customHeight="1">
      <c r="A33" s="28">
        <v>4</v>
      </c>
      <c r="B33" s="28">
        <v>40</v>
      </c>
      <c r="C33" s="28">
        <f>VLOOKUP(D33,'впр материалы'!$A$1:$B$36,2,0)</f>
        <v>20</v>
      </c>
      <c r="D33" s="26" t="s">
        <v>147</v>
      </c>
      <c r="E33">
        <v>33</v>
      </c>
      <c r="N33" s="8" t="s">
        <v>59</v>
      </c>
      <c r="P33" t="s">
        <v>170</v>
      </c>
      <c r="Q33" s="52">
        <f t="shared" si="0"/>
        <v>610000</v>
      </c>
      <c r="R33" s="53">
        <v>5272</v>
      </c>
      <c r="S33" s="8" t="s">
        <v>59</v>
      </c>
      <c r="T33">
        <v>32</v>
      </c>
      <c r="U33">
        <v>610487</v>
      </c>
    </row>
    <row r="34" spans="1:21" ht="42">
      <c r="A34" s="28">
        <v>4</v>
      </c>
      <c r="B34" s="28">
        <v>40</v>
      </c>
      <c r="C34" s="28">
        <f>VLOOKUP(D34,'впр материалы'!$A$1:$B$36,2,0)</f>
        <v>21</v>
      </c>
      <c r="D34" s="27" t="s">
        <v>148</v>
      </c>
      <c r="E34">
        <v>34</v>
      </c>
      <c r="N34" s="8" t="s">
        <v>60</v>
      </c>
      <c r="P34" t="s">
        <v>170</v>
      </c>
      <c r="Q34" s="34">
        <f t="shared" si="0"/>
        <v>517000</v>
      </c>
      <c r="R34" s="9">
        <v>52761</v>
      </c>
      <c r="S34" s="8" t="s">
        <v>60</v>
      </c>
      <c r="T34">
        <v>33</v>
      </c>
      <c r="U34">
        <v>517417</v>
      </c>
    </row>
    <row r="35" spans="1:21" ht="37" customHeight="1">
      <c r="A35" s="28">
        <v>4</v>
      </c>
      <c r="B35" s="28">
        <v>40</v>
      </c>
      <c r="C35" s="28">
        <f>VLOOKUP(D35,'впр материалы'!$A$1:$B$36,2,0)</f>
        <v>22</v>
      </c>
      <c r="D35" s="27" t="s">
        <v>149</v>
      </c>
      <c r="E35">
        <v>35</v>
      </c>
      <c r="N35" s="8" t="s">
        <v>61</v>
      </c>
      <c r="P35" t="s">
        <v>170</v>
      </c>
      <c r="Q35" s="34">
        <f t="shared" si="0"/>
        <v>494000</v>
      </c>
      <c r="R35" s="9">
        <v>52432</v>
      </c>
      <c r="S35" s="8" t="s">
        <v>61</v>
      </c>
      <c r="T35">
        <v>34</v>
      </c>
      <c r="U35">
        <v>494934</v>
      </c>
    </row>
    <row r="36" spans="1:21" ht="46" customHeight="1">
      <c r="A36" s="28">
        <v>4</v>
      </c>
      <c r="B36" s="28">
        <v>40</v>
      </c>
      <c r="C36" s="28">
        <f>VLOOKUP(D36,'впр материалы'!$A$1:$B$36,2,0)</f>
        <v>19</v>
      </c>
      <c r="D36" s="1" t="s">
        <v>146</v>
      </c>
      <c r="E36">
        <v>36</v>
      </c>
      <c r="N36" s="8" t="s">
        <v>62</v>
      </c>
      <c r="P36" t="s">
        <v>170</v>
      </c>
      <c r="Q36" s="34">
        <f t="shared" si="0"/>
        <v>560000</v>
      </c>
      <c r="R36" s="9">
        <v>5291</v>
      </c>
      <c r="S36" s="8" t="s">
        <v>62</v>
      </c>
      <c r="T36">
        <v>35</v>
      </c>
      <c r="U36">
        <v>560438</v>
      </c>
    </row>
    <row r="37" spans="1:21" ht="28">
      <c r="B37" s="1"/>
      <c r="N37" s="8" t="s">
        <v>63</v>
      </c>
      <c r="P37" t="s">
        <v>170</v>
      </c>
      <c r="Q37" s="34">
        <f t="shared" si="0"/>
        <v>344000</v>
      </c>
      <c r="R37" s="9">
        <v>52579</v>
      </c>
      <c r="S37" s="8" t="s">
        <v>63</v>
      </c>
      <c r="T37">
        <v>36</v>
      </c>
      <c r="U37">
        <v>344304</v>
      </c>
    </row>
    <row r="38" spans="1:21" ht="28">
      <c r="N38" s="8" t="s">
        <v>64</v>
      </c>
      <c r="P38" t="s">
        <v>170</v>
      </c>
      <c r="Q38" s="34">
        <f t="shared" si="0"/>
        <v>465000</v>
      </c>
      <c r="R38" s="9">
        <v>52456</v>
      </c>
      <c r="S38" s="8" t="s">
        <v>64</v>
      </c>
      <c r="T38">
        <v>37</v>
      </c>
      <c r="U38">
        <v>465642</v>
      </c>
    </row>
    <row r="39" spans="1:21" ht="42">
      <c r="N39" s="8" t="s">
        <v>65</v>
      </c>
      <c r="P39" t="s">
        <v>170</v>
      </c>
      <c r="Q39" s="34">
        <f t="shared" si="0"/>
        <v>593000</v>
      </c>
      <c r="R39" s="9">
        <v>52759</v>
      </c>
      <c r="S39" s="8" t="s">
        <v>65</v>
      </c>
      <c r="T39">
        <v>38</v>
      </c>
      <c r="U39">
        <v>593237</v>
      </c>
    </row>
    <row r="40" spans="1:21" ht="42">
      <c r="N40" s="8" t="s">
        <v>66</v>
      </c>
      <c r="P40" t="s">
        <v>170</v>
      </c>
      <c r="Q40" s="34">
        <f t="shared" si="0"/>
        <v>595000</v>
      </c>
      <c r="R40" s="9">
        <v>52764</v>
      </c>
      <c r="S40" s="8" t="s">
        <v>66</v>
      </c>
      <c r="T40">
        <v>39</v>
      </c>
      <c r="U40">
        <v>595553</v>
      </c>
    </row>
    <row r="41" spans="1:21" ht="28">
      <c r="N41" s="8" t="s">
        <v>67</v>
      </c>
      <c r="P41" t="s">
        <v>170</v>
      </c>
      <c r="Q41" s="34">
        <f t="shared" si="0"/>
        <v>335000</v>
      </c>
      <c r="R41" s="9">
        <v>52482</v>
      </c>
      <c r="S41" s="8" t="s">
        <v>67</v>
      </c>
      <c r="T41">
        <v>40</v>
      </c>
      <c r="U41">
        <v>335826</v>
      </c>
    </row>
    <row r="42" spans="1:21" ht="42">
      <c r="N42" s="8" t="s">
        <v>68</v>
      </c>
      <c r="P42" t="s">
        <v>170</v>
      </c>
      <c r="Q42" s="34">
        <f t="shared" si="0"/>
        <v>674000</v>
      </c>
      <c r="R42" s="9">
        <v>52762</v>
      </c>
      <c r="S42" s="8" t="s">
        <v>68</v>
      </c>
      <c r="T42">
        <v>41</v>
      </c>
      <c r="U42">
        <v>674961</v>
      </c>
    </row>
    <row r="43" spans="1:21" ht="55" customHeight="1">
      <c r="N43" s="10" t="s">
        <v>69</v>
      </c>
      <c r="P43" t="s">
        <v>170</v>
      </c>
      <c r="Q43" s="34">
        <f t="shared" si="0"/>
        <v>638000</v>
      </c>
      <c r="R43" s="31">
        <v>516832</v>
      </c>
      <c r="S43" s="10" t="s">
        <v>69</v>
      </c>
      <c r="T43">
        <v>42</v>
      </c>
      <c r="U43">
        <v>638823</v>
      </c>
    </row>
    <row r="44" spans="1:21" ht="42">
      <c r="N44" s="10" t="s">
        <v>70</v>
      </c>
      <c r="P44" t="s">
        <v>170</v>
      </c>
      <c r="Q44" s="34">
        <f t="shared" si="0"/>
        <v>430000</v>
      </c>
      <c r="R44" s="31">
        <v>516833</v>
      </c>
      <c r="S44" s="10" t="s">
        <v>70</v>
      </c>
      <c r="T44">
        <v>43</v>
      </c>
      <c r="U44">
        <v>430850</v>
      </c>
    </row>
    <row r="45" spans="1:21" ht="42">
      <c r="N45" s="10" t="s">
        <v>71</v>
      </c>
      <c r="P45" t="s">
        <v>170</v>
      </c>
      <c r="Q45" s="34">
        <f t="shared" si="0"/>
        <v>628000</v>
      </c>
      <c r="R45" s="31">
        <v>516699</v>
      </c>
      <c r="S45" s="10" t="s">
        <v>71</v>
      </c>
      <c r="T45">
        <v>44</v>
      </c>
      <c r="U45">
        <v>628834</v>
      </c>
    </row>
    <row r="46" spans="1:21" ht="65" customHeight="1">
      <c r="N46" s="10" t="s">
        <v>72</v>
      </c>
      <c r="P46" t="s">
        <v>170</v>
      </c>
      <c r="Q46" s="34">
        <f t="shared" si="0"/>
        <v>512000</v>
      </c>
      <c r="R46" s="31">
        <v>516835</v>
      </c>
      <c r="S46" s="10" t="s">
        <v>72</v>
      </c>
      <c r="T46">
        <v>45</v>
      </c>
      <c r="U46">
        <v>512420</v>
      </c>
    </row>
    <row r="47" spans="1:21" ht="56">
      <c r="N47" s="10" t="s">
        <v>73</v>
      </c>
      <c r="P47" t="s">
        <v>170</v>
      </c>
      <c r="Q47" s="56">
        <f t="shared" si="0"/>
        <v>538000</v>
      </c>
      <c r="R47" s="57">
        <v>51359</v>
      </c>
      <c r="S47" s="10" t="s">
        <v>73</v>
      </c>
      <c r="T47">
        <v>46</v>
      </c>
      <c r="U47">
        <v>538585</v>
      </c>
    </row>
    <row r="48" spans="1:21" ht="56">
      <c r="N48" s="10" t="s">
        <v>74</v>
      </c>
      <c r="P48" t="s">
        <v>170</v>
      </c>
      <c r="Q48" s="56">
        <f t="shared" si="0"/>
        <v>693000</v>
      </c>
      <c r="R48" s="57">
        <v>5128</v>
      </c>
      <c r="S48" s="10" t="s">
        <v>74</v>
      </c>
      <c r="T48">
        <v>47</v>
      </c>
      <c r="U48">
        <v>693909</v>
      </c>
    </row>
    <row r="49" spans="14:21" ht="56">
      <c r="N49" s="10" t="s">
        <v>75</v>
      </c>
      <c r="P49" t="s">
        <v>170</v>
      </c>
      <c r="Q49" s="56">
        <f t="shared" si="0"/>
        <v>320000</v>
      </c>
      <c r="R49" s="57">
        <v>51582</v>
      </c>
      <c r="S49" s="10" t="s">
        <v>75</v>
      </c>
      <c r="T49">
        <v>48</v>
      </c>
      <c r="U49">
        <v>320183</v>
      </c>
    </row>
    <row r="50" spans="14:21" ht="42">
      <c r="N50" s="11" t="s">
        <v>76</v>
      </c>
      <c r="P50" t="s">
        <v>170</v>
      </c>
      <c r="Q50" s="34">
        <f t="shared" si="0"/>
        <v>500000</v>
      </c>
      <c r="R50" s="32">
        <v>512768</v>
      </c>
      <c r="S50" s="11" t="s">
        <v>76</v>
      </c>
      <c r="T50">
        <v>49</v>
      </c>
      <c r="U50">
        <v>500476</v>
      </c>
    </row>
    <row r="51" spans="14:21" ht="27.5" customHeight="1">
      <c r="N51" s="11" t="s">
        <v>77</v>
      </c>
      <c r="P51" t="s">
        <v>170</v>
      </c>
      <c r="Q51" s="34">
        <f t="shared" si="0"/>
        <v>611000</v>
      </c>
      <c r="R51" s="32">
        <v>517821</v>
      </c>
      <c r="S51" s="11" t="s">
        <v>77</v>
      </c>
      <c r="T51">
        <v>50</v>
      </c>
      <c r="U51">
        <v>611498</v>
      </c>
    </row>
    <row r="52" spans="14:21" ht="50" customHeight="1">
      <c r="N52" s="11" t="s">
        <v>78</v>
      </c>
      <c r="P52" t="s">
        <v>170</v>
      </c>
      <c r="Q52" s="34">
        <f t="shared" si="0"/>
        <v>658000</v>
      </c>
      <c r="R52" s="32">
        <v>51838</v>
      </c>
      <c r="S52" s="11" t="s">
        <v>78</v>
      </c>
      <c r="T52">
        <v>51</v>
      </c>
      <c r="U52">
        <v>658828</v>
      </c>
    </row>
    <row r="53" spans="14:21" ht="47.5" customHeight="1">
      <c r="N53" s="11" t="s">
        <v>79</v>
      </c>
      <c r="P53" t="s">
        <v>170</v>
      </c>
      <c r="Q53" s="34">
        <f t="shared" si="0"/>
        <v>300000</v>
      </c>
      <c r="R53" s="32">
        <v>518381</v>
      </c>
      <c r="S53" s="11" t="s">
        <v>79</v>
      </c>
      <c r="T53">
        <v>52</v>
      </c>
      <c r="U53">
        <v>300760</v>
      </c>
    </row>
    <row r="54" spans="14:21" ht="54.5" customHeight="1">
      <c r="N54" s="11" t="s">
        <v>80</v>
      </c>
      <c r="P54" t="s">
        <v>170</v>
      </c>
      <c r="Q54" s="34">
        <f t="shared" si="0"/>
        <v>543000</v>
      </c>
      <c r="R54" s="32">
        <v>517876</v>
      </c>
      <c r="S54" s="11" t="s">
        <v>80</v>
      </c>
      <c r="T54">
        <v>53</v>
      </c>
      <c r="U54">
        <v>543935</v>
      </c>
    </row>
    <row r="55" spans="14:21" ht="46" customHeight="1">
      <c r="N55" s="11" t="s">
        <v>81</v>
      </c>
      <c r="P55" t="s">
        <v>170</v>
      </c>
      <c r="Q55" s="48">
        <f t="shared" si="0"/>
        <v>525000</v>
      </c>
      <c r="R55" s="49">
        <v>514977</v>
      </c>
      <c r="S55" s="11" t="s">
        <v>81</v>
      </c>
      <c r="T55">
        <v>54</v>
      </c>
      <c r="U55">
        <v>525193</v>
      </c>
    </row>
    <row r="56" spans="14:21" ht="42">
      <c r="N56" s="11" t="s">
        <v>82</v>
      </c>
      <c r="P56" t="s">
        <v>170</v>
      </c>
      <c r="Q56" s="48">
        <f t="shared" si="0"/>
        <v>574000</v>
      </c>
      <c r="R56" s="49">
        <v>514978</v>
      </c>
      <c r="S56" s="11" t="s">
        <v>82</v>
      </c>
      <c r="T56">
        <v>55</v>
      </c>
      <c r="U56">
        <v>574428</v>
      </c>
    </row>
    <row r="57" spans="14:21" ht="42">
      <c r="N57" s="11" t="s">
        <v>83</v>
      </c>
      <c r="P57" t="s">
        <v>170</v>
      </c>
      <c r="Q57" s="48">
        <f t="shared" si="0"/>
        <v>417000</v>
      </c>
      <c r="R57" s="49">
        <v>514979</v>
      </c>
      <c r="S57" s="11" t="s">
        <v>83</v>
      </c>
      <c r="T57">
        <v>56</v>
      </c>
      <c r="U57">
        <v>417035</v>
      </c>
    </row>
    <row r="58" spans="14:21" ht="56">
      <c r="N58" s="8" t="s">
        <v>84</v>
      </c>
      <c r="P58" t="s">
        <v>170</v>
      </c>
      <c r="Q58" s="48">
        <f t="shared" si="0"/>
        <v>395000</v>
      </c>
      <c r="R58" s="49">
        <v>4127</v>
      </c>
      <c r="S58" s="8" t="s">
        <v>84</v>
      </c>
      <c r="T58">
        <v>57</v>
      </c>
      <c r="U58">
        <v>395864</v>
      </c>
    </row>
    <row r="59" spans="14:21" ht="56">
      <c r="N59" s="8" t="s">
        <v>85</v>
      </c>
      <c r="P59" t="s">
        <v>170</v>
      </c>
      <c r="Q59" s="48">
        <f t="shared" si="0"/>
        <v>399000</v>
      </c>
      <c r="R59" s="49">
        <v>4136</v>
      </c>
      <c r="S59" s="8" t="s">
        <v>85</v>
      </c>
      <c r="T59">
        <v>58</v>
      </c>
      <c r="U59">
        <v>399478</v>
      </c>
    </row>
    <row r="60" spans="14:21" ht="56">
      <c r="N60" s="8" t="s">
        <v>86</v>
      </c>
      <c r="P60" t="s">
        <v>170</v>
      </c>
      <c r="Q60" s="34">
        <f t="shared" si="0"/>
        <v>600000</v>
      </c>
      <c r="R60" s="9">
        <v>4872</v>
      </c>
      <c r="S60" s="8" t="s">
        <v>86</v>
      </c>
      <c r="T60">
        <v>59</v>
      </c>
      <c r="U60">
        <v>600746</v>
      </c>
    </row>
    <row r="61" spans="14:21" ht="56">
      <c r="N61" s="8" t="s">
        <v>87</v>
      </c>
      <c r="P61" t="s">
        <v>170</v>
      </c>
      <c r="Q61" s="34">
        <f t="shared" si="0"/>
        <v>592000</v>
      </c>
      <c r="R61" s="9">
        <v>4864</v>
      </c>
      <c r="S61" s="8" t="s">
        <v>87</v>
      </c>
      <c r="T61">
        <v>60</v>
      </c>
      <c r="U61">
        <v>592906</v>
      </c>
    </row>
    <row r="62" spans="14:21" ht="56">
      <c r="N62" s="8" t="s">
        <v>88</v>
      </c>
      <c r="P62" t="s">
        <v>170</v>
      </c>
      <c r="Q62" s="54">
        <f t="shared" si="0"/>
        <v>503000</v>
      </c>
      <c r="R62" s="55">
        <v>4126</v>
      </c>
      <c r="S62" s="8" t="s">
        <v>88</v>
      </c>
      <c r="T62">
        <v>61</v>
      </c>
      <c r="U62">
        <v>503379</v>
      </c>
    </row>
    <row r="63" spans="14:21" ht="56">
      <c r="N63" s="8" t="s">
        <v>89</v>
      </c>
      <c r="P63" t="s">
        <v>170</v>
      </c>
      <c r="Q63" s="54">
        <f t="shared" si="0"/>
        <v>622000</v>
      </c>
      <c r="R63" s="55">
        <v>4125</v>
      </c>
      <c r="S63" s="8" t="s">
        <v>89</v>
      </c>
      <c r="T63">
        <v>62</v>
      </c>
      <c r="U63">
        <v>622620</v>
      </c>
    </row>
    <row r="64" spans="14:21" ht="56">
      <c r="N64" s="8" t="s">
        <v>90</v>
      </c>
      <c r="P64" t="s">
        <v>170</v>
      </c>
      <c r="Q64" s="60">
        <f t="shared" si="0"/>
        <v>356000</v>
      </c>
      <c r="R64" s="61">
        <v>41147</v>
      </c>
      <c r="S64" s="8" t="s">
        <v>90</v>
      </c>
      <c r="T64">
        <v>63</v>
      </c>
      <c r="U64">
        <v>356896</v>
      </c>
    </row>
    <row r="65" spans="14:21" ht="42">
      <c r="N65" s="8" t="s">
        <v>91</v>
      </c>
      <c r="P65" t="s">
        <v>170</v>
      </c>
      <c r="Q65" s="60">
        <f t="shared" si="0"/>
        <v>619000</v>
      </c>
      <c r="R65" s="61">
        <v>4749</v>
      </c>
      <c r="S65" s="8" t="s">
        <v>91</v>
      </c>
      <c r="T65">
        <v>64</v>
      </c>
      <c r="U65">
        <v>619379</v>
      </c>
    </row>
    <row r="66" spans="14:21" ht="42">
      <c r="N66" s="8" t="s">
        <v>92</v>
      </c>
      <c r="P66" t="s">
        <v>170</v>
      </c>
      <c r="Q66" s="60">
        <f t="shared" si="0"/>
        <v>474000</v>
      </c>
      <c r="R66" s="61">
        <v>475</v>
      </c>
      <c r="S66" s="8" t="s">
        <v>92</v>
      </c>
      <c r="T66">
        <v>65</v>
      </c>
      <c r="U66">
        <v>474244</v>
      </c>
    </row>
    <row r="67" spans="14:21" ht="70" customHeight="1">
      <c r="N67" s="8" t="s">
        <v>93</v>
      </c>
      <c r="P67" t="s">
        <v>170</v>
      </c>
      <c r="Q67" s="34">
        <f t="shared" ref="Q67:Q105" si="1">ROUNDDOWN(U67,-3)</f>
        <v>484000</v>
      </c>
      <c r="R67" s="9">
        <v>4882</v>
      </c>
      <c r="S67" s="8" t="s">
        <v>93</v>
      </c>
      <c r="T67">
        <v>66</v>
      </c>
      <c r="U67">
        <v>484606</v>
      </c>
    </row>
    <row r="68" spans="14:21" ht="62.5" customHeight="1">
      <c r="N68" s="8" t="s">
        <v>94</v>
      </c>
      <c r="P68" t="s">
        <v>170</v>
      </c>
      <c r="Q68" s="50">
        <f t="shared" si="1"/>
        <v>535000</v>
      </c>
      <c r="R68" s="51">
        <v>4883</v>
      </c>
      <c r="S68" s="8" t="s">
        <v>94</v>
      </c>
      <c r="T68">
        <v>67</v>
      </c>
      <c r="U68">
        <v>535641</v>
      </c>
    </row>
    <row r="69" spans="14:21" ht="47.5" customHeight="1">
      <c r="N69" s="8" t="s">
        <v>95</v>
      </c>
      <c r="P69" t="s">
        <v>170</v>
      </c>
      <c r="Q69" s="50">
        <f t="shared" si="1"/>
        <v>579000</v>
      </c>
      <c r="R69" s="51">
        <v>4884</v>
      </c>
      <c r="S69" s="8" t="s">
        <v>95</v>
      </c>
      <c r="T69">
        <v>68</v>
      </c>
      <c r="U69">
        <v>579545</v>
      </c>
    </row>
    <row r="70" spans="14:21" ht="42">
      <c r="N70" s="8" t="s">
        <v>96</v>
      </c>
      <c r="P70" t="s">
        <v>170</v>
      </c>
      <c r="Q70" s="50">
        <f t="shared" si="1"/>
        <v>429000</v>
      </c>
      <c r="R70" s="51">
        <v>4751</v>
      </c>
      <c r="S70" s="8" t="s">
        <v>96</v>
      </c>
      <c r="T70">
        <v>69</v>
      </c>
      <c r="U70">
        <v>429777</v>
      </c>
    </row>
    <row r="71" spans="14:21" ht="42">
      <c r="N71" s="8" t="s">
        <v>97</v>
      </c>
      <c r="P71" t="s">
        <v>170</v>
      </c>
      <c r="Q71" s="34">
        <f t="shared" si="1"/>
        <v>660000</v>
      </c>
      <c r="R71" s="9">
        <v>4785</v>
      </c>
      <c r="S71" s="8" t="s">
        <v>97</v>
      </c>
      <c r="T71">
        <v>70</v>
      </c>
      <c r="U71">
        <v>660575</v>
      </c>
    </row>
    <row r="72" spans="14:21" ht="42">
      <c r="N72" s="8" t="s">
        <v>98</v>
      </c>
      <c r="P72" t="s">
        <v>170</v>
      </c>
      <c r="Q72" s="34">
        <f t="shared" si="1"/>
        <v>504000</v>
      </c>
      <c r="R72" s="9">
        <v>4818</v>
      </c>
      <c r="S72" s="8" t="s">
        <v>98</v>
      </c>
      <c r="T72">
        <v>71</v>
      </c>
      <c r="U72">
        <v>504679</v>
      </c>
    </row>
    <row r="73" spans="14:21" ht="28">
      <c r="N73" s="8" t="s">
        <v>99</v>
      </c>
      <c r="P73" t="s">
        <v>170</v>
      </c>
      <c r="Q73" s="34">
        <f t="shared" si="1"/>
        <v>654000</v>
      </c>
      <c r="R73" s="9">
        <v>63184</v>
      </c>
      <c r="S73" s="8" t="s">
        <v>99</v>
      </c>
      <c r="T73">
        <v>72</v>
      </c>
      <c r="U73">
        <v>654178</v>
      </c>
    </row>
    <row r="74" spans="14:21" ht="28">
      <c r="N74" s="8" t="s">
        <v>100</v>
      </c>
      <c r="P74" t="s">
        <v>170</v>
      </c>
      <c r="Q74" s="34">
        <f t="shared" si="1"/>
        <v>602000</v>
      </c>
      <c r="R74" s="9">
        <v>63151</v>
      </c>
      <c r="S74" s="8" t="s">
        <v>100</v>
      </c>
      <c r="T74">
        <v>73</v>
      </c>
      <c r="U74">
        <v>602095</v>
      </c>
    </row>
    <row r="75" spans="14:21" ht="28">
      <c r="N75" s="8" t="s">
        <v>101</v>
      </c>
      <c r="P75" t="s">
        <v>170</v>
      </c>
      <c r="Q75" s="34">
        <f t="shared" si="1"/>
        <v>316000</v>
      </c>
      <c r="R75" s="9">
        <v>639613</v>
      </c>
      <c r="S75" s="8" t="s">
        <v>101</v>
      </c>
      <c r="T75">
        <v>74</v>
      </c>
      <c r="U75">
        <v>316242</v>
      </c>
    </row>
    <row r="76" spans="14:21" ht="28">
      <c r="N76" s="8" t="s">
        <v>102</v>
      </c>
      <c r="P76" t="s">
        <v>170</v>
      </c>
      <c r="Q76" s="34">
        <f t="shared" si="1"/>
        <v>638000</v>
      </c>
      <c r="R76" s="9">
        <v>6324</v>
      </c>
      <c r="S76" s="8" t="s">
        <v>102</v>
      </c>
      <c r="T76">
        <v>75</v>
      </c>
      <c r="U76">
        <v>638771</v>
      </c>
    </row>
    <row r="77" spans="14:21" ht="28">
      <c r="N77" s="8" t="s">
        <v>103</v>
      </c>
      <c r="P77" t="s">
        <v>170</v>
      </c>
      <c r="Q77" s="34">
        <f t="shared" si="1"/>
        <v>435000</v>
      </c>
      <c r="R77" s="9">
        <v>63194</v>
      </c>
      <c r="S77" s="8" t="s">
        <v>103</v>
      </c>
      <c r="T77">
        <v>76</v>
      </c>
      <c r="U77">
        <v>435347</v>
      </c>
    </row>
    <row r="78" spans="14:21" ht="28">
      <c r="N78" s="8" t="s">
        <v>104</v>
      </c>
      <c r="P78" t="s">
        <v>170</v>
      </c>
      <c r="Q78" s="40">
        <f t="shared" si="1"/>
        <v>387000</v>
      </c>
      <c r="R78" s="41">
        <v>631835</v>
      </c>
      <c r="S78" s="8" t="s">
        <v>104</v>
      </c>
      <c r="T78">
        <v>77</v>
      </c>
      <c r="U78">
        <v>387963</v>
      </c>
    </row>
    <row r="79" spans="14:21" ht="42">
      <c r="N79" s="8" t="s">
        <v>105</v>
      </c>
      <c r="P79" t="s">
        <v>170</v>
      </c>
      <c r="Q79" s="40">
        <f t="shared" si="1"/>
        <v>592000</v>
      </c>
      <c r="R79" s="41">
        <v>631185</v>
      </c>
      <c r="S79" s="8" t="s">
        <v>105</v>
      </c>
      <c r="T79">
        <v>78</v>
      </c>
      <c r="U79">
        <v>592614</v>
      </c>
    </row>
    <row r="80" spans="14:21" ht="42">
      <c r="N80" s="8" t="s">
        <v>106</v>
      </c>
      <c r="P80" t="s">
        <v>170</v>
      </c>
      <c r="Q80" s="40">
        <f t="shared" si="1"/>
        <v>687000</v>
      </c>
      <c r="R80" s="41">
        <v>631198</v>
      </c>
      <c r="S80" s="8" t="s">
        <v>106</v>
      </c>
      <c r="T80">
        <v>79</v>
      </c>
      <c r="U80">
        <v>687418</v>
      </c>
    </row>
    <row r="81" spans="14:21" ht="42">
      <c r="N81" s="8" t="s">
        <v>107</v>
      </c>
      <c r="P81" t="s">
        <v>170</v>
      </c>
      <c r="Q81" s="34">
        <f t="shared" si="1"/>
        <v>567000</v>
      </c>
      <c r="R81" s="9">
        <v>631186</v>
      </c>
      <c r="S81" s="8" t="s">
        <v>107</v>
      </c>
      <c r="T81">
        <v>80</v>
      </c>
      <c r="U81">
        <v>567203</v>
      </c>
    </row>
    <row r="82" spans="14:21" ht="42">
      <c r="N82" s="8" t="s">
        <v>108</v>
      </c>
      <c r="P82" t="s">
        <v>170</v>
      </c>
      <c r="Q82" s="46">
        <f t="shared" si="1"/>
        <v>406000</v>
      </c>
      <c r="R82" s="47">
        <v>631417</v>
      </c>
      <c r="S82" s="8" t="s">
        <v>108</v>
      </c>
      <c r="T82">
        <v>81</v>
      </c>
      <c r="U82">
        <v>406667</v>
      </c>
    </row>
    <row r="83" spans="14:21" ht="28">
      <c r="N83" s="8" t="s">
        <v>109</v>
      </c>
      <c r="P83" t="s">
        <v>170</v>
      </c>
      <c r="Q83" s="46">
        <f t="shared" si="1"/>
        <v>412000</v>
      </c>
      <c r="R83" s="47">
        <v>63839</v>
      </c>
      <c r="S83" s="8" t="s">
        <v>109</v>
      </c>
      <c r="T83">
        <v>82</v>
      </c>
      <c r="U83">
        <v>412116</v>
      </c>
    </row>
    <row r="84" spans="14:21" ht="42">
      <c r="N84" s="8" t="s">
        <v>110</v>
      </c>
      <c r="P84" t="s">
        <v>170</v>
      </c>
      <c r="Q84" s="46">
        <f t="shared" si="1"/>
        <v>315000</v>
      </c>
      <c r="R84" s="47">
        <v>634345</v>
      </c>
      <c r="S84" s="8" t="s">
        <v>110</v>
      </c>
      <c r="T84">
        <v>83</v>
      </c>
      <c r="U84">
        <v>315976</v>
      </c>
    </row>
    <row r="85" spans="14:21" ht="42">
      <c r="N85" s="8" t="s">
        <v>111</v>
      </c>
      <c r="P85" t="s">
        <v>170</v>
      </c>
      <c r="Q85" s="46">
        <f t="shared" si="1"/>
        <v>459000</v>
      </c>
      <c r="R85" s="47">
        <v>63227</v>
      </c>
      <c r="S85" s="8" t="s">
        <v>111</v>
      </c>
      <c r="T85">
        <v>84</v>
      </c>
      <c r="U85">
        <v>459942</v>
      </c>
    </row>
    <row r="86" spans="14:21" ht="42">
      <c r="N86" s="8" t="s">
        <v>112</v>
      </c>
      <c r="P86" t="s">
        <v>170</v>
      </c>
      <c r="Q86" s="34">
        <f t="shared" si="1"/>
        <v>653000</v>
      </c>
      <c r="R86" s="9">
        <v>514338</v>
      </c>
      <c r="S86" s="8" t="s">
        <v>112</v>
      </c>
      <c r="T86">
        <v>85</v>
      </c>
      <c r="U86">
        <v>653421</v>
      </c>
    </row>
    <row r="87" spans="14:21" ht="28">
      <c r="N87" s="8" t="s">
        <v>113</v>
      </c>
      <c r="P87" t="s">
        <v>170</v>
      </c>
      <c r="Q87" s="34">
        <f t="shared" si="1"/>
        <v>606000</v>
      </c>
      <c r="R87" s="9">
        <v>51677</v>
      </c>
      <c r="S87" s="8" t="s">
        <v>113</v>
      </c>
      <c r="T87">
        <v>86</v>
      </c>
      <c r="U87">
        <v>606657</v>
      </c>
    </row>
    <row r="88" spans="14:21" ht="28">
      <c r="N88" s="8" t="s">
        <v>114</v>
      </c>
      <c r="P88" t="s">
        <v>170</v>
      </c>
      <c r="Q88" s="34">
        <f t="shared" si="1"/>
        <v>417000</v>
      </c>
      <c r="R88" s="9">
        <v>516118</v>
      </c>
      <c r="S88" s="8" t="s">
        <v>114</v>
      </c>
      <c r="T88">
        <v>87</v>
      </c>
      <c r="U88">
        <v>417824</v>
      </c>
    </row>
    <row r="89" spans="14:21" ht="28">
      <c r="N89" s="8" t="s">
        <v>115</v>
      </c>
      <c r="P89" t="s">
        <v>170</v>
      </c>
      <c r="Q89" s="34">
        <f t="shared" si="1"/>
        <v>405000</v>
      </c>
      <c r="R89" s="9">
        <v>51678</v>
      </c>
      <c r="S89" s="8" t="s">
        <v>115</v>
      </c>
      <c r="T89">
        <v>88</v>
      </c>
      <c r="U89">
        <v>405311</v>
      </c>
    </row>
    <row r="90" spans="14:21" ht="28">
      <c r="N90" s="8" t="s">
        <v>116</v>
      </c>
      <c r="P90" t="s">
        <v>170</v>
      </c>
      <c r="Q90" s="34">
        <f t="shared" si="1"/>
        <v>483000</v>
      </c>
      <c r="R90" s="9">
        <v>516974</v>
      </c>
      <c r="S90" s="8" t="s">
        <v>116</v>
      </c>
      <c r="T90">
        <v>89</v>
      </c>
      <c r="U90">
        <v>483136</v>
      </c>
    </row>
    <row r="91" spans="14:21" ht="42">
      <c r="N91" s="8" t="s">
        <v>117</v>
      </c>
      <c r="P91" t="s">
        <v>170</v>
      </c>
      <c r="Q91" s="34">
        <f t="shared" si="1"/>
        <v>343000</v>
      </c>
      <c r="R91" s="9">
        <v>511489</v>
      </c>
      <c r="S91" s="8" t="s">
        <v>117</v>
      </c>
      <c r="T91">
        <v>90</v>
      </c>
      <c r="U91">
        <v>343303</v>
      </c>
    </row>
    <row r="92" spans="14:21" ht="28">
      <c r="N92" s="8" t="s">
        <v>118</v>
      </c>
      <c r="P92" t="s">
        <v>170</v>
      </c>
      <c r="Q92" s="42">
        <f t="shared" si="1"/>
        <v>342000</v>
      </c>
      <c r="R92" s="43">
        <v>511616</v>
      </c>
      <c r="S92" s="8" t="s">
        <v>118</v>
      </c>
      <c r="T92">
        <v>91</v>
      </c>
      <c r="U92">
        <v>342711</v>
      </c>
    </row>
    <row r="93" spans="14:21" ht="28">
      <c r="N93" s="8" t="s">
        <v>119</v>
      </c>
      <c r="P93" t="s">
        <v>170</v>
      </c>
      <c r="Q93" s="42">
        <f t="shared" si="1"/>
        <v>654000</v>
      </c>
      <c r="R93" s="43">
        <v>512393</v>
      </c>
      <c r="S93" s="8" t="s">
        <v>119</v>
      </c>
      <c r="T93">
        <v>92</v>
      </c>
      <c r="U93">
        <v>654284</v>
      </c>
    </row>
    <row r="94" spans="14:21" ht="28">
      <c r="N94" s="8" t="s">
        <v>120</v>
      </c>
      <c r="P94" t="s">
        <v>170</v>
      </c>
      <c r="Q94" s="42">
        <f t="shared" si="1"/>
        <v>556000</v>
      </c>
      <c r="R94" s="43">
        <v>512387</v>
      </c>
      <c r="S94" s="8" t="s">
        <v>120</v>
      </c>
      <c r="T94">
        <v>93</v>
      </c>
      <c r="U94">
        <v>556202</v>
      </c>
    </row>
    <row r="95" spans="14:21" ht="28">
      <c r="N95" s="8" t="s">
        <v>121</v>
      </c>
      <c r="P95" t="s">
        <v>170</v>
      </c>
      <c r="Q95" s="42">
        <f t="shared" si="1"/>
        <v>456000</v>
      </c>
      <c r="R95" s="43">
        <v>512388</v>
      </c>
      <c r="S95" s="8" t="s">
        <v>121</v>
      </c>
      <c r="T95">
        <v>94</v>
      </c>
      <c r="U95">
        <v>456228</v>
      </c>
    </row>
    <row r="96" spans="14:21" ht="28">
      <c r="N96" s="8" t="s">
        <v>122</v>
      </c>
      <c r="P96" t="s">
        <v>170</v>
      </c>
      <c r="Q96" s="42">
        <f t="shared" si="1"/>
        <v>301000</v>
      </c>
      <c r="R96" s="43">
        <v>512414</v>
      </c>
      <c r="S96" s="8" t="s">
        <v>122</v>
      </c>
      <c r="T96">
        <v>95</v>
      </c>
      <c r="U96">
        <v>301575</v>
      </c>
    </row>
    <row r="97" spans="14:21" ht="28">
      <c r="N97" s="8" t="s">
        <v>123</v>
      </c>
      <c r="P97" t="s">
        <v>170</v>
      </c>
      <c r="Q97" s="42">
        <f t="shared" si="1"/>
        <v>452000</v>
      </c>
      <c r="R97" s="43">
        <v>51258</v>
      </c>
      <c r="S97" s="8" t="s">
        <v>123</v>
      </c>
      <c r="T97">
        <v>96</v>
      </c>
      <c r="U97">
        <v>452651</v>
      </c>
    </row>
    <row r="98" spans="14:21" ht="28">
      <c r="N98" s="8" t="s">
        <v>124</v>
      </c>
      <c r="P98" t="s">
        <v>170</v>
      </c>
      <c r="Q98" s="34">
        <f t="shared" si="1"/>
        <v>620000</v>
      </c>
      <c r="R98" s="9">
        <v>512731</v>
      </c>
      <c r="S98" s="8" t="s">
        <v>124</v>
      </c>
      <c r="T98">
        <v>97</v>
      </c>
      <c r="U98">
        <v>620085</v>
      </c>
    </row>
    <row r="99" spans="14:21" ht="28">
      <c r="N99" s="8" t="s">
        <v>125</v>
      </c>
      <c r="P99" t="s">
        <v>170</v>
      </c>
      <c r="Q99" s="34">
        <f t="shared" si="1"/>
        <v>577000</v>
      </c>
      <c r="R99" s="9">
        <v>518827</v>
      </c>
      <c r="S99" s="8" t="s">
        <v>125</v>
      </c>
      <c r="T99">
        <v>98</v>
      </c>
      <c r="U99">
        <v>577130</v>
      </c>
    </row>
    <row r="100" spans="14:21" ht="28">
      <c r="N100" s="8" t="s">
        <v>126</v>
      </c>
      <c r="P100" t="s">
        <v>170</v>
      </c>
      <c r="Q100" s="34">
        <f t="shared" si="1"/>
        <v>419000</v>
      </c>
      <c r="R100" s="9">
        <v>516614</v>
      </c>
      <c r="S100" s="8" t="s">
        <v>126</v>
      </c>
      <c r="T100">
        <v>99</v>
      </c>
      <c r="U100">
        <v>419043</v>
      </c>
    </row>
    <row r="101" spans="14:21" ht="28">
      <c r="N101" s="8" t="s">
        <v>127</v>
      </c>
      <c r="P101" t="s">
        <v>170</v>
      </c>
      <c r="Q101" s="34">
        <f t="shared" si="1"/>
        <v>370000</v>
      </c>
      <c r="R101" s="9">
        <v>516615</v>
      </c>
      <c r="S101" s="8" t="s">
        <v>127</v>
      </c>
      <c r="T101">
        <v>100</v>
      </c>
      <c r="U101">
        <v>370429</v>
      </c>
    </row>
    <row r="102" spans="14:21" ht="46" customHeight="1">
      <c r="N102" s="8" t="s">
        <v>128</v>
      </c>
      <c r="P102" t="s">
        <v>170</v>
      </c>
      <c r="Q102" s="34">
        <f t="shared" si="1"/>
        <v>520000</v>
      </c>
      <c r="R102" s="9">
        <v>516616</v>
      </c>
      <c r="S102" s="8" t="s">
        <v>128</v>
      </c>
      <c r="T102">
        <v>101</v>
      </c>
      <c r="U102">
        <v>520552</v>
      </c>
    </row>
    <row r="103" spans="14:21" ht="51" customHeight="1">
      <c r="N103" s="8" t="s">
        <v>129</v>
      </c>
      <c r="P103" t="s">
        <v>170</v>
      </c>
      <c r="Q103" s="44">
        <f t="shared" si="1"/>
        <v>450000</v>
      </c>
      <c r="R103" s="45">
        <v>51366</v>
      </c>
      <c r="S103" s="8" t="s">
        <v>129</v>
      </c>
      <c r="T103">
        <v>102</v>
      </c>
      <c r="U103">
        <v>450303</v>
      </c>
    </row>
    <row r="104" spans="14:21" ht="46.5" customHeight="1">
      <c r="N104" s="8" t="s">
        <v>130</v>
      </c>
      <c r="P104" t="s">
        <v>170</v>
      </c>
      <c r="Q104" s="44">
        <f t="shared" si="1"/>
        <v>642000</v>
      </c>
      <c r="R104" s="45">
        <v>517628</v>
      </c>
      <c r="S104" s="8" t="s">
        <v>130</v>
      </c>
      <c r="T104">
        <v>103</v>
      </c>
      <c r="U104">
        <v>642396</v>
      </c>
    </row>
    <row r="105" spans="14:21" ht="28">
      <c r="N105" s="8" t="s">
        <v>131</v>
      </c>
      <c r="P105" t="s">
        <v>170</v>
      </c>
      <c r="Q105" s="44">
        <f t="shared" si="1"/>
        <v>307000</v>
      </c>
      <c r="R105" s="45">
        <v>51249</v>
      </c>
      <c r="S105" s="8" t="s">
        <v>131</v>
      </c>
      <c r="T105">
        <v>104</v>
      </c>
      <c r="U105">
        <v>307510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04"/>
  <sheetViews>
    <sheetView topLeftCell="A4" workbookViewId="0">
      <selection activeCell="C4" sqref="C1:F1048576"/>
    </sheetView>
  </sheetViews>
  <sheetFormatPr defaultRowHeight="14.5"/>
  <cols>
    <col min="3" max="6" width="8.7265625" style="64"/>
  </cols>
  <sheetData>
    <row r="1" spans="3:6">
      <c r="C1" s="65">
        <v>1</v>
      </c>
      <c r="D1" s="65" t="s">
        <v>170</v>
      </c>
      <c r="E1" s="65">
        <v>416000</v>
      </c>
      <c r="F1" s="65">
        <v>631342</v>
      </c>
    </row>
    <row r="2" spans="3:6">
      <c r="C2" s="65">
        <v>2</v>
      </c>
      <c r="D2" s="65" t="s">
        <v>170</v>
      </c>
      <c r="E2" s="65">
        <v>636000</v>
      </c>
      <c r="F2" s="65">
        <v>63673</v>
      </c>
    </row>
    <row r="3" spans="3:6">
      <c r="C3" s="65">
        <v>3</v>
      </c>
      <c r="D3" s="65" t="s">
        <v>170</v>
      </c>
      <c r="E3" s="65">
        <v>326000</v>
      </c>
      <c r="F3" s="65">
        <v>63635</v>
      </c>
    </row>
    <row r="4" spans="3:6">
      <c r="C4" s="65">
        <v>4</v>
      </c>
      <c r="D4" s="65" t="s">
        <v>170</v>
      </c>
      <c r="E4" s="65">
        <v>418000</v>
      </c>
      <c r="F4" s="65">
        <v>631364</v>
      </c>
    </row>
    <row r="5" spans="3:6">
      <c r="C5" s="65">
        <v>5</v>
      </c>
      <c r="D5" s="65" t="s">
        <v>170</v>
      </c>
      <c r="E5" s="65">
        <v>545000</v>
      </c>
      <c r="F5" s="65">
        <v>631242</v>
      </c>
    </row>
    <row r="6" spans="3:6">
      <c r="C6" s="65">
        <v>6</v>
      </c>
      <c r="D6" s="65" t="s">
        <v>170</v>
      </c>
      <c r="E6" s="65">
        <v>310000</v>
      </c>
      <c r="F6" s="65">
        <v>63768</v>
      </c>
    </row>
    <row r="7" spans="3:6">
      <c r="C7" s="65">
        <v>7</v>
      </c>
      <c r="D7" s="65" t="s">
        <v>170</v>
      </c>
      <c r="E7" s="65">
        <v>301000</v>
      </c>
      <c r="F7" s="65">
        <v>631832</v>
      </c>
    </row>
    <row r="8" spans="3:6">
      <c r="C8" s="65">
        <v>8</v>
      </c>
      <c r="D8" s="65" t="s">
        <v>170</v>
      </c>
      <c r="E8" s="65">
        <v>694000</v>
      </c>
      <c r="F8" s="65">
        <v>631433</v>
      </c>
    </row>
    <row r="9" spans="3:6">
      <c r="C9" s="65">
        <v>9</v>
      </c>
      <c r="D9" s="65" t="s">
        <v>170</v>
      </c>
      <c r="E9" s="65">
        <v>501000</v>
      </c>
      <c r="F9" s="65">
        <v>6334</v>
      </c>
    </row>
    <row r="10" spans="3:6">
      <c r="C10" s="65">
        <v>10</v>
      </c>
      <c r="D10" s="65" t="s">
        <v>170</v>
      </c>
      <c r="E10" s="65">
        <v>551000</v>
      </c>
      <c r="F10" s="65">
        <v>631431</v>
      </c>
    </row>
    <row r="11" spans="3:6">
      <c r="C11" s="65">
        <v>11</v>
      </c>
      <c r="D11" s="65" t="s">
        <v>170</v>
      </c>
      <c r="E11" s="65">
        <v>387000</v>
      </c>
      <c r="F11" s="65">
        <v>63563</v>
      </c>
    </row>
    <row r="12" spans="3:6">
      <c r="C12" s="65">
        <v>12</v>
      </c>
      <c r="D12" s="65" t="s">
        <v>170</v>
      </c>
      <c r="E12" s="65">
        <v>543000</v>
      </c>
      <c r="F12" s="65">
        <v>63615</v>
      </c>
    </row>
    <row r="13" spans="3:6">
      <c r="C13" s="65">
        <v>13</v>
      </c>
      <c r="D13" s="65" t="s">
        <v>170</v>
      </c>
      <c r="E13" s="65">
        <v>428000</v>
      </c>
      <c r="F13" s="65">
        <v>63579</v>
      </c>
    </row>
    <row r="14" spans="3:6">
      <c r="C14" s="65">
        <v>14</v>
      </c>
      <c r="D14" s="65" t="s">
        <v>170</v>
      </c>
      <c r="E14" s="65">
        <v>303000</v>
      </c>
      <c r="F14" s="65">
        <v>632542</v>
      </c>
    </row>
    <row r="15" spans="3:6">
      <c r="C15" s="65">
        <v>15</v>
      </c>
      <c r="D15" s="65" t="s">
        <v>170</v>
      </c>
      <c r="E15" s="65">
        <v>477000</v>
      </c>
      <c r="F15" s="65">
        <v>634892</v>
      </c>
    </row>
    <row r="16" spans="3:6">
      <c r="C16" s="65">
        <v>16</v>
      </c>
      <c r="D16" s="65" t="s">
        <v>170</v>
      </c>
      <c r="E16" s="65">
        <v>307000</v>
      </c>
      <c r="F16" s="65">
        <v>63945</v>
      </c>
    </row>
    <row r="17" spans="3:6">
      <c r="C17" s="65">
        <v>17</v>
      </c>
      <c r="D17" s="65" t="s">
        <v>170</v>
      </c>
      <c r="E17" s="65">
        <v>425000</v>
      </c>
      <c r="F17" s="65">
        <v>63798</v>
      </c>
    </row>
    <row r="18" spans="3:6">
      <c r="C18" s="65">
        <v>18</v>
      </c>
      <c r="D18" s="65" t="s">
        <v>170</v>
      </c>
      <c r="E18" s="65">
        <v>689000</v>
      </c>
      <c r="F18" s="65">
        <v>52519</v>
      </c>
    </row>
    <row r="19" spans="3:6">
      <c r="C19" s="65">
        <v>19</v>
      </c>
      <c r="D19" s="65" t="s">
        <v>170</v>
      </c>
      <c r="E19" s="65">
        <v>489000</v>
      </c>
      <c r="F19" s="65">
        <v>52435</v>
      </c>
    </row>
    <row r="20" spans="3:6">
      <c r="C20" s="65">
        <v>20</v>
      </c>
      <c r="D20" s="65" t="s">
        <v>170</v>
      </c>
      <c r="E20" s="65">
        <v>566000</v>
      </c>
      <c r="F20" s="65">
        <v>52154</v>
      </c>
    </row>
    <row r="21" spans="3:6">
      <c r="C21" s="65">
        <v>21</v>
      </c>
      <c r="D21" s="65" t="s">
        <v>170</v>
      </c>
      <c r="E21" s="65">
        <v>683000</v>
      </c>
      <c r="F21" s="65">
        <v>52218</v>
      </c>
    </row>
    <row r="22" spans="3:6">
      <c r="C22" s="65">
        <v>22</v>
      </c>
      <c r="D22" s="65" t="s">
        <v>170</v>
      </c>
      <c r="E22" s="65">
        <v>656000</v>
      </c>
      <c r="F22" s="65">
        <v>5281</v>
      </c>
    </row>
    <row r="23" spans="3:6">
      <c r="C23" s="65">
        <v>23</v>
      </c>
      <c r="D23" s="65" t="s">
        <v>170</v>
      </c>
      <c r="E23" s="65">
        <v>420000</v>
      </c>
      <c r="F23" s="65">
        <v>52178</v>
      </c>
    </row>
    <row r="24" spans="3:6">
      <c r="C24" s="65">
        <v>24</v>
      </c>
      <c r="D24" s="65" t="s">
        <v>170</v>
      </c>
      <c r="E24" s="65">
        <v>431000</v>
      </c>
      <c r="F24" s="65">
        <v>52637</v>
      </c>
    </row>
    <row r="25" spans="3:6">
      <c r="C25" s="65">
        <v>25</v>
      </c>
      <c r="D25" s="65" t="s">
        <v>170</v>
      </c>
      <c r="E25" s="65">
        <v>453000</v>
      </c>
      <c r="F25" s="65">
        <v>524</v>
      </c>
    </row>
    <row r="26" spans="3:6">
      <c r="C26" s="65">
        <v>26</v>
      </c>
      <c r="D26" s="65" t="s">
        <v>170</v>
      </c>
      <c r="E26" s="65">
        <v>553000</v>
      </c>
      <c r="F26" s="65">
        <v>52488</v>
      </c>
    </row>
    <row r="27" spans="3:6">
      <c r="C27" s="65">
        <v>27</v>
      </c>
      <c r="D27" s="65" t="s">
        <v>170</v>
      </c>
      <c r="E27" s="65">
        <v>367000</v>
      </c>
      <c r="F27" s="65">
        <v>52676</v>
      </c>
    </row>
    <row r="28" spans="3:6">
      <c r="C28" s="65">
        <v>28</v>
      </c>
      <c r="D28" s="65" t="s">
        <v>170</v>
      </c>
      <c r="E28" s="65">
        <v>681000</v>
      </c>
      <c r="F28" s="65">
        <v>5254</v>
      </c>
    </row>
    <row r="29" spans="3:6">
      <c r="C29" s="65">
        <v>29</v>
      </c>
      <c r="D29" s="65" t="s">
        <v>170</v>
      </c>
      <c r="E29" s="65">
        <v>558000</v>
      </c>
      <c r="F29" s="65">
        <v>5211</v>
      </c>
    </row>
    <row r="30" spans="3:6">
      <c r="C30" s="65">
        <v>30</v>
      </c>
      <c r="D30" s="65" t="s">
        <v>170</v>
      </c>
      <c r="E30" s="65">
        <v>426000</v>
      </c>
      <c r="F30" s="65">
        <v>52757</v>
      </c>
    </row>
    <row r="31" spans="3:6">
      <c r="C31" s="65">
        <v>31</v>
      </c>
      <c r="D31" s="65" t="s">
        <v>170</v>
      </c>
      <c r="E31" s="65">
        <v>680000</v>
      </c>
      <c r="F31" s="65">
        <v>5234</v>
      </c>
    </row>
    <row r="32" spans="3:6">
      <c r="C32" s="65">
        <v>32</v>
      </c>
      <c r="D32" s="65" t="s">
        <v>170</v>
      </c>
      <c r="E32" s="65">
        <v>610000</v>
      </c>
      <c r="F32" s="65">
        <v>5272</v>
      </c>
    </row>
    <row r="33" spans="3:6">
      <c r="C33" s="65">
        <v>33</v>
      </c>
      <c r="D33" s="65" t="s">
        <v>170</v>
      </c>
      <c r="E33" s="65">
        <v>517000</v>
      </c>
      <c r="F33" s="65">
        <v>52761</v>
      </c>
    </row>
    <row r="34" spans="3:6">
      <c r="C34" s="65">
        <v>34</v>
      </c>
      <c r="D34" s="65" t="s">
        <v>170</v>
      </c>
      <c r="E34" s="65">
        <v>494000</v>
      </c>
      <c r="F34" s="65">
        <v>52432</v>
      </c>
    </row>
    <row r="35" spans="3:6">
      <c r="C35" s="65">
        <v>35</v>
      </c>
      <c r="D35" s="65" t="s">
        <v>170</v>
      </c>
      <c r="E35" s="65">
        <v>560000</v>
      </c>
      <c r="F35" s="65">
        <v>5291</v>
      </c>
    </row>
    <row r="36" spans="3:6">
      <c r="C36" s="65">
        <v>36</v>
      </c>
      <c r="D36" s="65" t="s">
        <v>170</v>
      </c>
      <c r="E36" s="65">
        <v>344000</v>
      </c>
      <c r="F36" s="65">
        <v>52579</v>
      </c>
    </row>
    <row r="37" spans="3:6">
      <c r="C37" s="65">
        <v>37</v>
      </c>
      <c r="D37" s="65" t="s">
        <v>170</v>
      </c>
      <c r="E37" s="65">
        <v>465000</v>
      </c>
      <c r="F37" s="65">
        <v>52456</v>
      </c>
    </row>
    <row r="38" spans="3:6">
      <c r="C38" s="65">
        <v>38</v>
      </c>
      <c r="D38" s="65" t="s">
        <v>170</v>
      </c>
      <c r="E38" s="65">
        <v>593000</v>
      </c>
      <c r="F38" s="65">
        <v>52759</v>
      </c>
    </row>
    <row r="39" spans="3:6">
      <c r="C39" s="65">
        <v>39</v>
      </c>
      <c r="D39" s="65" t="s">
        <v>170</v>
      </c>
      <c r="E39" s="65">
        <v>595000</v>
      </c>
      <c r="F39" s="65">
        <v>52764</v>
      </c>
    </row>
    <row r="40" spans="3:6">
      <c r="C40" s="65">
        <v>40</v>
      </c>
      <c r="D40" s="65" t="s">
        <v>170</v>
      </c>
      <c r="E40" s="65">
        <v>335000</v>
      </c>
      <c r="F40" s="65">
        <v>52482</v>
      </c>
    </row>
    <row r="41" spans="3:6">
      <c r="C41" s="65">
        <v>41</v>
      </c>
      <c r="D41" s="65" t="s">
        <v>170</v>
      </c>
      <c r="E41" s="65">
        <v>674000</v>
      </c>
      <c r="F41" s="65">
        <v>52762</v>
      </c>
    </row>
    <row r="42" spans="3:6">
      <c r="C42" s="65">
        <v>42</v>
      </c>
      <c r="D42" s="65" t="s">
        <v>170</v>
      </c>
      <c r="E42" s="65">
        <v>638000</v>
      </c>
      <c r="F42" s="65">
        <v>516832</v>
      </c>
    </row>
    <row r="43" spans="3:6">
      <c r="C43" s="65">
        <v>43</v>
      </c>
      <c r="D43" s="65" t="s">
        <v>170</v>
      </c>
      <c r="E43" s="65">
        <v>430000</v>
      </c>
      <c r="F43" s="65">
        <v>516833</v>
      </c>
    </row>
    <row r="44" spans="3:6">
      <c r="C44" s="65">
        <v>44</v>
      </c>
      <c r="D44" s="65" t="s">
        <v>170</v>
      </c>
      <c r="E44" s="65">
        <v>628000</v>
      </c>
      <c r="F44" s="65">
        <v>516699</v>
      </c>
    </row>
    <row r="45" spans="3:6">
      <c r="C45" s="65">
        <v>45</v>
      </c>
      <c r="D45" s="65" t="s">
        <v>170</v>
      </c>
      <c r="E45" s="65">
        <v>512000</v>
      </c>
      <c r="F45" s="65">
        <v>516835</v>
      </c>
    </row>
    <row r="46" spans="3:6">
      <c r="C46" s="65">
        <v>46</v>
      </c>
      <c r="D46" s="65" t="s">
        <v>170</v>
      </c>
      <c r="E46" s="65">
        <v>538000</v>
      </c>
      <c r="F46" s="65">
        <v>51359</v>
      </c>
    </row>
    <row r="47" spans="3:6">
      <c r="C47" s="65">
        <v>47</v>
      </c>
      <c r="D47" s="65" t="s">
        <v>170</v>
      </c>
      <c r="E47" s="65">
        <v>693000</v>
      </c>
      <c r="F47" s="65">
        <v>5128</v>
      </c>
    </row>
    <row r="48" spans="3:6">
      <c r="C48" s="65">
        <v>48</v>
      </c>
      <c r="D48" s="65" t="s">
        <v>170</v>
      </c>
      <c r="E48" s="65">
        <v>320000</v>
      </c>
      <c r="F48" s="65">
        <v>51582</v>
      </c>
    </row>
    <row r="49" spans="3:6">
      <c r="C49" s="65">
        <v>49</v>
      </c>
      <c r="D49" s="65" t="s">
        <v>170</v>
      </c>
      <c r="E49" s="65">
        <v>500000</v>
      </c>
      <c r="F49" s="65">
        <v>512768</v>
      </c>
    </row>
    <row r="50" spans="3:6">
      <c r="C50" s="65">
        <v>50</v>
      </c>
      <c r="D50" s="65" t="s">
        <v>170</v>
      </c>
      <c r="E50" s="65">
        <v>611000</v>
      </c>
      <c r="F50" s="65">
        <v>517821</v>
      </c>
    </row>
    <row r="51" spans="3:6">
      <c r="C51" s="65">
        <v>51</v>
      </c>
      <c r="D51" s="65" t="s">
        <v>170</v>
      </c>
      <c r="E51" s="65">
        <v>658000</v>
      </c>
      <c r="F51" s="65">
        <v>51838</v>
      </c>
    </row>
    <row r="52" spans="3:6">
      <c r="C52" s="65">
        <v>52</v>
      </c>
      <c r="D52" s="65" t="s">
        <v>170</v>
      </c>
      <c r="E52" s="65">
        <v>300000</v>
      </c>
      <c r="F52" s="65">
        <v>518381</v>
      </c>
    </row>
    <row r="53" spans="3:6">
      <c r="C53" s="65">
        <v>53</v>
      </c>
      <c r="D53" s="65" t="s">
        <v>170</v>
      </c>
      <c r="E53" s="65">
        <v>543000</v>
      </c>
      <c r="F53" s="65">
        <v>517876</v>
      </c>
    </row>
    <row r="54" spans="3:6">
      <c r="C54" s="65">
        <v>54</v>
      </c>
      <c r="D54" s="65" t="s">
        <v>170</v>
      </c>
      <c r="E54" s="65">
        <v>525000</v>
      </c>
      <c r="F54" s="65">
        <v>514977</v>
      </c>
    </row>
    <row r="55" spans="3:6">
      <c r="C55" s="65">
        <v>55</v>
      </c>
      <c r="D55" s="65" t="s">
        <v>170</v>
      </c>
      <c r="E55" s="65">
        <v>574000</v>
      </c>
      <c r="F55" s="65">
        <v>514978</v>
      </c>
    </row>
    <row r="56" spans="3:6">
      <c r="C56" s="65">
        <v>56</v>
      </c>
      <c r="D56" s="65" t="s">
        <v>170</v>
      </c>
      <c r="E56" s="65">
        <v>417000</v>
      </c>
      <c r="F56" s="65">
        <v>514979</v>
      </c>
    </row>
    <row r="57" spans="3:6">
      <c r="C57" s="65">
        <v>57</v>
      </c>
      <c r="D57" s="65" t="s">
        <v>170</v>
      </c>
      <c r="E57" s="65">
        <v>395000</v>
      </c>
      <c r="F57" s="65">
        <v>4127</v>
      </c>
    </row>
    <row r="58" spans="3:6">
      <c r="C58" s="65">
        <v>58</v>
      </c>
      <c r="D58" s="65" t="s">
        <v>170</v>
      </c>
      <c r="E58" s="65">
        <v>399000</v>
      </c>
      <c r="F58" s="65">
        <v>4136</v>
      </c>
    </row>
    <row r="59" spans="3:6">
      <c r="C59" s="65">
        <v>59</v>
      </c>
      <c r="D59" s="65" t="s">
        <v>170</v>
      </c>
      <c r="E59" s="65">
        <v>600000</v>
      </c>
      <c r="F59" s="65">
        <v>4872</v>
      </c>
    </row>
    <row r="60" spans="3:6">
      <c r="C60" s="65">
        <v>60</v>
      </c>
      <c r="D60" s="65" t="s">
        <v>170</v>
      </c>
      <c r="E60" s="65">
        <v>592000</v>
      </c>
      <c r="F60" s="65">
        <v>4864</v>
      </c>
    </row>
    <row r="61" spans="3:6">
      <c r="C61" s="65">
        <v>61</v>
      </c>
      <c r="D61" s="65" t="s">
        <v>170</v>
      </c>
      <c r="E61" s="65">
        <v>503000</v>
      </c>
      <c r="F61" s="65">
        <v>4126</v>
      </c>
    </row>
    <row r="62" spans="3:6">
      <c r="C62" s="65">
        <v>62</v>
      </c>
      <c r="D62" s="65" t="s">
        <v>170</v>
      </c>
      <c r="E62" s="65">
        <v>622000</v>
      </c>
      <c r="F62" s="65">
        <v>4125</v>
      </c>
    </row>
    <row r="63" spans="3:6">
      <c r="C63" s="65">
        <v>63</v>
      </c>
      <c r="D63" s="65" t="s">
        <v>170</v>
      </c>
      <c r="E63" s="65">
        <v>356000</v>
      </c>
      <c r="F63" s="65">
        <v>41147</v>
      </c>
    </row>
    <row r="64" spans="3:6">
      <c r="C64" s="65">
        <v>64</v>
      </c>
      <c r="D64" s="65" t="s">
        <v>170</v>
      </c>
      <c r="E64" s="65">
        <v>619000</v>
      </c>
      <c r="F64" s="65">
        <v>4749</v>
      </c>
    </row>
    <row r="65" spans="3:6">
      <c r="C65" s="65">
        <v>65</v>
      </c>
      <c r="D65" s="65" t="s">
        <v>170</v>
      </c>
      <c r="E65" s="65">
        <v>474000</v>
      </c>
      <c r="F65" s="65">
        <v>475</v>
      </c>
    </row>
    <row r="66" spans="3:6">
      <c r="C66" s="65">
        <v>66</v>
      </c>
      <c r="D66" s="65" t="s">
        <v>170</v>
      </c>
      <c r="E66" s="65">
        <v>484000</v>
      </c>
      <c r="F66" s="65">
        <v>4882</v>
      </c>
    </row>
    <row r="67" spans="3:6">
      <c r="C67" s="65">
        <v>67</v>
      </c>
      <c r="D67" s="65" t="s">
        <v>170</v>
      </c>
      <c r="E67" s="65">
        <v>535000</v>
      </c>
      <c r="F67" s="65">
        <v>4883</v>
      </c>
    </row>
    <row r="68" spans="3:6">
      <c r="C68" s="65">
        <v>68</v>
      </c>
      <c r="D68" s="65" t="s">
        <v>170</v>
      </c>
      <c r="E68" s="65">
        <v>579000</v>
      </c>
      <c r="F68" s="65">
        <v>4884</v>
      </c>
    </row>
    <row r="69" spans="3:6">
      <c r="C69" s="65">
        <v>69</v>
      </c>
      <c r="D69" s="65" t="s">
        <v>170</v>
      </c>
      <c r="E69" s="65">
        <v>429000</v>
      </c>
      <c r="F69" s="65">
        <v>4751</v>
      </c>
    </row>
    <row r="70" spans="3:6">
      <c r="C70" s="65">
        <v>70</v>
      </c>
      <c r="D70" s="65" t="s">
        <v>170</v>
      </c>
      <c r="E70" s="65">
        <v>660000</v>
      </c>
      <c r="F70" s="65">
        <v>4785</v>
      </c>
    </row>
    <row r="71" spans="3:6">
      <c r="C71" s="65">
        <v>71</v>
      </c>
      <c r="D71" s="65" t="s">
        <v>170</v>
      </c>
      <c r="E71" s="65">
        <v>504000</v>
      </c>
      <c r="F71" s="65">
        <v>4818</v>
      </c>
    </row>
    <row r="72" spans="3:6">
      <c r="C72" s="65">
        <v>72</v>
      </c>
      <c r="D72" s="65" t="s">
        <v>170</v>
      </c>
      <c r="E72" s="65">
        <v>654000</v>
      </c>
      <c r="F72" s="65">
        <v>63184</v>
      </c>
    </row>
    <row r="73" spans="3:6">
      <c r="C73" s="65">
        <v>73</v>
      </c>
      <c r="D73" s="65" t="s">
        <v>170</v>
      </c>
      <c r="E73" s="65">
        <v>602000</v>
      </c>
      <c r="F73" s="65">
        <v>63151</v>
      </c>
    </row>
    <row r="74" spans="3:6">
      <c r="C74" s="65">
        <v>74</v>
      </c>
      <c r="D74" s="65" t="s">
        <v>170</v>
      </c>
      <c r="E74" s="65">
        <v>316000</v>
      </c>
      <c r="F74" s="65">
        <v>639613</v>
      </c>
    </row>
    <row r="75" spans="3:6">
      <c r="C75" s="65">
        <v>75</v>
      </c>
      <c r="D75" s="65" t="s">
        <v>170</v>
      </c>
      <c r="E75" s="65">
        <v>638000</v>
      </c>
      <c r="F75" s="65">
        <v>6324</v>
      </c>
    </row>
    <row r="76" spans="3:6">
      <c r="C76" s="65">
        <v>76</v>
      </c>
      <c r="D76" s="65" t="s">
        <v>170</v>
      </c>
      <c r="E76" s="65">
        <v>435000</v>
      </c>
      <c r="F76" s="65">
        <v>63194</v>
      </c>
    </row>
    <row r="77" spans="3:6">
      <c r="C77" s="65">
        <v>77</v>
      </c>
      <c r="D77" s="65" t="s">
        <v>170</v>
      </c>
      <c r="E77" s="65">
        <v>387000</v>
      </c>
      <c r="F77" s="65">
        <v>631835</v>
      </c>
    </row>
    <row r="78" spans="3:6">
      <c r="C78" s="65">
        <v>78</v>
      </c>
      <c r="D78" s="65" t="s">
        <v>170</v>
      </c>
      <c r="E78" s="65">
        <v>592000</v>
      </c>
      <c r="F78" s="65">
        <v>631185</v>
      </c>
    </row>
    <row r="79" spans="3:6">
      <c r="C79" s="65">
        <v>79</v>
      </c>
      <c r="D79" s="65" t="s">
        <v>170</v>
      </c>
      <c r="E79" s="65">
        <v>687000</v>
      </c>
      <c r="F79" s="65">
        <v>631198</v>
      </c>
    </row>
    <row r="80" spans="3:6">
      <c r="C80" s="65">
        <v>80</v>
      </c>
      <c r="D80" s="65" t="s">
        <v>170</v>
      </c>
      <c r="E80" s="65">
        <v>567000</v>
      </c>
      <c r="F80" s="65">
        <v>631186</v>
      </c>
    </row>
    <row r="81" spans="3:6">
      <c r="C81" s="65">
        <v>81</v>
      </c>
      <c r="D81" s="65" t="s">
        <v>170</v>
      </c>
      <c r="E81" s="65">
        <v>406000</v>
      </c>
      <c r="F81" s="65">
        <v>631417</v>
      </c>
    </row>
    <row r="82" spans="3:6">
      <c r="C82" s="65">
        <v>82</v>
      </c>
      <c r="D82" s="65" t="s">
        <v>170</v>
      </c>
      <c r="E82" s="65">
        <v>412000</v>
      </c>
      <c r="F82" s="65">
        <v>63839</v>
      </c>
    </row>
    <row r="83" spans="3:6">
      <c r="C83" s="65">
        <v>83</v>
      </c>
      <c r="D83" s="65" t="s">
        <v>170</v>
      </c>
      <c r="E83" s="65">
        <v>315000</v>
      </c>
      <c r="F83" s="65">
        <v>634345</v>
      </c>
    </row>
    <row r="84" spans="3:6">
      <c r="C84" s="65">
        <v>84</v>
      </c>
      <c r="D84" s="65" t="s">
        <v>170</v>
      </c>
      <c r="E84" s="65">
        <v>459000</v>
      </c>
      <c r="F84" s="65">
        <v>63227</v>
      </c>
    </row>
    <row r="85" spans="3:6">
      <c r="C85" s="65">
        <v>85</v>
      </c>
      <c r="D85" s="65" t="s">
        <v>170</v>
      </c>
      <c r="E85" s="65">
        <v>653000</v>
      </c>
      <c r="F85" s="65">
        <v>514338</v>
      </c>
    </row>
    <row r="86" spans="3:6">
      <c r="C86" s="65">
        <v>86</v>
      </c>
      <c r="D86" s="65" t="s">
        <v>170</v>
      </c>
      <c r="E86" s="65">
        <v>606000</v>
      </c>
      <c r="F86" s="65">
        <v>51677</v>
      </c>
    </row>
    <row r="87" spans="3:6">
      <c r="C87" s="65">
        <v>87</v>
      </c>
      <c r="D87" s="65" t="s">
        <v>170</v>
      </c>
      <c r="E87" s="65">
        <v>417000</v>
      </c>
      <c r="F87" s="65">
        <v>516118</v>
      </c>
    </row>
    <row r="88" spans="3:6">
      <c r="C88" s="65">
        <v>88</v>
      </c>
      <c r="D88" s="65" t="s">
        <v>170</v>
      </c>
      <c r="E88" s="65">
        <v>405000</v>
      </c>
      <c r="F88" s="65">
        <v>51678</v>
      </c>
    </row>
    <row r="89" spans="3:6">
      <c r="C89" s="65">
        <v>89</v>
      </c>
      <c r="D89" s="65" t="s">
        <v>170</v>
      </c>
      <c r="E89" s="65">
        <v>483000</v>
      </c>
      <c r="F89" s="65">
        <v>516974</v>
      </c>
    </row>
    <row r="90" spans="3:6">
      <c r="C90" s="65">
        <v>90</v>
      </c>
      <c r="D90" s="65" t="s">
        <v>170</v>
      </c>
      <c r="E90" s="65">
        <v>343000</v>
      </c>
      <c r="F90" s="65">
        <v>511489</v>
      </c>
    </row>
    <row r="91" spans="3:6">
      <c r="C91" s="65">
        <v>91</v>
      </c>
      <c r="D91" s="65" t="s">
        <v>170</v>
      </c>
      <c r="E91" s="65">
        <v>342000</v>
      </c>
      <c r="F91" s="65">
        <v>511616</v>
      </c>
    </row>
    <row r="92" spans="3:6">
      <c r="C92" s="65">
        <v>92</v>
      </c>
      <c r="D92" s="65" t="s">
        <v>170</v>
      </c>
      <c r="E92" s="65">
        <v>654000</v>
      </c>
      <c r="F92" s="65">
        <v>512393</v>
      </c>
    </row>
    <row r="93" spans="3:6">
      <c r="C93" s="65">
        <v>93</v>
      </c>
      <c r="D93" s="65" t="s">
        <v>170</v>
      </c>
      <c r="E93" s="65">
        <v>556000</v>
      </c>
      <c r="F93" s="65">
        <v>512387</v>
      </c>
    </row>
    <row r="94" spans="3:6">
      <c r="C94" s="65">
        <v>94</v>
      </c>
      <c r="D94" s="65" t="s">
        <v>170</v>
      </c>
      <c r="E94" s="65">
        <v>456000</v>
      </c>
      <c r="F94" s="65">
        <v>512388</v>
      </c>
    </row>
    <row r="95" spans="3:6">
      <c r="C95" s="65">
        <v>95</v>
      </c>
      <c r="D95" s="65" t="s">
        <v>170</v>
      </c>
      <c r="E95" s="65">
        <v>301000</v>
      </c>
      <c r="F95" s="65">
        <v>512414</v>
      </c>
    </row>
    <row r="96" spans="3:6">
      <c r="C96" s="65">
        <v>96</v>
      </c>
      <c r="D96" s="65" t="s">
        <v>170</v>
      </c>
      <c r="E96" s="65">
        <v>452000</v>
      </c>
      <c r="F96" s="65">
        <v>51258</v>
      </c>
    </row>
    <row r="97" spans="3:6">
      <c r="C97" s="65">
        <v>97</v>
      </c>
      <c r="D97" s="65" t="s">
        <v>170</v>
      </c>
      <c r="E97" s="65">
        <v>620000</v>
      </c>
      <c r="F97" s="65">
        <v>512731</v>
      </c>
    </row>
    <row r="98" spans="3:6">
      <c r="C98" s="65">
        <v>98</v>
      </c>
      <c r="D98" s="65" t="s">
        <v>170</v>
      </c>
      <c r="E98" s="65">
        <v>577000</v>
      </c>
      <c r="F98" s="65">
        <v>518827</v>
      </c>
    </row>
    <row r="99" spans="3:6">
      <c r="C99" s="65">
        <v>99</v>
      </c>
      <c r="D99" s="65" t="s">
        <v>170</v>
      </c>
      <c r="E99" s="65">
        <v>419000</v>
      </c>
      <c r="F99" s="65">
        <v>516614</v>
      </c>
    </row>
    <row r="100" spans="3:6">
      <c r="C100" s="65">
        <v>100</v>
      </c>
      <c r="D100" s="65" t="s">
        <v>170</v>
      </c>
      <c r="E100" s="65">
        <v>370000</v>
      </c>
      <c r="F100" s="65">
        <v>516615</v>
      </c>
    </row>
    <row r="101" spans="3:6">
      <c r="C101" s="65">
        <v>101</v>
      </c>
      <c r="D101" s="65" t="s">
        <v>170</v>
      </c>
      <c r="E101" s="65">
        <v>520000</v>
      </c>
      <c r="F101" s="65">
        <v>516616</v>
      </c>
    </row>
    <row r="102" spans="3:6">
      <c r="C102" s="65">
        <v>102</v>
      </c>
      <c r="D102" s="65" t="s">
        <v>170</v>
      </c>
      <c r="E102" s="65">
        <v>450000</v>
      </c>
      <c r="F102" s="65">
        <v>51366</v>
      </c>
    </row>
    <row r="103" spans="3:6">
      <c r="C103" s="65">
        <v>103</v>
      </c>
      <c r="D103" s="65" t="s">
        <v>170</v>
      </c>
      <c r="E103" s="65">
        <v>642000</v>
      </c>
      <c r="F103" s="65">
        <v>517628</v>
      </c>
    </row>
    <row r="104" spans="3:6">
      <c r="C104" s="65">
        <v>104</v>
      </c>
      <c r="D104" s="65" t="s">
        <v>170</v>
      </c>
      <c r="E104" s="65">
        <v>307000</v>
      </c>
      <c r="F104" s="65">
        <v>51249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L26" sqref="L26"/>
    </sheetView>
  </sheetViews>
  <sheetFormatPr defaultRowHeight="14.5"/>
  <cols>
    <col min="1" max="1" width="11.90625" customWidth="1"/>
    <col min="2" max="2" width="17.453125" customWidth="1"/>
  </cols>
  <sheetData>
    <row r="1" spans="1:2" ht="29">
      <c r="A1" s="7">
        <v>1</v>
      </c>
      <c r="B1" s="7" t="s">
        <v>208</v>
      </c>
    </row>
    <row r="2" spans="1:2">
      <c r="A2" s="7">
        <v>2</v>
      </c>
      <c r="B2" s="7" t="s">
        <v>209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workbookViewId="0">
      <selection activeCell="B1" sqref="B1:D4"/>
    </sheetView>
  </sheetViews>
  <sheetFormatPr defaultRowHeight="14.5"/>
  <cols>
    <col min="2" max="2" width="13.54296875" customWidth="1"/>
    <col min="3" max="3" width="13.08984375" customWidth="1"/>
    <col min="4" max="4" width="11.54296875" customWidth="1"/>
  </cols>
  <sheetData>
    <row r="1" spans="2:4">
      <c r="B1" s="65">
        <v>1</v>
      </c>
      <c r="C1" s="65">
        <v>510</v>
      </c>
      <c r="D1" s="65">
        <v>9</v>
      </c>
    </row>
    <row r="2" spans="2:4">
      <c r="B2" s="65">
        <v>2</v>
      </c>
      <c r="C2" s="65">
        <v>630</v>
      </c>
      <c r="D2" s="65">
        <v>30</v>
      </c>
    </row>
    <row r="3" spans="2:4">
      <c r="B3" s="65">
        <v>3</v>
      </c>
      <c r="C3" s="65">
        <v>520</v>
      </c>
      <c r="D3" s="65">
        <v>16</v>
      </c>
    </row>
    <row r="4" spans="2:4">
      <c r="B4" s="65">
        <v>4</v>
      </c>
      <c r="C4" s="65">
        <v>40</v>
      </c>
      <c r="D4" s="65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L12" sqref="L12"/>
    </sheetView>
  </sheetViews>
  <sheetFormatPr defaultRowHeight="14.5"/>
  <cols>
    <col min="2" max="2" width="18.90625" customWidth="1"/>
  </cols>
  <sheetData>
    <row r="1" spans="1:2" ht="43.5">
      <c r="A1" s="7">
        <v>1</v>
      </c>
      <c r="B1" s="7" t="s">
        <v>210</v>
      </c>
    </row>
    <row r="2" spans="1:2" ht="43.5">
      <c r="A2" s="7">
        <v>2</v>
      </c>
      <c r="B2" s="7" t="s">
        <v>211</v>
      </c>
    </row>
    <row r="3" spans="1:2" ht="43.5">
      <c r="A3" s="7">
        <v>3</v>
      </c>
      <c r="B3" s="7" t="s">
        <v>212</v>
      </c>
    </row>
    <row r="4" spans="1:2" ht="29">
      <c r="A4" s="7">
        <v>4</v>
      </c>
      <c r="B4" s="7" t="s">
        <v>213</v>
      </c>
    </row>
    <row r="5" spans="1:2" ht="43.5">
      <c r="A5" s="7">
        <v>5</v>
      </c>
      <c r="B5" s="7" t="s">
        <v>214</v>
      </c>
    </row>
    <row r="6" spans="1:2" ht="29">
      <c r="A6" s="7">
        <v>6</v>
      </c>
      <c r="B6" s="7" t="s">
        <v>215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tabSelected="1" workbookViewId="0">
      <selection activeCell="I14" sqref="I14"/>
    </sheetView>
  </sheetViews>
  <sheetFormatPr defaultRowHeight="14.5"/>
  <cols>
    <col min="2" max="2" width="10.08984375" customWidth="1"/>
    <col min="3" max="3" width="18.08984375" customWidth="1"/>
    <col min="4" max="4" width="13.6328125" customWidth="1"/>
    <col min="5" max="5" width="19.1796875" customWidth="1"/>
  </cols>
  <sheetData>
    <row r="1" spans="2:6" ht="29">
      <c r="B1" s="65">
        <v>1</v>
      </c>
      <c r="C1" s="65" t="s">
        <v>4</v>
      </c>
      <c r="D1" s="65">
        <v>1</v>
      </c>
      <c r="E1" s="65" t="s">
        <v>5</v>
      </c>
      <c r="F1" s="65" t="s">
        <v>6</v>
      </c>
    </row>
    <row r="2" spans="2:6" ht="29">
      <c r="B2" s="65">
        <v>2</v>
      </c>
      <c r="C2" s="65" t="s">
        <v>7</v>
      </c>
      <c r="D2" s="65">
        <v>1</v>
      </c>
      <c r="E2" s="65" t="s">
        <v>8</v>
      </c>
      <c r="F2" s="65" t="s">
        <v>9</v>
      </c>
    </row>
    <row r="3" spans="2:6" ht="29">
      <c r="B3" s="65">
        <v>3</v>
      </c>
      <c r="C3" s="65" t="s">
        <v>10</v>
      </c>
      <c r="D3" s="65">
        <v>1</v>
      </c>
      <c r="E3" s="65" t="s">
        <v>11</v>
      </c>
      <c r="F3" s="65">
        <v>1</v>
      </c>
    </row>
    <row r="4" spans="2:6" ht="43.5">
      <c r="B4" s="65">
        <v>4</v>
      </c>
      <c r="C4" s="65" t="s">
        <v>12</v>
      </c>
      <c r="D4" s="65">
        <v>2</v>
      </c>
      <c r="E4" s="65" t="s">
        <v>13</v>
      </c>
      <c r="F4" s="65" t="s">
        <v>14</v>
      </c>
    </row>
    <row r="5" spans="2:6" ht="29">
      <c r="B5" s="65">
        <v>5</v>
      </c>
      <c r="C5" s="65" t="s">
        <v>15</v>
      </c>
      <c r="D5" s="65">
        <v>2</v>
      </c>
      <c r="E5" s="65" t="s">
        <v>16</v>
      </c>
      <c r="F5" s="65" t="s">
        <v>17</v>
      </c>
    </row>
    <row r="6" spans="2:6" ht="29">
      <c r="B6" s="65">
        <v>6</v>
      </c>
      <c r="C6" s="65" t="s">
        <v>18</v>
      </c>
      <c r="D6" s="65">
        <v>2</v>
      </c>
      <c r="E6" s="65" t="s">
        <v>19</v>
      </c>
      <c r="F6" s="65" t="s">
        <v>20</v>
      </c>
    </row>
    <row r="7" spans="2:6" ht="29">
      <c r="B7" s="65">
        <v>7</v>
      </c>
      <c r="C7" s="65" t="s">
        <v>21</v>
      </c>
      <c r="D7" s="65">
        <v>2</v>
      </c>
      <c r="E7" s="65" t="s">
        <v>22</v>
      </c>
      <c r="F7" s="65" t="s">
        <v>23</v>
      </c>
    </row>
    <row r="8" spans="2:6" ht="29">
      <c r="B8" s="65">
        <v>8</v>
      </c>
      <c r="C8" s="65" t="s">
        <v>24</v>
      </c>
      <c r="D8" s="65">
        <v>2</v>
      </c>
      <c r="E8" s="65" t="s">
        <v>25</v>
      </c>
      <c r="F8" s="65" t="s">
        <v>26</v>
      </c>
    </row>
    <row r="9" spans="2:6" ht="29">
      <c r="B9" s="65">
        <v>9</v>
      </c>
      <c r="C9" s="65" t="s">
        <v>27</v>
      </c>
      <c r="D9" s="65">
        <v>2</v>
      </c>
      <c r="E9" s="65" t="s">
        <v>28</v>
      </c>
      <c r="F9" s="6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15" workbookViewId="0"/>
  </sheetViews>
  <sheetFormatPr defaultRowHeight="14.5"/>
  <cols>
    <col min="1" max="1" width="12.81640625" customWidth="1"/>
  </cols>
  <sheetData>
    <row r="1" spans="1:2">
      <c r="A1" s="1" t="s">
        <v>132</v>
      </c>
      <c r="B1">
        <v>1</v>
      </c>
    </row>
    <row r="2" spans="1:2">
      <c r="A2" s="1" t="s">
        <v>133</v>
      </c>
      <c r="B2">
        <v>2</v>
      </c>
    </row>
    <row r="3" spans="1:2">
      <c r="A3" s="1" t="s">
        <v>134</v>
      </c>
      <c r="B3">
        <v>3</v>
      </c>
    </row>
    <row r="4" spans="1:2">
      <c r="A4" s="1" t="s">
        <v>135</v>
      </c>
      <c r="B4">
        <v>4</v>
      </c>
    </row>
    <row r="5" spans="1:2">
      <c r="A5" s="2" t="s">
        <v>136</v>
      </c>
      <c r="B5">
        <v>5</v>
      </c>
    </row>
    <row r="6" spans="1:2">
      <c r="A6" s="1" t="s">
        <v>137</v>
      </c>
      <c r="B6">
        <v>6</v>
      </c>
    </row>
    <row r="7" spans="1:2">
      <c r="A7" s="1" t="s">
        <v>138</v>
      </c>
      <c r="B7">
        <v>7</v>
      </c>
    </row>
    <row r="8" spans="1:2">
      <c r="A8" s="3" t="s">
        <v>139</v>
      </c>
      <c r="B8">
        <v>8</v>
      </c>
    </row>
    <row r="9" spans="1:2">
      <c r="A9" s="1" t="s">
        <v>140</v>
      </c>
      <c r="B9">
        <v>9</v>
      </c>
    </row>
    <row r="10" spans="1:2">
      <c r="A10" s="1" t="s">
        <v>141</v>
      </c>
      <c r="B10">
        <v>10</v>
      </c>
    </row>
    <row r="11" spans="1:2" ht="28">
      <c r="A11" s="1" t="s">
        <v>0</v>
      </c>
      <c r="B11">
        <v>11</v>
      </c>
    </row>
    <row r="12" spans="1:2" ht="28">
      <c r="A12" s="1" t="s">
        <v>1</v>
      </c>
      <c r="B12">
        <v>12</v>
      </c>
    </row>
    <row r="13" spans="1:2" ht="28">
      <c r="A13" s="1" t="s">
        <v>2</v>
      </c>
      <c r="B13">
        <v>13</v>
      </c>
    </row>
    <row r="14" spans="1:2" ht="28">
      <c r="A14" s="1" t="s">
        <v>3</v>
      </c>
      <c r="B14">
        <v>14</v>
      </c>
    </row>
    <row r="15" spans="1:2">
      <c r="A15" s="1" t="s">
        <v>142</v>
      </c>
      <c r="B15">
        <v>15</v>
      </c>
    </row>
    <row r="16" spans="1:2">
      <c r="A16" s="1" t="s">
        <v>143</v>
      </c>
      <c r="B16">
        <v>16</v>
      </c>
    </row>
    <row r="17" spans="1:2" ht="15" thickBot="1">
      <c r="A17" s="4" t="s">
        <v>144</v>
      </c>
      <c r="B17">
        <v>17</v>
      </c>
    </row>
    <row r="18" spans="1:2">
      <c r="A18" s="1" t="s">
        <v>145</v>
      </c>
      <c r="B18">
        <v>18</v>
      </c>
    </row>
    <row r="19" spans="1:2">
      <c r="A19" s="1" t="s">
        <v>146</v>
      </c>
      <c r="B19">
        <v>19</v>
      </c>
    </row>
    <row r="20" spans="1:2">
      <c r="A20" s="1" t="s">
        <v>147</v>
      </c>
      <c r="B20">
        <v>20</v>
      </c>
    </row>
    <row r="21" spans="1:2">
      <c r="A21" s="5" t="s">
        <v>148</v>
      </c>
      <c r="B21">
        <v>21</v>
      </c>
    </row>
    <row r="22" spans="1:2">
      <c r="A22" s="5" t="s">
        <v>149</v>
      </c>
      <c r="B22">
        <v>22</v>
      </c>
    </row>
    <row r="23" spans="1:2">
      <c r="A23" s="6" t="s">
        <v>150</v>
      </c>
      <c r="B23">
        <v>23</v>
      </c>
    </row>
    <row r="24" spans="1:2">
      <c r="A24" s="6" t="s">
        <v>151</v>
      </c>
      <c r="B24">
        <v>24</v>
      </c>
    </row>
    <row r="25" spans="1:2">
      <c r="A25" s="6" t="s">
        <v>152</v>
      </c>
      <c r="B25">
        <v>25</v>
      </c>
    </row>
    <row r="26" spans="1:2">
      <c r="A26" s="6" t="s">
        <v>153</v>
      </c>
      <c r="B26">
        <v>26</v>
      </c>
    </row>
    <row r="27" spans="1:2">
      <c r="A27" s="1" t="s">
        <v>154</v>
      </c>
      <c r="B27">
        <v>27</v>
      </c>
    </row>
    <row r="28" spans="1:2">
      <c r="A28" s="1" t="s">
        <v>155</v>
      </c>
      <c r="B28">
        <v>28</v>
      </c>
    </row>
    <row r="29" spans="1:2">
      <c r="A29" s="1" t="s">
        <v>156</v>
      </c>
      <c r="B29">
        <v>29</v>
      </c>
    </row>
    <row r="30" spans="1:2">
      <c r="A30" s="1" t="s">
        <v>157</v>
      </c>
      <c r="B30">
        <v>30</v>
      </c>
    </row>
    <row r="31" spans="1:2">
      <c r="A31" s="1" t="s">
        <v>158</v>
      </c>
      <c r="B31">
        <v>31</v>
      </c>
    </row>
    <row r="32" spans="1:2">
      <c r="A32" s="1" t="s">
        <v>159</v>
      </c>
      <c r="B32">
        <v>32</v>
      </c>
    </row>
    <row r="33" spans="1:2">
      <c r="A33" s="1" t="s">
        <v>160</v>
      </c>
      <c r="B33">
        <v>33</v>
      </c>
    </row>
    <row r="34" spans="1:2">
      <c r="A34" s="1" t="s">
        <v>161</v>
      </c>
      <c r="B34">
        <v>34</v>
      </c>
    </row>
    <row r="35" spans="1:2">
      <c r="A35" s="1" t="s">
        <v>162</v>
      </c>
      <c r="B35">
        <v>35</v>
      </c>
    </row>
    <row r="36" spans="1:2">
      <c r="A36" s="1" t="s">
        <v>163</v>
      </c>
      <c r="B36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7"/>
  <sheetViews>
    <sheetView topLeftCell="D1" workbookViewId="0">
      <selection activeCell="G11" sqref="G11"/>
    </sheetView>
  </sheetViews>
  <sheetFormatPr defaultRowHeight="14.5"/>
  <cols>
    <col min="3" max="3" width="39.81640625" customWidth="1"/>
    <col min="4" max="4" width="11.08984375" customWidth="1"/>
    <col min="5" max="5" width="28.1796875" customWidth="1"/>
    <col min="6" max="6" width="20" customWidth="1"/>
    <col min="7" max="7" width="43.90625" customWidth="1"/>
    <col min="10" max="10" width="39.81640625" customWidth="1"/>
    <col min="11" max="11" width="43.90625" customWidth="1"/>
  </cols>
  <sheetData>
    <row r="1" spans="3:11" ht="37" customHeight="1">
      <c r="C1" s="7" t="s">
        <v>12</v>
      </c>
      <c r="D1">
        <v>2</v>
      </c>
      <c r="E1" s="7" t="s">
        <v>13</v>
      </c>
      <c r="F1" s="7" t="s">
        <v>14</v>
      </c>
      <c r="G1" s="7" t="s">
        <v>164</v>
      </c>
      <c r="I1" s="64">
        <v>1</v>
      </c>
      <c r="J1" s="65" t="s">
        <v>12</v>
      </c>
      <c r="K1" s="65" t="s">
        <v>164</v>
      </c>
    </row>
    <row r="2" spans="3:11" ht="31">
      <c r="C2" s="7" t="s">
        <v>15</v>
      </c>
      <c r="D2">
        <v>2</v>
      </c>
      <c r="E2" s="7" t="s">
        <v>16</v>
      </c>
      <c r="F2" s="7" t="s">
        <v>17</v>
      </c>
      <c r="G2" s="29" t="s">
        <v>165</v>
      </c>
      <c r="I2" s="64">
        <v>2</v>
      </c>
      <c r="J2" s="65" t="s">
        <v>15</v>
      </c>
      <c r="K2" s="66" t="s">
        <v>165</v>
      </c>
    </row>
    <row r="3" spans="3:11" ht="31">
      <c r="C3" s="7" t="s">
        <v>18</v>
      </c>
      <c r="D3">
        <v>2</v>
      </c>
      <c r="E3" s="7" t="s">
        <v>19</v>
      </c>
      <c r="F3" s="7" t="s">
        <v>20</v>
      </c>
      <c r="G3" s="29" t="s">
        <v>166</v>
      </c>
      <c r="I3" s="64">
        <v>3</v>
      </c>
      <c r="J3" s="65" t="s">
        <v>18</v>
      </c>
      <c r="K3" s="66" t="s">
        <v>166</v>
      </c>
    </row>
    <row r="4" spans="3:11" ht="31">
      <c r="C4" s="7" t="s">
        <v>21</v>
      </c>
      <c r="D4">
        <v>2</v>
      </c>
      <c r="E4" s="7" t="s">
        <v>22</v>
      </c>
      <c r="F4" s="7" t="s">
        <v>23</v>
      </c>
      <c r="G4" s="29" t="s">
        <v>167</v>
      </c>
      <c r="I4" s="64">
        <v>4</v>
      </c>
      <c r="J4" s="65" t="s">
        <v>21</v>
      </c>
      <c r="K4" s="66" t="s">
        <v>167</v>
      </c>
    </row>
    <row r="5" spans="3:11" ht="31">
      <c r="C5" s="7" t="s">
        <v>24</v>
      </c>
      <c r="D5">
        <v>2</v>
      </c>
      <c r="E5" s="7" t="s">
        <v>25</v>
      </c>
      <c r="F5" s="7" t="s">
        <v>26</v>
      </c>
      <c r="G5" s="29" t="s">
        <v>168</v>
      </c>
      <c r="I5" s="64">
        <v>5</v>
      </c>
      <c r="J5" s="65" t="s">
        <v>24</v>
      </c>
      <c r="K5" s="66" t="s">
        <v>168</v>
      </c>
    </row>
    <row r="6" spans="3:11" ht="31">
      <c r="C6" s="7" t="s">
        <v>27</v>
      </c>
      <c r="D6">
        <v>2</v>
      </c>
      <c r="E6" s="7" t="s">
        <v>28</v>
      </c>
      <c r="F6" s="7">
        <v>1</v>
      </c>
      <c r="G6" s="29" t="s">
        <v>169</v>
      </c>
      <c r="I6" s="64">
        <v>6</v>
      </c>
      <c r="J6" s="65" t="s">
        <v>27</v>
      </c>
      <c r="K6" s="66" t="s">
        <v>169</v>
      </c>
    </row>
    <row r="7" spans="3:11">
      <c r="C7" s="7"/>
      <c r="E7" s="7"/>
      <c r="F7" s="7"/>
      <c r="J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105"/>
  <sheetViews>
    <sheetView topLeftCell="S43" workbookViewId="0">
      <selection activeCell="T1" sqref="T1:Z49"/>
    </sheetView>
  </sheetViews>
  <sheetFormatPr defaultRowHeight="14.5"/>
  <cols>
    <col min="4" max="4" width="12.54296875" customWidth="1"/>
    <col min="6" max="6" width="43.6328125" customWidth="1"/>
    <col min="8" max="8" width="12.90625" customWidth="1"/>
    <col min="16" max="16" width="28.81640625" style="30" customWidth="1"/>
    <col min="17" max="17" width="43" style="30" customWidth="1"/>
    <col min="20" max="20" width="14.54296875" customWidth="1"/>
    <col min="21" max="21" width="15.81640625" customWidth="1"/>
    <col min="22" max="22" width="17.7265625" customWidth="1"/>
    <col min="23" max="23" width="27.90625" customWidth="1"/>
    <col min="24" max="24" width="18.36328125" customWidth="1"/>
    <col min="25" max="25" width="26.7265625" customWidth="1"/>
  </cols>
  <sheetData>
    <row r="1" spans="3:26" ht="29">
      <c r="C1" t="s">
        <v>29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P1" s="30" t="s">
        <v>29</v>
      </c>
      <c r="Q1" s="30" t="s">
        <v>173</v>
      </c>
      <c r="T1" s="7">
        <v>1</v>
      </c>
      <c r="U1" s="63">
        <v>44943</v>
      </c>
      <c r="V1" s="7">
        <v>620000</v>
      </c>
      <c r="W1" s="7" t="s">
        <v>37</v>
      </c>
      <c r="X1" s="7">
        <v>6</v>
      </c>
      <c r="Y1" s="7">
        <v>63768</v>
      </c>
      <c r="Z1" s="7">
        <v>2</v>
      </c>
    </row>
    <row r="2" spans="3:26" ht="24" customHeight="1">
      <c r="D2" s="33">
        <v>44943</v>
      </c>
      <c r="E2">
        <f>310000*2</f>
        <v>620000</v>
      </c>
      <c r="F2" s="7" t="str">
        <f>VLOOKUP(H2,P2:$Q$105,2,0)</f>
        <v>Пруток ВТ3-1 КВ 190 ТУ 1-801-5061-02</v>
      </c>
      <c r="G2">
        <v>6</v>
      </c>
      <c r="H2">
        <v>63768</v>
      </c>
      <c r="I2" s="7">
        <v>2</v>
      </c>
      <c r="L2">
        <v>5</v>
      </c>
      <c r="M2">
        <v>6334</v>
      </c>
      <c r="P2" s="9">
        <v>631342</v>
      </c>
      <c r="Q2" s="8" t="s">
        <v>32</v>
      </c>
      <c r="T2" s="7">
        <v>2</v>
      </c>
      <c r="U2" s="63">
        <v>44849</v>
      </c>
      <c r="V2" s="7">
        <v>301000</v>
      </c>
      <c r="W2" s="7" t="s">
        <v>38</v>
      </c>
      <c r="X2" s="7">
        <v>6</v>
      </c>
      <c r="Y2" s="7">
        <v>631832</v>
      </c>
      <c r="Z2" s="7">
        <v>2</v>
      </c>
    </row>
    <row r="3" spans="3:26" ht="29">
      <c r="D3" s="33">
        <v>44849</v>
      </c>
      <c r="E3">
        <v>301000</v>
      </c>
      <c r="F3" s="7" t="str">
        <f>VLOOKUP(H3,P3:$Q$105,2,0)</f>
        <v>Пруток ВТ5 КР 280 ТУ 1-92-148-89</v>
      </c>
      <c r="G3">
        <v>6</v>
      </c>
      <c r="H3">
        <v>631832</v>
      </c>
      <c r="I3" s="7">
        <v>2</v>
      </c>
      <c r="L3">
        <v>6</v>
      </c>
      <c r="M3">
        <v>631431</v>
      </c>
      <c r="P3" s="9">
        <v>63673</v>
      </c>
      <c r="Q3" s="8" t="s">
        <v>33</v>
      </c>
      <c r="T3" s="7">
        <v>3</v>
      </c>
      <c r="U3" s="63">
        <v>44754</v>
      </c>
      <c r="V3" s="7">
        <v>1388000</v>
      </c>
      <c r="W3" s="7" t="s">
        <v>39</v>
      </c>
      <c r="X3" s="7">
        <v>6</v>
      </c>
      <c r="Y3" s="7">
        <v>631433</v>
      </c>
      <c r="Z3" s="7">
        <v>2</v>
      </c>
    </row>
    <row r="4" spans="3:26" ht="29">
      <c r="D4" s="33">
        <v>44754</v>
      </c>
      <c r="E4">
        <f>694000*2</f>
        <v>1388000</v>
      </c>
      <c r="F4" s="7" t="str">
        <f>VLOOKUP(H4,P4:$Q$105,2,0)</f>
        <v>Пруток ВТ6 КР 90 ОСТ 1 90107-73</v>
      </c>
      <c r="G4">
        <v>6</v>
      </c>
      <c r="H4">
        <v>631433</v>
      </c>
      <c r="I4" s="7">
        <v>2</v>
      </c>
      <c r="L4">
        <v>12</v>
      </c>
      <c r="M4">
        <v>5211</v>
      </c>
      <c r="P4" s="9">
        <v>63635</v>
      </c>
      <c r="Q4" s="8" t="s">
        <v>34</v>
      </c>
      <c r="T4" s="7">
        <v>4</v>
      </c>
      <c r="U4" s="63">
        <v>44827</v>
      </c>
      <c r="V4" s="7">
        <v>501000</v>
      </c>
      <c r="W4" s="7" t="s">
        <v>40</v>
      </c>
      <c r="X4" s="7">
        <v>6</v>
      </c>
      <c r="Y4" s="7">
        <v>6334</v>
      </c>
      <c r="Z4" s="7">
        <v>6</v>
      </c>
    </row>
    <row r="5" spans="3:26" ht="29">
      <c r="D5" s="33">
        <v>44827</v>
      </c>
      <c r="E5">
        <v>501000</v>
      </c>
      <c r="F5" s="7" t="str">
        <f>VLOOKUP(H5,P5:$Q$105,2,0)</f>
        <v>Пруток ВТ6 КР 125 ТУ 1-801-1964-2000</v>
      </c>
      <c r="G5">
        <v>6</v>
      </c>
      <c r="H5">
        <v>6334</v>
      </c>
      <c r="I5" s="7">
        <v>6</v>
      </c>
      <c r="L5">
        <v>13</v>
      </c>
      <c r="M5">
        <v>631835</v>
      </c>
      <c r="P5" s="9">
        <v>631364</v>
      </c>
      <c r="Q5" s="8" t="s">
        <v>35</v>
      </c>
      <c r="T5" s="7">
        <v>5</v>
      </c>
      <c r="U5" s="63">
        <v>44847</v>
      </c>
      <c r="V5" s="7">
        <v>551000</v>
      </c>
      <c r="W5" s="7" t="s">
        <v>41</v>
      </c>
      <c r="X5" s="7">
        <v>6</v>
      </c>
      <c r="Y5" s="7">
        <v>631431</v>
      </c>
      <c r="Z5" s="7">
        <v>5</v>
      </c>
    </row>
    <row r="6" spans="3:26" ht="29">
      <c r="D6" s="33">
        <v>44847</v>
      </c>
      <c r="E6">
        <v>551000</v>
      </c>
      <c r="F6" s="7" t="str">
        <f>VLOOKUP(H6,P6:$Q$105,2,0)</f>
        <v>Пруток ВТ6 КР 130 ОСТ 1 90107-73</v>
      </c>
      <c r="G6">
        <v>6</v>
      </c>
      <c r="H6">
        <v>631431</v>
      </c>
      <c r="I6" s="7">
        <v>5</v>
      </c>
      <c r="L6">
        <v>24</v>
      </c>
      <c r="M6">
        <v>51249</v>
      </c>
      <c r="P6" s="9">
        <v>631242</v>
      </c>
      <c r="Q6" s="8" t="s">
        <v>36</v>
      </c>
      <c r="T6" s="7">
        <v>6</v>
      </c>
      <c r="U6" s="63">
        <v>44918</v>
      </c>
      <c r="V6" s="7">
        <v>387000</v>
      </c>
      <c r="W6" s="7" t="s">
        <v>42</v>
      </c>
      <c r="X6" s="7">
        <v>6</v>
      </c>
      <c r="Y6" s="7">
        <v>63563</v>
      </c>
      <c r="Z6" s="7">
        <v>2</v>
      </c>
    </row>
    <row r="7" spans="3:26" ht="29">
      <c r="D7" s="33">
        <v>44918</v>
      </c>
      <c r="E7">
        <v>387000</v>
      </c>
      <c r="F7" s="7" t="str">
        <f>VLOOKUP(H7,P7:$Q$105,2,0)</f>
        <v>Пруток ВТ6 КР 150 ТУ 1-801-1964-2000</v>
      </c>
      <c r="G7">
        <v>6</v>
      </c>
      <c r="H7">
        <v>63563</v>
      </c>
      <c r="I7" s="7">
        <v>2</v>
      </c>
      <c r="L7">
        <v>25</v>
      </c>
      <c r="M7">
        <v>631417</v>
      </c>
      <c r="P7" s="9">
        <v>63768</v>
      </c>
      <c r="Q7" s="8" t="s">
        <v>37</v>
      </c>
      <c r="T7" s="7">
        <v>7</v>
      </c>
      <c r="U7" s="63">
        <v>44892</v>
      </c>
      <c r="V7" s="7">
        <v>543000</v>
      </c>
      <c r="W7" s="7" t="s">
        <v>43</v>
      </c>
      <c r="X7" s="7">
        <v>6</v>
      </c>
      <c r="Y7" s="7">
        <v>63615</v>
      </c>
      <c r="Z7" s="7">
        <v>3</v>
      </c>
    </row>
    <row r="8" spans="3:26">
      <c r="D8" s="33">
        <v>44892</v>
      </c>
      <c r="E8">
        <v>543000</v>
      </c>
      <c r="F8" s="7" t="str">
        <f>VLOOKUP(H8,P8:$Q$105,2,0)</f>
        <v>Пруток ВТ6 КР 160 ТУ 1-801-1964-2000</v>
      </c>
      <c r="G8">
        <v>6</v>
      </c>
      <c r="H8">
        <v>63615</v>
      </c>
      <c r="I8" s="7">
        <v>3</v>
      </c>
      <c r="L8">
        <v>29</v>
      </c>
      <c r="M8">
        <v>514977</v>
      </c>
      <c r="P8" s="9">
        <v>631832</v>
      </c>
      <c r="Q8" s="8" t="s">
        <v>38</v>
      </c>
      <c r="T8" s="7">
        <v>8</v>
      </c>
      <c r="U8" s="63">
        <v>44756</v>
      </c>
      <c r="V8" s="7">
        <v>829500</v>
      </c>
      <c r="W8" s="7" t="s">
        <v>3</v>
      </c>
      <c r="X8" s="7">
        <v>6</v>
      </c>
      <c r="Y8" s="7">
        <v>52488</v>
      </c>
      <c r="Z8" s="7">
        <v>2</v>
      </c>
    </row>
    <row r="9" spans="3:26" ht="29">
      <c r="D9" s="33">
        <v>44756</v>
      </c>
      <c r="E9">
        <f>553000*1.5</f>
        <v>829500</v>
      </c>
      <c r="F9" s="7" t="str">
        <f>VLOOKUP(H9,P9:$Q$105,2,0)</f>
        <v>Лигатура Al-Mn</v>
      </c>
      <c r="G9">
        <v>6</v>
      </c>
      <c r="H9">
        <v>52488</v>
      </c>
      <c r="I9" s="7">
        <v>2</v>
      </c>
      <c r="L9">
        <v>33</v>
      </c>
      <c r="M9">
        <v>4136</v>
      </c>
      <c r="P9" s="9">
        <v>631433</v>
      </c>
      <c r="Q9" s="9" t="s">
        <v>39</v>
      </c>
      <c r="T9" s="7">
        <v>9</v>
      </c>
      <c r="U9" s="63">
        <v>44814</v>
      </c>
      <c r="V9" s="7">
        <v>734000</v>
      </c>
      <c r="W9" s="7" t="s">
        <v>54</v>
      </c>
      <c r="X9" s="7">
        <v>6</v>
      </c>
      <c r="Y9" s="7">
        <v>52676</v>
      </c>
      <c r="Z9" s="7">
        <v>2</v>
      </c>
    </row>
    <row r="10" spans="3:26" ht="29">
      <c r="D10" s="33">
        <v>44814</v>
      </c>
      <c r="E10">
        <f>367000*2</f>
        <v>734000</v>
      </c>
      <c r="F10" s="7" t="str">
        <f>VLOOKUP(H10,P10:$Q$105,2,0)</f>
        <v>Слиток ЭИ698-ВД КР 320 Протокол 520-162-2009</v>
      </c>
      <c r="G10">
        <v>6</v>
      </c>
      <c r="H10">
        <v>52676</v>
      </c>
      <c r="I10" s="7">
        <v>2</v>
      </c>
      <c r="L10">
        <v>36</v>
      </c>
      <c r="M10">
        <v>4751</v>
      </c>
      <c r="P10" s="9">
        <v>6334</v>
      </c>
      <c r="Q10" s="8" t="s">
        <v>40</v>
      </c>
      <c r="T10" s="7">
        <v>10</v>
      </c>
      <c r="U10" s="63">
        <v>44816</v>
      </c>
      <c r="V10" s="7">
        <v>681000</v>
      </c>
      <c r="W10" s="7" t="s">
        <v>55</v>
      </c>
      <c r="X10" s="7">
        <v>6</v>
      </c>
      <c r="Y10" s="7">
        <v>5254</v>
      </c>
      <c r="Z10" s="7">
        <v>2</v>
      </c>
    </row>
    <row r="11" spans="3:26" ht="29">
      <c r="D11" s="33">
        <v>44816</v>
      </c>
      <c r="E11">
        <v>681000</v>
      </c>
      <c r="F11" s="7" t="str">
        <f>VLOOKUP(H11,P11:$Q$105,2,0)</f>
        <v>Слиток ЭИ698-ВД КР 400 Протокол 520-161-2009</v>
      </c>
      <c r="G11">
        <v>6</v>
      </c>
      <c r="H11">
        <v>5254</v>
      </c>
      <c r="I11" s="7">
        <v>2</v>
      </c>
      <c r="L11">
        <v>39</v>
      </c>
      <c r="M11">
        <v>5272</v>
      </c>
      <c r="P11" s="9">
        <v>631431</v>
      </c>
      <c r="Q11" s="8" t="s">
        <v>41</v>
      </c>
      <c r="T11" s="7">
        <v>11</v>
      </c>
      <c r="U11" s="63">
        <v>44688</v>
      </c>
      <c r="V11" s="7">
        <v>837000</v>
      </c>
      <c r="W11" s="7" t="s">
        <v>56</v>
      </c>
      <c r="X11" s="7">
        <v>6</v>
      </c>
      <c r="Y11" s="7">
        <v>5211</v>
      </c>
      <c r="Z11" s="7">
        <v>5</v>
      </c>
    </row>
    <row r="12" spans="3:26" ht="29">
      <c r="D12" s="33">
        <v>44688</v>
      </c>
      <c r="E12">
        <f>558000*1.5</f>
        <v>837000</v>
      </c>
      <c r="F12" s="7" t="str">
        <f>VLOOKUP(H12,P12:$Q$105,2,0)</f>
        <v>ВЖЛ12У-ВИ Пруток КР 65 ОСТ 1 90126-85</v>
      </c>
      <c r="G12">
        <v>6</v>
      </c>
      <c r="H12">
        <v>5211</v>
      </c>
      <c r="I12" s="7">
        <v>5</v>
      </c>
      <c r="L12">
        <v>41</v>
      </c>
      <c r="M12">
        <v>4125</v>
      </c>
      <c r="P12" s="9">
        <v>63563</v>
      </c>
      <c r="Q12" s="8" t="s">
        <v>42</v>
      </c>
      <c r="T12" s="7">
        <v>12</v>
      </c>
      <c r="U12" s="63">
        <v>44701</v>
      </c>
      <c r="V12" s="7">
        <v>387000</v>
      </c>
      <c r="W12" s="7" t="s">
        <v>104</v>
      </c>
      <c r="X12" s="7">
        <v>6</v>
      </c>
      <c r="Y12" s="7">
        <v>631835</v>
      </c>
      <c r="Z12" s="7">
        <v>4</v>
      </c>
    </row>
    <row r="13" spans="3:26" ht="29">
      <c r="D13" s="33">
        <v>44701</v>
      </c>
      <c r="E13">
        <v>387000</v>
      </c>
      <c r="F13" s="7" t="str">
        <f>VLOOKUP(H13,P13:$Q$105,2,0)</f>
        <v>Пруток ЭИ698-ВД КР 90 Протокол 1-801-1913-2000</v>
      </c>
      <c r="G13">
        <v>6</v>
      </c>
      <c r="H13">
        <v>631835</v>
      </c>
      <c r="I13" s="7">
        <v>4</v>
      </c>
      <c r="P13" s="9">
        <v>63615</v>
      </c>
      <c r="Q13" s="8" t="s">
        <v>43</v>
      </c>
      <c r="T13" s="7">
        <v>13</v>
      </c>
      <c r="U13" s="63">
        <v>44715</v>
      </c>
      <c r="V13" s="7">
        <v>592000</v>
      </c>
      <c r="W13" s="7" t="s">
        <v>105</v>
      </c>
      <c r="X13" s="7">
        <v>6</v>
      </c>
      <c r="Y13" s="7">
        <v>631185</v>
      </c>
      <c r="Z13" s="7">
        <v>2</v>
      </c>
    </row>
    <row r="14" spans="3:26" ht="29">
      <c r="D14" s="33">
        <v>44715</v>
      </c>
      <c r="E14">
        <v>592000</v>
      </c>
      <c r="F14" s="7" t="str">
        <f>VLOOKUP(H14,P14:$Q$105,2,0)</f>
        <v>АКП-104 Штамповка ЭИ698-ВД ТУ 1-801-5098-02</v>
      </c>
      <c r="G14">
        <v>6</v>
      </c>
      <c r="H14">
        <v>631185</v>
      </c>
      <c r="I14" s="7">
        <v>2</v>
      </c>
      <c r="P14" s="9">
        <v>63579</v>
      </c>
      <c r="Q14" s="8" t="s">
        <v>44</v>
      </c>
      <c r="T14" s="7">
        <v>14</v>
      </c>
      <c r="U14" s="63">
        <v>44777</v>
      </c>
      <c r="V14" s="7">
        <v>1030500</v>
      </c>
      <c r="W14" s="7" t="s">
        <v>106</v>
      </c>
      <c r="X14" s="7">
        <v>6</v>
      </c>
      <c r="Y14" s="7">
        <v>631198</v>
      </c>
      <c r="Z14" s="7">
        <v>2</v>
      </c>
    </row>
    <row r="15" spans="3:26" ht="29">
      <c r="D15" s="33">
        <v>44777</v>
      </c>
      <c r="E15">
        <f>687000*1.5</f>
        <v>1030500</v>
      </c>
      <c r="F15" s="7" t="str">
        <f>VLOOKUP(H15,P15:$Q$105,2,0)</f>
        <v>АКП-106 Штамповка ЭП742-ИД ТУ 1-801-5112-02</v>
      </c>
      <c r="G15">
        <v>6</v>
      </c>
      <c r="H15">
        <v>631198</v>
      </c>
      <c r="I15" s="7">
        <v>2</v>
      </c>
      <c r="P15" s="9">
        <v>632542</v>
      </c>
      <c r="Q15" s="8" t="s">
        <v>45</v>
      </c>
      <c r="T15" s="7">
        <v>15</v>
      </c>
      <c r="U15" s="63">
        <v>44677</v>
      </c>
      <c r="V15" s="7">
        <v>342000</v>
      </c>
      <c r="W15" s="7" t="s">
        <v>178</v>
      </c>
      <c r="X15" s="7">
        <v>6</v>
      </c>
      <c r="Y15" s="7">
        <v>511616</v>
      </c>
      <c r="Z15" s="7">
        <v>2</v>
      </c>
    </row>
    <row r="16" spans="3:26" ht="29">
      <c r="D16" s="33">
        <v>44677</v>
      </c>
      <c r="E16">
        <v>342000</v>
      </c>
      <c r="F16" s="7" t="str">
        <f>VLOOKUP(H16,P16:$Q$105,2,0)</f>
        <v>Г-212 Титановая поковка  ВТ6 ОСТ 1 90000-70</v>
      </c>
      <c r="G16">
        <v>6</v>
      </c>
      <c r="H16">
        <v>511616</v>
      </c>
      <c r="I16" s="7">
        <v>2</v>
      </c>
      <c r="P16" s="9">
        <v>634892</v>
      </c>
      <c r="Q16" s="8" t="s">
        <v>46</v>
      </c>
      <c r="T16" s="7">
        <v>16</v>
      </c>
      <c r="U16" s="63">
        <v>44934</v>
      </c>
      <c r="V16" s="7">
        <v>654000</v>
      </c>
      <c r="W16" s="7" t="s">
        <v>179</v>
      </c>
      <c r="X16" s="7">
        <v>6</v>
      </c>
      <c r="Y16" s="7">
        <v>512393</v>
      </c>
      <c r="Z16" s="7">
        <v>2</v>
      </c>
    </row>
    <row r="17" spans="4:26" ht="29">
      <c r="D17" s="33">
        <v>44934</v>
      </c>
      <c r="E17">
        <v>654000</v>
      </c>
      <c r="F17" s="7" t="str">
        <f>VLOOKUP(H17,P17:$Q$105,2,0)</f>
        <v>Г-442 Титановая поковка  ВТ6 ТУ 1-801-957-03</v>
      </c>
      <c r="G17">
        <v>6</v>
      </c>
      <c r="H17">
        <v>512393</v>
      </c>
      <c r="I17" s="7">
        <v>2</v>
      </c>
      <c r="P17" s="9">
        <v>63945</v>
      </c>
      <c r="Q17" s="8" t="s">
        <v>47</v>
      </c>
      <c r="T17" s="7">
        <v>17</v>
      </c>
      <c r="U17" s="63">
        <v>44907</v>
      </c>
      <c r="V17" s="7">
        <v>556000</v>
      </c>
      <c r="W17" s="7" t="s">
        <v>180</v>
      </c>
      <c r="X17" s="7">
        <v>6</v>
      </c>
      <c r="Y17" s="7">
        <v>512387</v>
      </c>
      <c r="Z17" s="7">
        <v>2</v>
      </c>
    </row>
    <row r="18" spans="4:26" ht="29">
      <c r="D18" s="33">
        <v>44907</v>
      </c>
      <c r="E18">
        <v>556000</v>
      </c>
      <c r="F18" s="7" t="str">
        <f>VLOOKUP(H18,P18:$Q$105,2,0)</f>
        <v>Г-642 Титановая поковка  ВТ5-1 Протокол от 29.07.03</v>
      </c>
      <c r="G18">
        <v>6</v>
      </c>
      <c r="H18">
        <v>512387</v>
      </c>
      <c r="I18" s="7">
        <v>2</v>
      </c>
      <c r="P18" s="9">
        <v>63798</v>
      </c>
      <c r="Q18" s="8" t="s">
        <v>48</v>
      </c>
      <c r="T18" s="7">
        <v>18</v>
      </c>
      <c r="U18" s="63">
        <v>44841</v>
      </c>
      <c r="V18" s="7">
        <v>456000</v>
      </c>
      <c r="W18" s="7" t="s">
        <v>181</v>
      </c>
      <c r="X18" s="7">
        <v>6</v>
      </c>
      <c r="Y18" s="7">
        <v>512388</v>
      </c>
      <c r="Z18" s="7">
        <v>1</v>
      </c>
    </row>
    <row r="19" spans="4:26" ht="29">
      <c r="D19" s="33">
        <v>44841</v>
      </c>
      <c r="E19">
        <v>456000</v>
      </c>
      <c r="F19" s="7" t="str">
        <f>VLOOKUP(H19,P19:$Q$105,2,0)</f>
        <v>Г-643 Титановая поковка  ВТ5-1 Протокол от 29.07.03</v>
      </c>
      <c r="G19">
        <v>6</v>
      </c>
      <c r="H19">
        <v>512388</v>
      </c>
      <c r="I19" s="7">
        <v>1</v>
      </c>
      <c r="P19" s="9">
        <v>52519</v>
      </c>
      <c r="Q19" s="8" t="s">
        <v>49</v>
      </c>
      <c r="T19" s="7">
        <v>19</v>
      </c>
      <c r="U19" s="63">
        <v>44868</v>
      </c>
      <c r="V19" s="7">
        <v>602000</v>
      </c>
      <c r="W19" s="7" t="s">
        <v>182</v>
      </c>
      <c r="X19" s="7">
        <v>6</v>
      </c>
      <c r="Y19" s="7">
        <v>512414</v>
      </c>
      <c r="Z19" s="7">
        <v>2</v>
      </c>
    </row>
    <row r="20" spans="4:26" ht="29">
      <c r="D20" s="33">
        <v>44868</v>
      </c>
      <c r="E20">
        <f>301000*2</f>
        <v>602000</v>
      </c>
      <c r="F20" s="7" t="str">
        <f>VLOOKUP(H20,P20:$Q$105,2,0)</f>
        <v>Г-644 Титановая поковка  ВТ5-1 Протокол от 29.07.03</v>
      </c>
      <c r="G20">
        <v>6</v>
      </c>
      <c r="H20">
        <v>512414</v>
      </c>
      <c r="I20" s="7">
        <v>2</v>
      </c>
      <c r="P20" s="9">
        <v>52435</v>
      </c>
      <c r="Q20" s="8" t="s">
        <v>50</v>
      </c>
      <c r="T20" s="7">
        <v>20</v>
      </c>
      <c r="U20" s="63">
        <v>44830</v>
      </c>
      <c r="V20" s="7">
        <v>452000</v>
      </c>
      <c r="W20" s="7" t="s">
        <v>183</v>
      </c>
      <c r="X20" s="7">
        <v>6</v>
      </c>
      <c r="Y20" s="7">
        <v>51258</v>
      </c>
      <c r="Z20" s="7">
        <v>3</v>
      </c>
    </row>
    <row r="21" spans="4:26" ht="29">
      <c r="D21" s="33">
        <v>44830</v>
      </c>
      <c r="E21">
        <v>452000</v>
      </c>
      <c r="F21" s="7" t="str">
        <f>VLOOKUP(H21,P21:$Q$105,2,0)</f>
        <v>Г-662 Титановая поковка  ПТ1М ТУ 1-5-132-78</v>
      </c>
      <c r="G21">
        <v>6</v>
      </c>
      <c r="H21">
        <v>51258</v>
      </c>
      <c r="I21" s="7">
        <v>3</v>
      </c>
      <c r="P21" s="9">
        <v>52154</v>
      </c>
      <c r="Q21" s="8" t="s">
        <v>51</v>
      </c>
      <c r="T21" s="7">
        <v>21</v>
      </c>
      <c r="U21" s="63">
        <v>44764</v>
      </c>
      <c r="V21" s="7">
        <v>450000</v>
      </c>
      <c r="W21" s="7" t="s">
        <v>184</v>
      </c>
      <c r="X21" s="7">
        <v>6</v>
      </c>
      <c r="Y21" s="7">
        <v>51366</v>
      </c>
      <c r="Z21" s="7">
        <v>3</v>
      </c>
    </row>
    <row r="22" spans="4:26" ht="29">
      <c r="D22" s="33">
        <v>44764</v>
      </c>
      <c r="E22">
        <v>450000</v>
      </c>
      <c r="F22" s="7" t="str">
        <f>VLOOKUP(H22,P22:$Q$105,2,0)</f>
        <v>СП-748 Титановая поковка  ОТ4-1 Протокол от 05.12.03</v>
      </c>
      <c r="G22">
        <v>6</v>
      </c>
      <c r="H22">
        <v>51366</v>
      </c>
      <c r="I22" s="7">
        <v>3</v>
      </c>
      <c r="P22" s="9">
        <v>52218</v>
      </c>
      <c r="Q22" s="8" t="s">
        <v>52</v>
      </c>
      <c r="T22" s="7">
        <v>22</v>
      </c>
      <c r="U22" s="63">
        <v>44661</v>
      </c>
      <c r="V22" s="7">
        <v>642000</v>
      </c>
      <c r="W22" s="7" t="s">
        <v>130</v>
      </c>
      <c r="X22" s="7">
        <v>6</v>
      </c>
      <c r="Y22" s="7">
        <v>517628</v>
      </c>
      <c r="Z22" s="7">
        <v>2</v>
      </c>
    </row>
    <row r="23" spans="4:26" ht="29">
      <c r="D23" s="33">
        <v>44661</v>
      </c>
      <c r="E23">
        <v>642000</v>
      </c>
      <c r="F23" s="7" t="str">
        <f>VLOOKUP(H23,P23:$Q$105,2,0)</f>
        <v>Т-1014 Титановая поковка ВТ6 Протокол от 11.09.09</v>
      </c>
      <c r="G23">
        <v>6</v>
      </c>
      <c r="H23">
        <v>517628</v>
      </c>
      <c r="I23" s="7">
        <v>2</v>
      </c>
      <c r="P23" s="9">
        <v>5281</v>
      </c>
      <c r="Q23" s="8" t="s">
        <v>53</v>
      </c>
      <c r="T23" s="7">
        <v>23</v>
      </c>
      <c r="U23" s="63">
        <v>44671</v>
      </c>
      <c r="V23" s="7">
        <v>614000</v>
      </c>
      <c r="W23" s="7" t="s">
        <v>131</v>
      </c>
      <c r="X23" s="7">
        <v>4</v>
      </c>
      <c r="Y23" s="7">
        <v>51249</v>
      </c>
      <c r="Z23" s="7">
        <v>5</v>
      </c>
    </row>
    <row r="24" spans="4:26" ht="29">
      <c r="D24" s="33">
        <v>44671</v>
      </c>
      <c r="E24">
        <f>307000*2</f>
        <v>614000</v>
      </c>
      <c r="F24" s="7" t="str">
        <f>VLOOKUP(H24,P24:$Q$105,2,0)</f>
        <v>Т-1103 Титановая поковка ВТ6 Протокол от 11.09.09</v>
      </c>
      <c r="G24">
        <v>4</v>
      </c>
      <c r="H24">
        <v>51249</v>
      </c>
      <c r="I24" s="7">
        <v>5</v>
      </c>
      <c r="P24" s="9">
        <v>52178</v>
      </c>
      <c r="Q24" s="8" t="s">
        <v>0</v>
      </c>
      <c r="T24" s="7">
        <v>24</v>
      </c>
      <c r="U24" s="63">
        <v>44825</v>
      </c>
      <c r="V24" s="7">
        <v>406000</v>
      </c>
      <c r="W24" s="7" t="s">
        <v>108</v>
      </c>
      <c r="X24" s="7">
        <v>4</v>
      </c>
      <c r="Y24" s="7">
        <v>631417</v>
      </c>
      <c r="Z24" s="7">
        <v>5</v>
      </c>
    </row>
    <row r="25" spans="4:26" ht="29">
      <c r="D25" s="33">
        <v>44825</v>
      </c>
      <c r="E25">
        <v>406000</v>
      </c>
      <c r="F25" s="7" t="str">
        <f>VLOOKUP(H25,P25:$Q$105,2,0)</f>
        <v>АКП-108 Штамповка ЭП975-ИД ТУ 1-801-5141-03</v>
      </c>
      <c r="G25">
        <v>4</v>
      </c>
      <c r="H25">
        <v>631417</v>
      </c>
      <c r="I25" s="7">
        <v>5</v>
      </c>
      <c r="P25" s="9">
        <v>52637</v>
      </c>
      <c r="Q25" s="8" t="s">
        <v>1</v>
      </c>
      <c r="T25" s="7">
        <v>25</v>
      </c>
      <c r="U25" s="63">
        <v>44860</v>
      </c>
      <c r="V25" s="7">
        <v>412000</v>
      </c>
      <c r="W25" s="7" t="s">
        <v>109</v>
      </c>
      <c r="X25" s="7">
        <v>4</v>
      </c>
      <c r="Y25" s="7">
        <v>63839</v>
      </c>
      <c r="Z25" s="7">
        <v>2</v>
      </c>
    </row>
    <row r="26" spans="4:26" ht="29">
      <c r="D26" s="33">
        <v>44860</v>
      </c>
      <c r="E26">
        <v>412000</v>
      </c>
      <c r="F26" s="7" t="str">
        <f>VLOOKUP(H26,P26:$Q$105,2,0)</f>
        <v>АКП-10А Штамповка ЭК79-ИД ТУ 1-801-467-94</v>
      </c>
      <c r="G26">
        <v>4</v>
      </c>
      <c r="H26">
        <v>63839</v>
      </c>
      <c r="I26" s="7">
        <v>2</v>
      </c>
      <c r="P26" s="9">
        <v>524</v>
      </c>
      <c r="Q26" s="8" t="s">
        <v>2</v>
      </c>
      <c r="T26" s="7">
        <v>26</v>
      </c>
      <c r="U26" s="63">
        <v>44857</v>
      </c>
      <c r="V26" s="7">
        <v>472500</v>
      </c>
      <c r="W26" s="7" t="s">
        <v>110</v>
      </c>
      <c r="X26" s="7">
        <v>4</v>
      </c>
      <c r="Y26" s="7">
        <v>634345</v>
      </c>
      <c r="Z26" s="7">
        <v>2</v>
      </c>
    </row>
    <row r="27" spans="4:26" ht="29">
      <c r="D27" s="33">
        <v>44857</v>
      </c>
      <c r="E27">
        <f>315000*1.5</f>
        <v>472500</v>
      </c>
      <c r="F27" s="7" t="str">
        <f>VLOOKUP(H27,P27:$Q$105,2,0)</f>
        <v>АКП-114 Штамповка ЭИ698-ВД ТУ 1-801-5187-03</v>
      </c>
      <c r="G27">
        <v>4</v>
      </c>
      <c r="H27">
        <v>634345</v>
      </c>
      <c r="I27" s="7">
        <v>2</v>
      </c>
      <c r="P27" s="9">
        <v>52488</v>
      </c>
      <c r="Q27" s="8" t="s">
        <v>3</v>
      </c>
      <c r="T27" s="7">
        <v>27</v>
      </c>
      <c r="U27" s="63">
        <v>44744</v>
      </c>
      <c r="V27" s="7">
        <v>459000</v>
      </c>
      <c r="W27" s="7" t="s">
        <v>111</v>
      </c>
      <c r="X27" s="7">
        <v>7</v>
      </c>
      <c r="Y27" s="7">
        <v>63227</v>
      </c>
      <c r="Z27" s="7">
        <v>3</v>
      </c>
    </row>
    <row r="28" spans="4:26" ht="43.5">
      <c r="D28" s="33">
        <v>44744</v>
      </c>
      <c r="E28">
        <v>459000</v>
      </c>
      <c r="F28" s="7" t="str">
        <f>VLOOKUP(H28,P28:$Q$105,2,0)</f>
        <v>АКП-115 Штамповка ЭП742-ИД ТУ 1-801-5195-04</v>
      </c>
      <c r="G28">
        <v>1</v>
      </c>
      <c r="H28">
        <v>63227</v>
      </c>
      <c r="I28" s="7">
        <v>3</v>
      </c>
      <c r="P28" s="9">
        <v>52676</v>
      </c>
      <c r="Q28" s="8" t="s">
        <v>54</v>
      </c>
      <c r="T28" s="7">
        <v>28</v>
      </c>
      <c r="U28" s="63">
        <v>44903</v>
      </c>
      <c r="V28" s="7">
        <v>525000</v>
      </c>
      <c r="W28" s="7" t="s">
        <v>81</v>
      </c>
      <c r="X28" s="7">
        <v>7</v>
      </c>
      <c r="Y28" s="7">
        <v>514977</v>
      </c>
      <c r="Z28" s="7">
        <v>6</v>
      </c>
    </row>
    <row r="29" spans="4:26" ht="43.5">
      <c r="D29" s="33">
        <v>44903</v>
      </c>
      <c r="E29">
        <v>525000</v>
      </c>
      <c r="F29" s="7" t="str">
        <f>VLOOKUP(H29,P29:$Q$105,2,0)</f>
        <v>А-122 Стальная поковка/штамповка ЭИ415-Ш Протокол от 05.02.79</v>
      </c>
      <c r="G29">
        <v>1</v>
      </c>
      <c r="H29">
        <v>514977</v>
      </c>
      <c r="I29" s="7">
        <v>6</v>
      </c>
      <c r="P29" s="9">
        <v>5254</v>
      </c>
      <c r="Q29" s="8" t="s">
        <v>55</v>
      </c>
      <c r="T29" s="7">
        <v>29</v>
      </c>
      <c r="U29" s="63">
        <v>44874</v>
      </c>
      <c r="V29" s="7">
        <v>861000</v>
      </c>
      <c r="W29" s="7" t="s">
        <v>82</v>
      </c>
      <c r="X29" s="7">
        <v>7</v>
      </c>
      <c r="Y29" s="7">
        <v>514978</v>
      </c>
      <c r="Z29" s="7">
        <v>2</v>
      </c>
    </row>
    <row r="30" spans="4:26" ht="43.5">
      <c r="D30" s="33">
        <v>44874</v>
      </c>
      <c r="E30">
        <f>574000*1.5</f>
        <v>861000</v>
      </c>
      <c r="F30" s="7" t="str">
        <f>VLOOKUP(H30,P30:$Q$105,2,0)</f>
        <v>А-123 Стальная поковка/штамповка ЭИ415-Ш Протокол от 05.02.79</v>
      </c>
      <c r="G30">
        <v>1</v>
      </c>
      <c r="H30">
        <v>514978</v>
      </c>
      <c r="I30" s="7">
        <v>2</v>
      </c>
      <c r="P30" s="9">
        <v>5211</v>
      </c>
      <c r="Q30" s="8" t="s">
        <v>56</v>
      </c>
      <c r="T30" s="7">
        <v>30</v>
      </c>
      <c r="U30" s="63">
        <v>44883</v>
      </c>
      <c r="V30" s="7">
        <v>417000</v>
      </c>
      <c r="W30" s="7" t="s">
        <v>83</v>
      </c>
      <c r="X30" s="7">
        <v>7</v>
      </c>
      <c r="Y30" s="7">
        <v>514979</v>
      </c>
      <c r="Z30" s="7">
        <v>2</v>
      </c>
    </row>
    <row r="31" spans="4:26" ht="43.5">
      <c r="D31" s="33">
        <v>44883</v>
      </c>
      <c r="E31">
        <v>417000</v>
      </c>
      <c r="F31" s="7" t="str">
        <f>VLOOKUP(H31,P31:$Q$105,2,0)</f>
        <v>А-124 Стальная поковка/штамповка ЭИ415-Ш Протокол от 05.02.79</v>
      </c>
      <c r="G31">
        <v>1</v>
      </c>
      <c r="H31">
        <v>514979</v>
      </c>
      <c r="I31" s="7">
        <v>2</v>
      </c>
      <c r="P31" s="9">
        <v>52757</v>
      </c>
      <c r="Q31" s="8" t="s">
        <v>57</v>
      </c>
      <c r="T31" s="7">
        <v>31</v>
      </c>
      <c r="U31" s="63">
        <v>44853</v>
      </c>
      <c r="V31" s="7">
        <v>395000</v>
      </c>
      <c r="W31" s="7" t="s">
        <v>84</v>
      </c>
      <c r="X31" s="7">
        <v>7</v>
      </c>
      <c r="Y31" s="7">
        <v>4127</v>
      </c>
      <c r="Z31" s="7">
        <v>2</v>
      </c>
    </row>
    <row r="32" spans="4:26" ht="43.5">
      <c r="D32" s="33">
        <v>44853</v>
      </c>
      <c r="E32">
        <v>395000</v>
      </c>
      <c r="F32" s="7" t="str">
        <f>VLOOKUP(H32,P32:$Q$105,2,0)</f>
        <v>Заготовки гранульные всесторонние СДП-100 ЭП741НП ТУ 1-801-1212-2008</v>
      </c>
      <c r="G32">
        <v>1</v>
      </c>
      <c r="H32">
        <v>4127</v>
      </c>
      <c r="I32" s="7">
        <v>2</v>
      </c>
      <c r="P32" s="9">
        <v>5234</v>
      </c>
      <c r="Q32" s="8" t="s">
        <v>58</v>
      </c>
      <c r="T32" s="7">
        <v>32</v>
      </c>
      <c r="U32" s="63">
        <v>44833</v>
      </c>
      <c r="V32" s="7">
        <v>399000</v>
      </c>
      <c r="W32" s="7" t="s">
        <v>85</v>
      </c>
      <c r="X32" s="7">
        <v>7</v>
      </c>
      <c r="Y32" s="7">
        <v>4136</v>
      </c>
      <c r="Z32" s="7">
        <v>5</v>
      </c>
    </row>
    <row r="33" spans="4:26" ht="29">
      <c r="D33" s="33">
        <v>44833</v>
      </c>
      <c r="E33">
        <v>399000</v>
      </c>
      <c r="F33" s="7" t="str">
        <f>VLOOKUP(H33,P33:$Q$105,2,0)</f>
        <v>Заготовки гранульные всесторонние СДП-105 ЭП741НП ТУ 1-801-1207-2007</v>
      </c>
      <c r="G33">
        <v>1</v>
      </c>
      <c r="H33">
        <v>4136</v>
      </c>
      <c r="I33" s="7">
        <v>5</v>
      </c>
      <c r="P33" s="9">
        <v>5272</v>
      </c>
      <c r="Q33" s="8" t="s">
        <v>59</v>
      </c>
      <c r="T33" s="7">
        <v>33</v>
      </c>
      <c r="U33" s="63">
        <v>44867</v>
      </c>
      <c r="V33" s="7">
        <v>1070000</v>
      </c>
      <c r="W33" s="7" t="s">
        <v>94</v>
      </c>
      <c r="X33" s="7">
        <v>8</v>
      </c>
      <c r="Y33" s="7">
        <v>4883</v>
      </c>
      <c r="Z33" s="7">
        <v>1</v>
      </c>
    </row>
    <row r="34" spans="4:26" ht="29">
      <c r="D34" s="33">
        <v>44867</v>
      </c>
      <c r="E34">
        <f>535000*2</f>
        <v>1070000</v>
      </c>
      <c r="F34" s="7" t="str">
        <f>VLOOKUP(H34,P34:$Q$105,2,0)</f>
        <v>Заготовки гранульные СДП-37 ЭП741НП ТУ 1-801-1207-2007</v>
      </c>
      <c r="G34">
        <v>2</v>
      </c>
      <c r="H34">
        <v>4883</v>
      </c>
      <c r="I34" s="7">
        <v>1</v>
      </c>
      <c r="P34" s="9">
        <v>52761</v>
      </c>
      <c r="Q34" s="8" t="s">
        <v>60</v>
      </c>
      <c r="T34" s="7">
        <v>34</v>
      </c>
      <c r="U34" s="63">
        <v>44814</v>
      </c>
      <c r="V34" s="7">
        <v>579000</v>
      </c>
      <c r="W34" s="7" t="s">
        <v>95</v>
      </c>
      <c r="X34" s="7">
        <v>8</v>
      </c>
      <c r="Y34" s="7">
        <v>4884</v>
      </c>
      <c r="Z34" s="7">
        <v>2</v>
      </c>
    </row>
    <row r="35" spans="4:26" ht="29">
      <c r="D35" s="33">
        <v>44814</v>
      </c>
      <c r="E35">
        <v>579000</v>
      </c>
      <c r="F35" s="7" t="str">
        <f>VLOOKUP(H35,P35:$Q$105,2,0)</f>
        <v>Заготовки гранульные СДП-39 ЭП741НП ТУ 1-801-1207-2007</v>
      </c>
      <c r="G35">
        <v>2</v>
      </c>
      <c r="H35">
        <v>4884</v>
      </c>
      <c r="I35" s="7">
        <v>2</v>
      </c>
      <c r="P35" s="9">
        <v>52432</v>
      </c>
      <c r="Q35" s="8" t="s">
        <v>61</v>
      </c>
      <c r="T35" s="7">
        <v>35</v>
      </c>
      <c r="U35" s="63">
        <v>44669</v>
      </c>
      <c r="V35" s="7">
        <v>429000</v>
      </c>
      <c r="W35" s="7" t="s">
        <v>96</v>
      </c>
      <c r="X35" s="7">
        <v>8</v>
      </c>
      <c r="Y35" s="7">
        <v>4751</v>
      </c>
      <c r="Z35" s="7">
        <v>6</v>
      </c>
    </row>
    <row r="36" spans="4:26" ht="43.5">
      <c r="D36" s="33">
        <v>44669</v>
      </c>
      <c r="E36">
        <v>429000</v>
      </c>
      <c r="F36" s="7" t="str">
        <f>VLOOKUP(H36,P36:$Q$105,2,0)</f>
        <v>Заготовки гранульные СДП-40 ЭП741НП ТУ 1-801-1207-2007</v>
      </c>
      <c r="G36">
        <v>2</v>
      </c>
      <c r="H36">
        <v>4751</v>
      </c>
      <c r="I36" s="7">
        <v>6</v>
      </c>
      <c r="P36" s="9">
        <v>5291</v>
      </c>
      <c r="Q36" s="8" t="s">
        <v>62</v>
      </c>
      <c r="T36" s="7">
        <v>36</v>
      </c>
      <c r="U36" s="63">
        <v>44842</v>
      </c>
      <c r="V36" s="7">
        <v>639000</v>
      </c>
      <c r="W36" s="7" t="s">
        <v>57</v>
      </c>
      <c r="X36" s="7">
        <v>8</v>
      </c>
      <c r="Y36" s="7">
        <v>52757</v>
      </c>
      <c r="Z36" s="7">
        <v>2</v>
      </c>
    </row>
    <row r="37" spans="4:26" ht="29">
      <c r="D37" s="33">
        <v>44842</v>
      </c>
      <c r="E37">
        <f>426000*1.5</f>
        <v>639000</v>
      </c>
      <c r="F37" s="8" t="s">
        <v>57</v>
      </c>
      <c r="G37">
        <v>2</v>
      </c>
      <c r="H37">
        <v>52757</v>
      </c>
      <c r="I37" s="7">
        <v>2</v>
      </c>
      <c r="P37" s="9">
        <v>52579</v>
      </c>
      <c r="Q37" s="8" t="s">
        <v>63</v>
      </c>
      <c r="T37" s="7">
        <v>37</v>
      </c>
      <c r="U37" s="63">
        <v>44675</v>
      </c>
      <c r="V37" s="7">
        <v>680000</v>
      </c>
      <c r="W37" s="7" t="s">
        <v>58</v>
      </c>
      <c r="X37" s="7">
        <v>8</v>
      </c>
      <c r="Y37" s="7">
        <v>5234</v>
      </c>
      <c r="Z37" s="7">
        <v>3</v>
      </c>
    </row>
    <row r="38" spans="4:26" ht="29">
      <c r="D38" s="33">
        <v>44675</v>
      </c>
      <c r="E38">
        <v>680000</v>
      </c>
      <c r="F38" s="8" t="s">
        <v>58</v>
      </c>
      <c r="G38">
        <v>2</v>
      </c>
      <c r="H38">
        <v>5234</v>
      </c>
      <c r="I38" s="7">
        <v>3</v>
      </c>
      <c r="P38" s="9">
        <v>52456</v>
      </c>
      <c r="Q38" s="8" t="s">
        <v>64</v>
      </c>
      <c r="T38" s="7">
        <v>38</v>
      </c>
      <c r="U38" s="63">
        <v>44722</v>
      </c>
      <c r="V38" s="7">
        <v>610000</v>
      </c>
      <c r="W38" s="7" t="s">
        <v>59</v>
      </c>
      <c r="X38" s="7">
        <v>5</v>
      </c>
      <c r="Y38" s="7">
        <v>5272</v>
      </c>
      <c r="Z38" s="7">
        <v>4</v>
      </c>
    </row>
    <row r="39" spans="4:26" ht="43.5">
      <c r="D39" s="33">
        <v>44722</v>
      </c>
      <c r="E39">
        <v>610000</v>
      </c>
      <c r="F39" s="8" t="s">
        <v>59</v>
      </c>
      <c r="G39">
        <v>5</v>
      </c>
      <c r="H39">
        <v>5272</v>
      </c>
      <c r="I39" s="7">
        <v>4</v>
      </c>
      <c r="P39" s="9">
        <v>52759</v>
      </c>
      <c r="Q39" s="8" t="s">
        <v>65</v>
      </c>
      <c r="T39" s="7">
        <v>39</v>
      </c>
      <c r="U39" s="63">
        <v>44915</v>
      </c>
      <c r="V39" s="7">
        <v>503000</v>
      </c>
      <c r="W39" s="7" t="s">
        <v>88</v>
      </c>
      <c r="X39" s="7">
        <v>5</v>
      </c>
      <c r="Y39" s="7">
        <v>4126</v>
      </c>
      <c r="Z39" s="7">
        <v>2</v>
      </c>
    </row>
    <row r="40" spans="4:26" ht="43.5">
      <c r="D40" s="33">
        <v>44915</v>
      </c>
      <c r="E40">
        <v>503000</v>
      </c>
      <c r="F40" s="7" t="str">
        <f>VLOOKUP(H40,P40:$Q$105,2,0)</f>
        <v>Заготовки гранульные всесторонние СДП-114 ЭП962П ТУ 1-801-1219-2009</v>
      </c>
      <c r="G40">
        <v>5</v>
      </c>
      <c r="H40">
        <v>4126</v>
      </c>
      <c r="I40" s="7">
        <v>2</v>
      </c>
      <c r="P40" s="9">
        <v>52764</v>
      </c>
      <c r="Q40" s="8" t="s">
        <v>66</v>
      </c>
      <c r="T40" s="7">
        <v>40</v>
      </c>
      <c r="U40" s="63">
        <v>44764</v>
      </c>
      <c r="V40" s="7">
        <v>933000</v>
      </c>
      <c r="W40" s="7" t="s">
        <v>89</v>
      </c>
      <c r="X40" s="7">
        <v>5</v>
      </c>
      <c r="Y40" s="7">
        <v>4125</v>
      </c>
      <c r="Z40" s="7">
        <v>5</v>
      </c>
    </row>
    <row r="41" spans="4:26" ht="43.5">
      <c r="D41" s="33">
        <v>44764</v>
      </c>
      <c r="E41">
        <f>622000*1.5</f>
        <v>933000</v>
      </c>
      <c r="F41" s="7" t="str">
        <f>VLOOKUP(H41,P41:$Q$105,2,0)</f>
        <v>Заготовки гранульные всесторонние СДП-115 ЭП962П ТУ 1-801-1219-2009</v>
      </c>
      <c r="G41">
        <v>5</v>
      </c>
      <c r="H41">
        <v>4125</v>
      </c>
      <c r="I41" s="7">
        <v>5</v>
      </c>
      <c r="P41" s="9">
        <v>52482</v>
      </c>
      <c r="Q41" s="8" t="s">
        <v>67</v>
      </c>
      <c r="T41" s="7">
        <v>41</v>
      </c>
      <c r="U41" s="63">
        <v>44695</v>
      </c>
      <c r="V41" s="7">
        <v>538000</v>
      </c>
      <c r="W41" s="7" t="s">
        <v>73</v>
      </c>
      <c r="X41" s="7">
        <v>5</v>
      </c>
      <c r="Y41" s="7">
        <v>51359</v>
      </c>
      <c r="Z41" s="7">
        <v>3</v>
      </c>
    </row>
    <row r="42" spans="4:26" ht="43.5">
      <c r="D42" s="33">
        <v>44695</v>
      </c>
      <c r="E42">
        <v>538000</v>
      </c>
      <c r="F42" s="7" t="str">
        <f>VLOOKUP(H42,P42:$Q$105,2,0)</f>
        <v>А-209 Жаропрочная поковка/штамповка ЭИ437БУ-ВД ТУ 1-801-959-03</v>
      </c>
      <c r="G42">
        <v>5</v>
      </c>
      <c r="H42">
        <v>51359</v>
      </c>
      <c r="I42" s="7">
        <v>3</v>
      </c>
      <c r="P42" s="9">
        <v>52762</v>
      </c>
      <c r="Q42" s="8" t="s">
        <v>68</v>
      </c>
      <c r="T42" s="7">
        <v>42</v>
      </c>
      <c r="U42" s="63">
        <v>44766</v>
      </c>
      <c r="V42" s="7">
        <v>693000</v>
      </c>
      <c r="W42" s="7" t="s">
        <v>74</v>
      </c>
      <c r="X42" s="7">
        <v>5</v>
      </c>
      <c r="Y42" s="7">
        <v>5128</v>
      </c>
      <c r="Z42" s="7">
        <v>3</v>
      </c>
    </row>
    <row r="43" spans="4:26" ht="43.5">
      <c r="D43" s="33">
        <v>44766</v>
      </c>
      <c r="E43">
        <v>693000</v>
      </c>
      <c r="F43" s="7" t="str">
        <f>VLOOKUP(H43,P43:$Q$105,2,0)</f>
        <v>А-210 Жаропрочная поковка/штамповка ЭИ437БУ-ВД ТУ 1-801-959-03</v>
      </c>
      <c r="G43">
        <v>5</v>
      </c>
      <c r="H43">
        <v>5128</v>
      </c>
      <c r="I43" s="7">
        <v>3</v>
      </c>
      <c r="P43" s="31">
        <v>516832</v>
      </c>
      <c r="Q43" s="10" t="s">
        <v>69</v>
      </c>
      <c r="T43" s="7">
        <v>43</v>
      </c>
      <c r="U43" s="63">
        <v>44839</v>
      </c>
      <c r="V43" s="7">
        <v>320000</v>
      </c>
      <c r="W43" s="7" t="s">
        <v>75</v>
      </c>
      <c r="X43" s="7">
        <v>5</v>
      </c>
      <c r="Y43" s="7">
        <v>51582</v>
      </c>
      <c r="Z43" s="7">
        <v>2</v>
      </c>
    </row>
    <row r="44" spans="4:26" ht="29">
      <c r="D44" s="33">
        <v>44839</v>
      </c>
      <c r="E44">
        <v>320000</v>
      </c>
      <c r="F44" s="7" t="str">
        <f>VLOOKUP(H44,P44:$Q$105,2,0)</f>
        <v>А-252 Жаропрочная поковка/штамповка ЭИ437БУ-ВД Протокол от 25.11.02</v>
      </c>
      <c r="G44">
        <v>5</v>
      </c>
      <c r="H44">
        <v>51582</v>
      </c>
      <c r="I44" s="7">
        <v>2</v>
      </c>
      <c r="P44" s="31">
        <v>516833</v>
      </c>
      <c r="Q44" s="10" t="s">
        <v>70</v>
      </c>
      <c r="T44" s="7">
        <v>44</v>
      </c>
      <c r="U44" s="63">
        <v>44708</v>
      </c>
      <c r="V44" s="7">
        <v>489000</v>
      </c>
      <c r="W44" s="7" t="s">
        <v>34</v>
      </c>
      <c r="X44" s="7">
        <v>5</v>
      </c>
      <c r="Y44" s="7">
        <v>63635</v>
      </c>
      <c r="Z44" s="7">
        <v>2</v>
      </c>
    </row>
    <row r="45" spans="4:26" ht="29">
      <c r="D45" s="33">
        <v>44708</v>
      </c>
      <c r="E45">
        <f>326000*1.5</f>
        <v>489000</v>
      </c>
      <c r="F45" s="8" t="s">
        <v>34</v>
      </c>
      <c r="G45">
        <v>5</v>
      </c>
      <c r="H45">
        <v>63635</v>
      </c>
      <c r="I45" s="7">
        <v>2</v>
      </c>
      <c r="P45" s="31">
        <v>516699</v>
      </c>
      <c r="Q45" s="10" t="s">
        <v>71</v>
      </c>
      <c r="T45" s="7">
        <v>45</v>
      </c>
      <c r="U45" s="63">
        <v>44853</v>
      </c>
      <c r="V45" s="7">
        <v>418000</v>
      </c>
      <c r="W45" s="7" t="s">
        <v>35</v>
      </c>
      <c r="X45" s="7">
        <v>9</v>
      </c>
      <c r="Y45" s="7">
        <v>631364</v>
      </c>
      <c r="Z45" s="7">
        <v>2</v>
      </c>
    </row>
    <row r="46" spans="4:26" ht="29">
      <c r="D46" s="33">
        <v>44853</v>
      </c>
      <c r="E46">
        <v>418000</v>
      </c>
      <c r="F46" s="8" t="s">
        <v>35</v>
      </c>
      <c r="G46">
        <v>3</v>
      </c>
      <c r="H46">
        <v>631364</v>
      </c>
      <c r="I46" s="7">
        <v>2</v>
      </c>
      <c r="P46" s="31">
        <v>516835</v>
      </c>
      <c r="Q46" s="10" t="s">
        <v>72</v>
      </c>
      <c r="T46" s="7">
        <v>46</v>
      </c>
      <c r="U46" s="63">
        <v>44781</v>
      </c>
      <c r="V46" s="7">
        <v>545000</v>
      </c>
      <c r="W46" s="7" t="s">
        <v>36</v>
      </c>
      <c r="X46" s="7">
        <v>9</v>
      </c>
      <c r="Y46" s="7">
        <v>631242</v>
      </c>
      <c r="Z46" s="7">
        <v>2</v>
      </c>
    </row>
    <row r="47" spans="4:26" ht="43.5">
      <c r="D47" s="33">
        <v>44781</v>
      </c>
      <c r="E47">
        <v>545000</v>
      </c>
      <c r="F47" s="8" t="s">
        <v>36</v>
      </c>
      <c r="G47">
        <v>3</v>
      </c>
      <c r="H47">
        <v>631242</v>
      </c>
      <c r="I47" s="7">
        <v>2</v>
      </c>
      <c r="P47" s="31">
        <v>51359</v>
      </c>
      <c r="Q47" s="10" t="s">
        <v>73</v>
      </c>
      <c r="T47" s="7">
        <v>47</v>
      </c>
      <c r="U47" s="63">
        <v>44671</v>
      </c>
      <c r="V47" s="7">
        <v>356000</v>
      </c>
      <c r="W47" s="7" t="s">
        <v>90</v>
      </c>
      <c r="X47" s="7">
        <v>9</v>
      </c>
      <c r="Y47" s="7">
        <v>41147</v>
      </c>
      <c r="Z47" s="7">
        <v>1</v>
      </c>
    </row>
    <row r="48" spans="4:26" ht="29">
      <c r="D48" s="33">
        <v>44671</v>
      </c>
      <c r="E48">
        <v>356000</v>
      </c>
      <c r="F48" s="7" t="str">
        <f>VLOOKUP(H48,P48:$Q$105,2,0)</f>
        <v>Заготовки гранульные всесторонние СДП-26 ЭП741НП ТУ 1-801-1208-2007</v>
      </c>
      <c r="G48">
        <v>3</v>
      </c>
      <c r="H48">
        <v>41147</v>
      </c>
      <c r="I48" s="7">
        <v>1</v>
      </c>
      <c r="P48" s="31">
        <v>5128</v>
      </c>
      <c r="Q48" s="10" t="s">
        <v>74</v>
      </c>
      <c r="T48" s="7">
        <v>48</v>
      </c>
      <c r="U48" s="63">
        <v>44867</v>
      </c>
      <c r="V48" s="7">
        <v>619000</v>
      </c>
      <c r="W48" s="7" t="s">
        <v>91</v>
      </c>
      <c r="X48" s="7">
        <v>9</v>
      </c>
      <c r="Y48" s="7">
        <v>4749</v>
      </c>
      <c r="Z48" s="7">
        <v>2</v>
      </c>
    </row>
    <row r="49" spans="4:26" ht="29">
      <c r="D49" s="33">
        <v>44867</v>
      </c>
      <c r="E49">
        <v>619000</v>
      </c>
      <c r="F49" s="7" t="str">
        <f>VLOOKUP(H49,P49:$Q$105,2,0)</f>
        <v>Заготовки гранульные СДП-34 ЭП741НП ТУ 1-801-1207-2007</v>
      </c>
      <c r="G49">
        <v>3</v>
      </c>
      <c r="H49">
        <v>4749</v>
      </c>
      <c r="I49" s="7">
        <v>2</v>
      </c>
      <c r="P49" s="31">
        <v>51582</v>
      </c>
      <c r="Q49" s="10" t="s">
        <v>75</v>
      </c>
      <c r="T49" s="7">
        <v>49</v>
      </c>
      <c r="U49" s="63">
        <v>44698</v>
      </c>
      <c r="V49" s="7">
        <v>474000</v>
      </c>
      <c r="W49" s="7" t="s">
        <v>92</v>
      </c>
      <c r="X49" s="7">
        <v>9</v>
      </c>
      <c r="Y49" s="7">
        <v>475</v>
      </c>
      <c r="Z49" s="7">
        <v>3</v>
      </c>
    </row>
    <row r="50" spans="4:26" ht="29">
      <c r="D50" s="33">
        <v>44698</v>
      </c>
      <c r="E50">
        <v>474000</v>
      </c>
      <c r="F50" s="7" t="str">
        <f>VLOOKUP(H50,P50:$Q$105,2,0)</f>
        <v>Заготовки гранульные СДП-35 ЭП741НП ТУ 1-801-1207-2007</v>
      </c>
      <c r="G50">
        <v>3</v>
      </c>
      <c r="H50">
        <v>475</v>
      </c>
      <c r="I50" s="7">
        <v>3</v>
      </c>
      <c r="P50" s="32">
        <v>512768</v>
      </c>
      <c r="Q50" s="11" t="s">
        <v>76</v>
      </c>
      <c r="T50" s="7" t="s">
        <v>185</v>
      </c>
      <c r="U50" s="7" t="s">
        <v>185</v>
      </c>
      <c r="V50" s="7" t="s">
        <v>185</v>
      </c>
      <c r="W50" s="7" t="s">
        <v>185</v>
      </c>
      <c r="X50" s="7" t="s">
        <v>185</v>
      </c>
      <c r="Y50" s="7" t="s">
        <v>185</v>
      </c>
      <c r="Z50" s="7" t="s">
        <v>185</v>
      </c>
    </row>
    <row r="51" spans="4:26" ht="28">
      <c r="D51" s="33"/>
      <c r="P51" s="32">
        <v>517821</v>
      </c>
      <c r="Q51" s="11" t="s">
        <v>77</v>
      </c>
    </row>
    <row r="52" spans="4:26" ht="28">
      <c r="D52" s="33"/>
      <c r="P52" s="32">
        <v>51838</v>
      </c>
      <c r="Q52" s="11" t="s">
        <v>78</v>
      </c>
    </row>
    <row r="53" spans="4:26" ht="28">
      <c r="D53" s="33"/>
      <c r="P53" s="32">
        <v>518381</v>
      </c>
      <c r="Q53" s="11" t="s">
        <v>79</v>
      </c>
    </row>
    <row r="54" spans="4:26" ht="28">
      <c r="D54" s="33"/>
      <c r="P54" s="32">
        <v>517876</v>
      </c>
      <c r="Q54" s="11" t="s">
        <v>80</v>
      </c>
    </row>
    <row r="55" spans="4:26" ht="28">
      <c r="D55" s="33"/>
      <c r="P55" s="32">
        <v>514977</v>
      </c>
      <c r="Q55" s="11" t="s">
        <v>81</v>
      </c>
    </row>
    <row r="56" spans="4:26" ht="28">
      <c r="D56" s="33"/>
      <c r="P56" s="32">
        <v>514978</v>
      </c>
      <c r="Q56" s="11" t="s">
        <v>82</v>
      </c>
    </row>
    <row r="57" spans="4:26" ht="28">
      <c r="D57" s="33"/>
      <c r="P57" s="32">
        <v>514979</v>
      </c>
      <c r="Q57" s="11" t="s">
        <v>83</v>
      </c>
    </row>
    <row r="58" spans="4:26" ht="28">
      <c r="D58" s="33"/>
      <c r="P58" s="9">
        <v>4127</v>
      </c>
      <c r="Q58" s="8" t="s">
        <v>84</v>
      </c>
    </row>
    <row r="59" spans="4:26" ht="28">
      <c r="D59" s="33"/>
      <c r="P59" s="9">
        <v>4136</v>
      </c>
      <c r="Q59" s="8" t="s">
        <v>85</v>
      </c>
    </row>
    <row r="60" spans="4:26" ht="28">
      <c r="D60" s="33"/>
      <c r="P60" s="9">
        <v>4872</v>
      </c>
      <c r="Q60" s="8" t="s">
        <v>86</v>
      </c>
    </row>
    <row r="61" spans="4:26" ht="28">
      <c r="D61" s="33"/>
      <c r="P61" s="9">
        <v>4864</v>
      </c>
      <c r="Q61" s="8" t="s">
        <v>87</v>
      </c>
    </row>
    <row r="62" spans="4:26" ht="28">
      <c r="D62" s="33"/>
      <c r="P62" s="9">
        <v>4126</v>
      </c>
      <c r="Q62" s="8" t="s">
        <v>88</v>
      </c>
    </row>
    <row r="63" spans="4:26" ht="28">
      <c r="D63" s="33"/>
      <c r="P63" s="9">
        <v>4125</v>
      </c>
      <c r="Q63" s="8" t="s">
        <v>89</v>
      </c>
    </row>
    <row r="64" spans="4:26" ht="28">
      <c r="D64" s="33"/>
      <c r="P64" s="9">
        <v>41147</v>
      </c>
      <c r="Q64" s="8" t="s">
        <v>90</v>
      </c>
    </row>
    <row r="65" spans="4:17" ht="28">
      <c r="D65" s="33"/>
      <c r="P65" s="9">
        <v>4749</v>
      </c>
      <c r="Q65" s="8" t="s">
        <v>91</v>
      </c>
    </row>
    <row r="66" spans="4:17" ht="28">
      <c r="D66" s="33"/>
      <c r="P66" s="9">
        <v>475</v>
      </c>
      <c r="Q66" s="8" t="s">
        <v>92</v>
      </c>
    </row>
    <row r="67" spans="4:17" ht="28">
      <c r="D67" s="33"/>
      <c r="P67" s="9">
        <v>4882</v>
      </c>
      <c r="Q67" s="8" t="s">
        <v>93</v>
      </c>
    </row>
    <row r="68" spans="4:17" ht="28">
      <c r="D68" s="33"/>
      <c r="P68" s="9">
        <v>4883</v>
      </c>
      <c r="Q68" s="8" t="s">
        <v>94</v>
      </c>
    </row>
    <row r="69" spans="4:17" ht="28">
      <c r="D69" s="33"/>
      <c r="P69" s="9">
        <v>4884</v>
      </c>
      <c r="Q69" s="8" t="s">
        <v>95</v>
      </c>
    </row>
    <row r="70" spans="4:17" ht="28">
      <c r="D70" s="33"/>
      <c r="P70" s="9">
        <v>4751</v>
      </c>
      <c r="Q70" s="8" t="s">
        <v>96</v>
      </c>
    </row>
    <row r="71" spans="4:17" ht="28">
      <c r="D71" s="33"/>
      <c r="P71" s="9">
        <v>4785</v>
      </c>
      <c r="Q71" s="8" t="s">
        <v>97</v>
      </c>
    </row>
    <row r="72" spans="4:17" ht="28">
      <c r="D72" s="33"/>
      <c r="P72" s="9">
        <v>4818</v>
      </c>
      <c r="Q72" s="8" t="s">
        <v>98</v>
      </c>
    </row>
    <row r="73" spans="4:17" ht="28">
      <c r="D73" s="33"/>
      <c r="P73" s="9">
        <v>63184</v>
      </c>
      <c r="Q73" s="8" t="s">
        <v>99</v>
      </c>
    </row>
    <row r="74" spans="4:17" ht="28">
      <c r="D74" s="33"/>
      <c r="P74" s="9">
        <v>63151</v>
      </c>
      <c r="Q74" s="8" t="s">
        <v>100</v>
      </c>
    </row>
    <row r="75" spans="4:17" ht="28">
      <c r="D75" s="33"/>
      <c r="P75" s="9">
        <v>639613</v>
      </c>
      <c r="Q75" s="8" t="s">
        <v>101</v>
      </c>
    </row>
    <row r="76" spans="4:17">
      <c r="D76" s="33"/>
      <c r="P76" s="9">
        <v>6324</v>
      </c>
      <c r="Q76" s="8" t="s">
        <v>102</v>
      </c>
    </row>
    <row r="77" spans="4:17">
      <c r="D77" s="33"/>
      <c r="P77" s="9">
        <v>63194</v>
      </c>
      <c r="Q77" s="8" t="s">
        <v>103</v>
      </c>
    </row>
    <row r="78" spans="4:17" ht="28">
      <c r="D78" s="33"/>
      <c r="P78" s="9">
        <v>631835</v>
      </c>
      <c r="Q78" s="8" t="s">
        <v>104</v>
      </c>
    </row>
    <row r="79" spans="4:17" ht="28">
      <c r="D79" s="33"/>
      <c r="P79" s="9">
        <v>631185</v>
      </c>
      <c r="Q79" s="8" t="s">
        <v>105</v>
      </c>
    </row>
    <row r="80" spans="4:17" ht="28">
      <c r="D80" s="33"/>
      <c r="P80" s="9">
        <v>631198</v>
      </c>
      <c r="Q80" s="8" t="s">
        <v>106</v>
      </c>
    </row>
    <row r="81" spans="4:17" ht="28">
      <c r="D81" s="33"/>
      <c r="P81" s="9">
        <v>631186</v>
      </c>
      <c r="Q81" s="8" t="s">
        <v>107</v>
      </c>
    </row>
    <row r="82" spans="4:17" ht="28">
      <c r="D82" s="33"/>
      <c r="P82" s="9">
        <v>631417</v>
      </c>
      <c r="Q82" s="8" t="s">
        <v>108</v>
      </c>
    </row>
    <row r="83" spans="4:17" ht="28">
      <c r="D83" s="33"/>
      <c r="P83" s="9">
        <v>63839</v>
      </c>
      <c r="Q83" s="8" t="s">
        <v>109</v>
      </c>
    </row>
    <row r="84" spans="4:17" ht="28">
      <c r="D84" s="33"/>
      <c r="P84" s="9">
        <v>634345</v>
      </c>
      <c r="Q84" s="8" t="s">
        <v>110</v>
      </c>
    </row>
    <row r="85" spans="4:17" ht="28">
      <c r="D85" s="33"/>
      <c r="P85" s="9">
        <v>63227</v>
      </c>
      <c r="Q85" s="8" t="s">
        <v>111</v>
      </c>
    </row>
    <row r="86" spans="4:17" ht="28">
      <c r="D86" s="33"/>
      <c r="P86" s="9">
        <v>514338</v>
      </c>
      <c r="Q86" s="8" t="s">
        <v>112</v>
      </c>
    </row>
    <row r="87" spans="4:17" ht="28">
      <c r="D87" s="33"/>
      <c r="P87" s="9">
        <v>51677</v>
      </c>
      <c r="Q87" s="8" t="s">
        <v>113</v>
      </c>
    </row>
    <row r="88" spans="4:17" ht="28">
      <c r="D88" s="33"/>
      <c r="P88" s="9">
        <v>516118</v>
      </c>
      <c r="Q88" s="8" t="s">
        <v>114</v>
      </c>
    </row>
    <row r="89" spans="4:17" ht="28">
      <c r="D89" s="33"/>
      <c r="P89" s="9">
        <v>51678</v>
      </c>
      <c r="Q89" s="8" t="s">
        <v>115</v>
      </c>
    </row>
    <row r="90" spans="4:17" ht="28">
      <c r="D90" s="33"/>
      <c r="P90" s="9">
        <v>516974</v>
      </c>
      <c r="Q90" s="8" t="s">
        <v>116</v>
      </c>
    </row>
    <row r="91" spans="4:17" ht="28">
      <c r="D91" s="33"/>
      <c r="P91" s="9">
        <v>511489</v>
      </c>
      <c r="Q91" s="8" t="s">
        <v>117</v>
      </c>
    </row>
    <row r="92" spans="4:17">
      <c r="D92" s="33"/>
      <c r="P92" s="9">
        <v>511616</v>
      </c>
      <c r="Q92" s="8" t="s">
        <v>118</v>
      </c>
    </row>
    <row r="93" spans="4:17">
      <c r="D93" s="33"/>
      <c r="P93" s="9">
        <v>512393</v>
      </c>
      <c r="Q93" s="8" t="s">
        <v>119</v>
      </c>
    </row>
    <row r="94" spans="4:17" ht="28">
      <c r="D94" s="33"/>
      <c r="P94" s="9">
        <v>512387</v>
      </c>
      <c r="Q94" s="8" t="s">
        <v>120</v>
      </c>
    </row>
    <row r="95" spans="4:17" ht="28">
      <c r="D95" s="33"/>
      <c r="P95" s="9">
        <v>512388</v>
      </c>
      <c r="Q95" s="8" t="s">
        <v>121</v>
      </c>
    </row>
    <row r="96" spans="4:17" ht="28">
      <c r="D96" s="33"/>
      <c r="P96" s="9">
        <v>512414</v>
      </c>
      <c r="Q96" s="8" t="s">
        <v>122</v>
      </c>
    </row>
    <row r="97" spans="4:17">
      <c r="D97" s="33"/>
      <c r="P97" s="9">
        <v>51258</v>
      </c>
      <c r="Q97" s="8" t="s">
        <v>123</v>
      </c>
    </row>
    <row r="98" spans="4:17" ht="28">
      <c r="D98" s="33"/>
      <c r="P98" s="9">
        <v>512731</v>
      </c>
      <c r="Q98" s="8" t="s">
        <v>124</v>
      </c>
    </row>
    <row r="99" spans="4:17" ht="28">
      <c r="D99" s="33"/>
      <c r="P99" s="9">
        <v>518827</v>
      </c>
      <c r="Q99" s="8" t="s">
        <v>125</v>
      </c>
    </row>
    <row r="100" spans="4:17" ht="28">
      <c r="D100" s="33"/>
      <c r="P100" s="9">
        <v>516614</v>
      </c>
      <c r="Q100" s="8" t="s">
        <v>126</v>
      </c>
    </row>
    <row r="101" spans="4:17" ht="28">
      <c r="D101" s="33"/>
      <c r="P101" s="9">
        <v>516615</v>
      </c>
      <c r="Q101" s="8" t="s">
        <v>127</v>
      </c>
    </row>
    <row r="102" spans="4:17" ht="28">
      <c r="D102" s="33"/>
      <c r="P102" s="9">
        <v>516616</v>
      </c>
      <c r="Q102" s="8" t="s">
        <v>128</v>
      </c>
    </row>
    <row r="103" spans="4:17" ht="28">
      <c r="D103" s="33"/>
      <c r="P103" s="9">
        <v>51366</v>
      </c>
      <c r="Q103" s="8" t="s">
        <v>129</v>
      </c>
    </row>
    <row r="104" spans="4:17" ht="28">
      <c r="D104" s="33"/>
      <c r="P104" s="9">
        <v>517628</v>
      </c>
      <c r="Q104" s="8" t="s">
        <v>130</v>
      </c>
    </row>
    <row r="105" spans="4:17" ht="28">
      <c r="D105" s="33"/>
      <c r="P105" s="9">
        <v>51249</v>
      </c>
      <c r="Q105" s="8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106"/>
  <sheetViews>
    <sheetView topLeftCell="C1" workbookViewId="0">
      <selection activeCell="D2" sqref="D2:I50"/>
    </sheetView>
  </sheetViews>
  <sheetFormatPr defaultRowHeight="14.5"/>
  <cols>
    <col min="3" max="3" width="9.90625" bestFit="1" customWidth="1"/>
    <col min="4" max="4" width="14.6328125" customWidth="1"/>
    <col min="5" max="5" width="12.36328125" customWidth="1"/>
    <col min="6" max="6" width="9.90625" bestFit="1" customWidth="1"/>
    <col min="11" max="11" width="44.7265625" customWidth="1"/>
    <col min="17" max="17" width="14.6328125" customWidth="1"/>
  </cols>
  <sheetData>
    <row r="1" spans="3:17">
      <c r="E1" t="s">
        <v>177</v>
      </c>
    </row>
    <row r="2" spans="3:17">
      <c r="C2" s="33"/>
      <c r="D2" s="67">
        <f>Q2+15</f>
        <v>44958</v>
      </c>
      <c r="E2" s="68">
        <v>0.91666666666666663</v>
      </c>
      <c r="F2" s="67">
        <f>D2+30</f>
        <v>44988</v>
      </c>
      <c r="G2" s="64">
        <f>F2-D2</f>
        <v>30</v>
      </c>
      <c r="H2" s="64">
        <v>1</v>
      </c>
      <c r="I2" s="64">
        <f>VLOOKUP(L2,Лист1!$F$1:$G$4,2,0)</f>
        <v>2</v>
      </c>
      <c r="L2">
        <v>630</v>
      </c>
      <c r="Q2" s="33">
        <v>44943</v>
      </c>
    </row>
    <row r="3" spans="3:17">
      <c r="C3" s="33"/>
      <c r="D3" s="67">
        <f t="shared" ref="D3:D49" si="0">Q3+15</f>
        <v>44864</v>
      </c>
      <c r="E3" s="69">
        <v>0.31899305555555557</v>
      </c>
      <c r="F3" s="67">
        <f t="shared" ref="F3:F4" si="1">D3+30</f>
        <v>44894</v>
      </c>
      <c r="G3" s="64">
        <f t="shared" ref="G3:G50" si="2">F3-D3</f>
        <v>30</v>
      </c>
      <c r="H3" s="64">
        <v>2</v>
      </c>
      <c r="I3" s="64">
        <f>VLOOKUP(L3,Лист1!$F$1:$G$4,2,0)</f>
        <v>2</v>
      </c>
      <c r="L3">
        <v>630</v>
      </c>
      <c r="Q3" s="33">
        <v>44849</v>
      </c>
    </row>
    <row r="4" spans="3:17">
      <c r="C4" s="33"/>
      <c r="D4" s="67">
        <f t="shared" si="0"/>
        <v>44769</v>
      </c>
      <c r="E4" s="69">
        <v>0.91724537037037035</v>
      </c>
      <c r="F4" s="67">
        <f t="shared" si="1"/>
        <v>44799</v>
      </c>
      <c r="G4" s="64">
        <f t="shared" si="2"/>
        <v>30</v>
      </c>
      <c r="H4" s="64">
        <v>3</v>
      </c>
      <c r="I4" s="64">
        <f>VLOOKUP(L4,Лист1!$F$1:$G$4,2,0)</f>
        <v>2</v>
      </c>
      <c r="L4">
        <v>630</v>
      </c>
      <c r="Q4" s="33">
        <v>44754</v>
      </c>
    </row>
    <row r="5" spans="3:17">
      <c r="C5" s="33"/>
      <c r="D5" s="67">
        <f t="shared" si="0"/>
        <v>44842</v>
      </c>
      <c r="E5" s="69">
        <v>0.48574074074074075</v>
      </c>
      <c r="F5" s="67">
        <f>Q5+186</f>
        <v>45013</v>
      </c>
      <c r="G5" s="64">
        <f t="shared" si="2"/>
        <v>171</v>
      </c>
      <c r="H5" s="64">
        <v>4</v>
      </c>
      <c r="I5" s="64">
        <f>VLOOKUP(L5,Лист1!$F$1:$G$4,2,0)</f>
        <v>2</v>
      </c>
      <c r="L5">
        <v>630</v>
      </c>
      <c r="Q5" s="33">
        <v>44827</v>
      </c>
    </row>
    <row r="6" spans="3:17">
      <c r="C6" s="33"/>
      <c r="D6" s="67">
        <f t="shared" si="0"/>
        <v>44862</v>
      </c>
      <c r="E6" s="69">
        <v>0.48344907407407406</v>
      </c>
      <c r="F6" s="67">
        <f>Q6+186+21</f>
        <v>45054</v>
      </c>
      <c r="G6" s="64">
        <f t="shared" si="2"/>
        <v>192</v>
      </c>
      <c r="H6" s="64">
        <v>5</v>
      </c>
      <c r="I6" s="64">
        <f>VLOOKUP(L6,Лист1!$F$1:$G$4,2,0)</f>
        <v>2</v>
      </c>
      <c r="L6">
        <v>630</v>
      </c>
      <c r="Q6" s="33">
        <v>44847</v>
      </c>
    </row>
    <row r="7" spans="3:17">
      <c r="C7" s="33"/>
      <c r="D7" s="67">
        <f t="shared" si="0"/>
        <v>44933</v>
      </c>
      <c r="E7" s="69">
        <v>1.2662037037037039E-2</v>
      </c>
      <c r="F7" s="67">
        <f>Q7+186+21</f>
        <v>45125</v>
      </c>
      <c r="G7" s="64">
        <f t="shared" si="2"/>
        <v>192</v>
      </c>
      <c r="H7" s="64">
        <v>6</v>
      </c>
      <c r="I7" s="64">
        <f>VLOOKUP(L7,Лист1!$F$1:$G$4,2,0)</f>
        <v>2</v>
      </c>
      <c r="L7">
        <v>630</v>
      </c>
      <c r="Q7" s="33">
        <v>44918</v>
      </c>
    </row>
    <row r="8" spans="3:17">
      <c r="C8" s="33"/>
      <c r="D8" s="67">
        <f t="shared" si="0"/>
        <v>44907</v>
      </c>
      <c r="E8" s="69">
        <v>0.63093750000000004</v>
      </c>
      <c r="F8" s="67">
        <f t="shared" ref="F8:F12" si="3">Q8+186</f>
        <v>45078</v>
      </c>
      <c r="G8" s="64">
        <f t="shared" si="2"/>
        <v>171</v>
      </c>
      <c r="H8" s="64">
        <v>7</v>
      </c>
      <c r="I8" s="64">
        <f>VLOOKUP(L8,Лист1!$F$1:$G$4,2,0)</f>
        <v>2</v>
      </c>
      <c r="L8">
        <v>630</v>
      </c>
      <c r="Q8" s="33">
        <v>44892</v>
      </c>
    </row>
    <row r="9" spans="3:17">
      <c r="C9" s="33"/>
      <c r="D9" s="67">
        <f t="shared" si="0"/>
        <v>44771</v>
      </c>
      <c r="E9" s="69">
        <v>0.65060185185185182</v>
      </c>
      <c r="F9" s="67">
        <f>Q9+186-4</f>
        <v>44938</v>
      </c>
      <c r="G9" s="64">
        <f t="shared" si="2"/>
        <v>167</v>
      </c>
      <c r="H9" s="64">
        <v>8</v>
      </c>
      <c r="I9" s="64">
        <f>VLOOKUP(L9,Лист1!$F$1:$G$4,2,0)</f>
        <v>4</v>
      </c>
      <c r="L9">
        <v>40</v>
      </c>
      <c r="Q9" s="33">
        <v>44756</v>
      </c>
    </row>
    <row r="10" spans="3:17">
      <c r="C10" s="33"/>
      <c r="D10" s="67">
        <f t="shared" si="0"/>
        <v>44829</v>
      </c>
      <c r="E10" s="69">
        <v>0.18640046296296298</v>
      </c>
      <c r="F10" s="67">
        <f t="shared" ref="F10:F11" si="4">Q10+186-4</f>
        <v>44996</v>
      </c>
      <c r="G10" s="64">
        <f t="shared" si="2"/>
        <v>167</v>
      </c>
      <c r="H10" s="64">
        <v>9</v>
      </c>
      <c r="I10" s="64">
        <f>VLOOKUP(L10,Лист1!$F$1:$G$4,2,0)</f>
        <v>4</v>
      </c>
      <c r="L10">
        <v>40</v>
      </c>
      <c r="Q10" s="33">
        <v>44814</v>
      </c>
    </row>
    <row r="11" spans="3:17">
      <c r="C11" s="33"/>
      <c r="D11" s="67">
        <f t="shared" si="0"/>
        <v>44831</v>
      </c>
      <c r="E11" s="69">
        <v>0.94171296296296303</v>
      </c>
      <c r="F11" s="67">
        <f t="shared" si="4"/>
        <v>44998</v>
      </c>
      <c r="G11" s="64">
        <f t="shared" si="2"/>
        <v>167</v>
      </c>
      <c r="H11" s="64">
        <v>10</v>
      </c>
      <c r="I11" s="64">
        <f>VLOOKUP(L11,Лист1!$F$1:$G$4,2,0)</f>
        <v>4</v>
      </c>
      <c r="L11">
        <v>40</v>
      </c>
      <c r="Q11" s="33">
        <v>44816</v>
      </c>
    </row>
    <row r="12" spans="3:17">
      <c r="C12" s="33"/>
      <c r="D12" s="67">
        <f t="shared" si="0"/>
        <v>44703</v>
      </c>
      <c r="E12" s="69">
        <v>0.1012037037037037</v>
      </c>
      <c r="F12" s="67">
        <f t="shared" si="3"/>
        <v>44874</v>
      </c>
      <c r="G12" s="64">
        <f t="shared" si="2"/>
        <v>171</v>
      </c>
      <c r="H12" s="64">
        <v>11</v>
      </c>
      <c r="I12" s="64">
        <f>VLOOKUP(L12,Лист1!$F$1:$G$4,2,0)</f>
        <v>2</v>
      </c>
      <c r="L12">
        <v>630</v>
      </c>
      <c r="Q12" s="33">
        <v>44688</v>
      </c>
    </row>
    <row r="13" spans="3:17">
      <c r="C13" s="33"/>
      <c r="D13" s="67">
        <f t="shared" si="0"/>
        <v>44716</v>
      </c>
      <c r="E13" s="69">
        <v>0.92601851851851846</v>
      </c>
      <c r="F13" s="67">
        <f>Q13+124</f>
        <v>44825</v>
      </c>
      <c r="G13" s="64">
        <f t="shared" si="2"/>
        <v>109</v>
      </c>
      <c r="H13" s="64">
        <v>12</v>
      </c>
      <c r="I13" s="64">
        <f>VLOOKUP(L13,Лист1!$F$1:$G$4,2,0)</f>
        <v>1</v>
      </c>
      <c r="L13">
        <v>510</v>
      </c>
      <c r="Q13" s="33">
        <v>44701</v>
      </c>
    </row>
    <row r="14" spans="3:17">
      <c r="C14" s="33"/>
      <c r="D14" s="67">
        <f t="shared" si="0"/>
        <v>44730</v>
      </c>
      <c r="E14" s="69">
        <v>0.35300925925925924</v>
      </c>
      <c r="F14" s="67">
        <f t="shared" ref="F14:F22" si="5">Q14+124</f>
        <v>44839</v>
      </c>
      <c r="G14" s="64">
        <f t="shared" si="2"/>
        <v>109</v>
      </c>
      <c r="H14" s="64">
        <v>13</v>
      </c>
      <c r="I14" s="64">
        <f>VLOOKUP(L14,Лист1!$F$1:$G$4,2,0)</f>
        <v>1</v>
      </c>
      <c r="L14">
        <v>510</v>
      </c>
      <c r="Q14" s="33">
        <v>44715</v>
      </c>
    </row>
    <row r="15" spans="3:17">
      <c r="C15" s="33"/>
      <c r="D15" s="67">
        <f t="shared" si="0"/>
        <v>44792</v>
      </c>
      <c r="E15" s="69">
        <v>0.60814814814814822</v>
      </c>
      <c r="F15" s="67">
        <f>Q15+124-12</f>
        <v>44889</v>
      </c>
      <c r="G15" s="64">
        <f t="shared" si="2"/>
        <v>97</v>
      </c>
      <c r="H15" s="64">
        <v>14</v>
      </c>
      <c r="I15" s="64">
        <f>VLOOKUP(L15,Лист1!$F$1:$G$4,2,0)</f>
        <v>1</v>
      </c>
      <c r="L15">
        <v>510</v>
      </c>
      <c r="Q15" s="33">
        <v>44777</v>
      </c>
    </row>
    <row r="16" spans="3:17">
      <c r="C16" s="33"/>
      <c r="D16" s="67">
        <f t="shared" si="0"/>
        <v>44692</v>
      </c>
      <c r="E16" s="69">
        <v>0.44905092592592594</v>
      </c>
      <c r="F16" s="67">
        <f t="shared" ref="F16:F17" si="6">Q16+124-12</f>
        <v>44789</v>
      </c>
      <c r="G16" s="64">
        <f t="shared" si="2"/>
        <v>97</v>
      </c>
      <c r="H16" s="64">
        <v>15</v>
      </c>
      <c r="I16" s="64">
        <f>VLOOKUP(L16,Лист1!$F$1:$G$4,2,0)</f>
        <v>2</v>
      </c>
      <c r="L16">
        <v>630</v>
      </c>
      <c r="Q16" s="33">
        <v>44677</v>
      </c>
    </row>
    <row r="17" spans="3:17">
      <c r="C17" s="33"/>
      <c r="D17" s="67">
        <f t="shared" si="0"/>
        <v>44949</v>
      </c>
      <c r="E17" s="69">
        <v>0.79905092592592597</v>
      </c>
      <c r="F17" s="67">
        <f t="shared" si="6"/>
        <v>45046</v>
      </c>
      <c r="G17" s="64">
        <f t="shared" si="2"/>
        <v>97</v>
      </c>
      <c r="H17" s="64">
        <v>16</v>
      </c>
      <c r="I17" s="64">
        <f>VLOOKUP(L17,Лист1!$F$1:$G$4,2,0)</f>
        <v>2</v>
      </c>
      <c r="L17">
        <v>630</v>
      </c>
      <c r="Q17" s="33">
        <v>44934</v>
      </c>
    </row>
    <row r="18" spans="3:17">
      <c r="C18" s="33"/>
      <c r="D18" s="67">
        <f t="shared" si="0"/>
        <v>44922</v>
      </c>
      <c r="E18" s="69">
        <v>7.0300925925925919E-2</v>
      </c>
      <c r="F18" s="67">
        <f t="shared" si="5"/>
        <v>45031</v>
      </c>
      <c r="G18" s="64">
        <f t="shared" si="2"/>
        <v>109</v>
      </c>
      <c r="H18" s="64">
        <v>17</v>
      </c>
      <c r="I18" s="64">
        <f>VLOOKUP(L18,Лист1!$F$1:$G$4,2,0)</f>
        <v>2</v>
      </c>
      <c r="L18">
        <v>630</v>
      </c>
      <c r="Q18" s="33">
        <v>44907</v>
      </c>
    </row>
    <row r="19" spans="3:17">
      <c r="C19" s="33"/>
      <c r="D19" s="67">
        <f t="shared" si="0"/>
        <v>44856</v>
      </c>
      <c r="E19" s="69">
        <v>8.3368055555555556E-2</v>
      </c>
      <c r="F19" s="67">
        <f>Q19+124-17</f>
        <v>44948</v>
      </c>
      <c r="G19" s="64">
        <f t="shared" si="2"/>
        <v>92</v>
      </c>
      <c r="H19" s="64">
        <v>18</v>
      </c>
      <c r="I19" s="64">
        <f>VLOOKUP(L19,Лист1!$F$1:$G$4,2,0)</f>
        <v>2</v>
      </c>
      <c r="L19">
        <v>630</v>
      </c>
      <c r="Q19" s="33">
        <v>44841</v>
      </c>
    </row>
    <row r="20" spans="3:17">
      <c r="C20" s="33"/>
      <c r="D20" s="67">
        <f t="shared" si="0"/>
        <v>44883</v>
      </c>
      <c r="E20" s="69">
        <v>0.61097222222222225</v>
      </c>
      <c r="F20" s="67">
        <f t="shared" ref="F20:F21" si="7">Q20+124-17</f>
        <v>44975</v>
      </c>
      <c r="G20" s="64">
        <f t="shared" si="2"/>
        <v>92</v>
      </c>
      <c r="H20" s="64">
        <v>19</v>
      </c>
      <c r="I20" s="64">
        <f>VLOOKUP(L20,Лист1!$F$1:$G$4,2,0)</f>
        <v>1</v>
      </c>
      <c r="L20">
        <v>510</v>
      </c>
      <c r="Q20" s="33">
        <v>44868</v>
      </c>
    </row>
    <row r="21" spans="3:17">
      <c r="C21" s="33"/>
      <c r="D21" s="67">
        <f t="shared" si="0"/>
        <v>44845</v>
      </c>
      <c r="E21" s="69">
        <v>0.65564814814814809</v>
      </c>
      <c r="F21" s="67">
        <f t="shared" si="7"/>
        <v>44937</v>
      </c>
      <c r="G21" s="64">
        <f t="shared" si="2"/>
        <v>92</v>
      </c>
      <c r="H21" s="64">
        <v>20</v>
      </c>
      <c r="I21" s="64">
        <f>VLOOKUP(L21,Лист1!$F$1:$G$4,2,0)</f>
        <v>1</v>
      </c>
      <c r="L21">
        <v>510</v>
      </c>
      <c r="Q21" s="33">
        <v>44830</v>
      </c>
    </row>
    <row r="22" spans="3:17">
      <c r="C22" s="33"/>
      <c r="D22" s="67">
        <f t="shared" si="0"/>
        <v>44779</v>
      </c>
      <c r="E22" s="69">
        <v>0.34355324074074073</v>
      </c>
      <c r="F22" s="67">
        <f t="shared" si="5"/>
        <v>44888</v>
      </c>
      <c r="G22" s="64">
        <f t="shared" si="2"/>
        <v>109</v>
      </c>
      <c r="H22" s="64">
        <v>21</v>
      </c>
      <c r="I22" s="64">
        <f>VLOOKUP(L22,Лист1!$F$1:$G$4,2,0)</f>
        <v>1</v>
      </c>
      <c r="L22">
        <v>510</v>
      </c>
      <c r="Q22" s="33">
        <v>44764</v>
      </c>
    </row>
    <row r="23" spans="3:17">
      <c r="C23" s="33"/>
      <c r="D23" s="67">
        <f t="shared" si="0"/>
        <v>44676</v>
      </c>
      <c r="E23" s="69">
        <v>0.67342592592592598</v>
      </c>
      <c r="F23" s="67">
        <f>Q23+155</f>
        <v>44816</v>
      </c>
      <c r="G23" s="64">
        <f t="shared" si="2"/>
        <v>140</v>
      </c>
      <c r="H23" s="64">
        <v>22</v>
      </c>
      <c r="I23" s="64">
        <f>VLOOKUP(L23,Лист1!$F$1:$G$4,2,0)</f>
        <v>1</v>
      </c>
      <c r="L23">
        <v>510</v>
      </c>
      <c r="Q23" s="33">
        <v>44661</v>
      </c>
    </row>
    <row r="24" spans="3:17">
      <c r="C24" s="33"/>
      <c r="D24" s="67">
        <f t="shared" si="0"/>
        <v>44686</v>
      </c>
      <c r="E24" s="69">
        <v>0.69015046296296301</v>
      </c>
      <c r="F24" s="67">
        <f>Q24+155+13</f>
        <v>44839</v>
      </c>
      <c r="G24" s="64">
        <f t="shared" si="2"/>
        <v>153</v>
      </c>
      <c r="H24" s="64">
        <v>23</v>
      </c>
      <c r="I24" s="64">
        <f>VLOOKUP(L24,Лист1!$F$1:$G$4,2,0)</f>
        <v>1</v>
      </c>
      <c r="L24">
        <v>510</v>
      </c>
      <c r="Q24" s="33">
        <v>44671</v>
      </c>
    </row>
    <row r="25" spans="3:17">
      <c r="C25" s="33"/>
      <c r="D25" s="67">
        <f t="shared" si="0"/>
        <v>44840</v>
      </c>
      <c r="E25" s="69">
        <v>0.5295023148148148</v>
      </c>
      <c r="F25" s="67">
        <f>Q25+155-47</f>
        <v>44933</v>
      </c>
      <c r="G25" s="64">
        <f t="shared" si="2"/>
        <v>93</v>
      </c>
      <c r="H25" s="64">
        <v>24</v>
      </c>
      <c r="I25" s="64">
        <f>VLOOKUP(L25,Лист1!$F$1:$G$4,2,0)</f>
        <v>1</v>
      </c>
      <c r="L25">
        <v>510</v>
      </c>
      <c r="Q25" s="33">
        <v>44825</v>
      </c>
    </row>
    <row r="26" spans="3:17">
      <c r="C26" s="33"/>
      <c r="D26" s="67">
        <f t="shared" si="0"/>
        <v>44875</v>
      </c>
      <c r="E26" s="69">
        <v>0.8366203703703704</v>
      </c>
      <c r="F26" s="67">
        <f t="shared" ref="F26:F27" si="8">Q26+155-47</f>
        <v>44968</v>
      </c>
      <c r="G26" s="64">
        <f t="shared" si="2"/>
        <v>93</v>
      </c>
      <c r="H26" s="64">
        <v>25</v>
      </c>
      <c r="I26" s="64">
        <f>VLOOKUP(L26,Лист1!$F$1:$G$4,2,0)</f>
        <v>1</v>
      </c>
      <c r="L26">
        <v>510</v>
      </c>
      <c r="Q26" s="33">
        <v>44860</v>
      </c>
    </row>
    <row r="27" spans="3:17">
      <c r="C27" s="33"/>
      <c r="D27" s="67">
        <f t="shared" si="0"/>
        <v>44872</v>
      </c>
      <c r="E27" s="69">
        <v>0.79133101851851861</v>
      </c>
      <c r="F27" s="67">
        <f t="shared" si="8"/>
        <v>44965</v>
      </c>
      <c r="G27" s="64">
        <f t="shared" si="2"/>
        <v>93</v>
      </c>
      <c r="H27" s="64">
        <v>26</v>
      </c>
      <c r="I27" s="64">
        <f>VLOOKUP(L27,Лист1!$F$1:$G$4,2,0)</f>
        <v>1</v>
      </c>
      <c r="L27">
        <v>510</v>
      </c>
      <c r="Q27" s="33">
        <v>44857</v>
      </c>
    </row>
    <row r="28" spans="3:17">
      <c r="C28" s="33"/>
      <c r="D28" s="67">
        <f t="shared" si="0"/>
        <v>44759</v>
      </c>
      <c r="E28" s="69">
        <v>0.77999999999999992</v>
      </c>
      <c r="F28" s="67">
        <f t="shared" ref="F28:F33" si="9">Q28+155</f>
        <v>44899</v>
      </c>
      <c r="G28" s="64">
        <f t="shared" si="2"/>
        <v>140</v>
      </c>
      <c r="H28" s="64">
        <v>27</v>
      </c>
      <c r="I28" s="64">
        <f>VLOOKUP(L28,Лист1!$F$1:$G$4,2,0)</f>
        <v>1</v>
      </c>
      <c r="L28">
        <v>510</v>
      </c>
      <c r="Q28" s="33">
        <v>44744</v>
      </c>
    </row>
    <row r="29" spans="3:17">
      <c r="C29" s="33"/>
      <c r="D29" s="67">
        <f t="shared" si="0"/>
        <v>44918</v>
      </c>
      <c r="E29" s="69">
        <v>0.9153472222222222</v>
      </c>
      <c r="F29" s="67">
        <f>Q29+155+14</f>
        <v>45072</v>
      </c>
      <c r="G29" s="64">
        <f t="shared" si="2"/>
        <v>154</v>
      </c>
      <c r="H29" s="64">
        <v>28</v>
      </c>
      <c r="I29" s="64">
        <f>VLOOKUP(L29,Лист1!$F$1:$G$4,2,0)</f>
        <v>1</v>
      </c>
      <c r="L29">
        <v>510</v>
      </c>
      <c r="Q29" s="33">
        <v>44903</v>
      </c>
    </row>
    <row r="30" spans="3:17">
      <c r="C30" s="33"/>
      <c r="D30" s="67">
        <f t="shared" si="0"/>
        <v>44889</v>
      </c>
      <c r="E30" s="69">
        <v>0.71127314814814813</v>
      </c>
      <c r="F30" s="67">
        <f t="shared" ref="F30:F32" si="10">Q30+155+14</f>
        <v>45043</v>
      </c>
      <c r="G30" s="64">
        <f t="shared" si="2"/>
        <v>154</v>
      </c>
      <c r="H30" s="64">
        <v>29</v>
      </c>
      <c r="I30" s="64">
        <f>VLOOKUP(L30,Лист1!$F$1:$G$4,2,0)</f>
        <v>1</v>
      </c>
      <c r="L30">
        <v>510</v>
      </c>
      <c r="Q30" s="33">
        <v>44874</v>
      </c>
    </row>
    <row r="31" spans="3:17">
      <c r="C31" s="33"/>
      <c r="D31" s="67">
        <f t="shared" si="0"/>
        <v>44898</v>
      </c>
      <c r="E31" s="69">
        <v>0.54766203703703698</v>
      </c>
      <c r="F31" s="67">
        <f t="shared" si="10"/>
        <v>45052</v>
      </c>
      <c r="G31" s="64">
        <f t="shared" si="2"/>
        <v>154</v>
      </c>
      <c r="H31" s="64">
        <v>30</v>
      </c>
      <c r="I31" s="64">
        <f>VLOOKUP(L31,Лист1!$F$1:$G$4,2,0)</f>
        <v>1</v>
      </c>
      <c r="L31">
        <v>510</v>
      </c>
      <c r="Q31" s="33">
        <v>44883</v>
      </c>
    </row>
    <row r="32" spans="3:17">
      <c r="C32" s="33"/>
      <c r="D32" s="67">
        <f t="shared" si="0"/>
        <v>44868</v>
      </c>
      <c r="E32" s="69">
        <v>0.82517361111111109</v>
      </c>
      <c r="F32" s="67">
        <f t="shared" si="10"/>
        <v>45022</v>
      </c>
      <c r="G32" s="64">
        <f t="shared" si="2"/>
        <v>154</v>
      </c>
      <c r="H32" s="64">
        <v>31</v>
      </c>
      <c r="I32" s="64">
        <f>VLOOKUP(L32,Лист1!$F$1:$G$4,2,0)</f>
        <v>4</v>
      </c>
      <c r="L32">
        <v>40</v>
      </c>
      <c r="Q32" s="33">
        <v>44853</v>
      </c>
    </row>
    <row r="33" spans="3:17">
      <c r="C33" s="33"/>
      <c r="D33" s="67">
        <f t="shared" si="0"/>
        <v>44848</v>
      </c>
      <c r="E33" s="69">
        <v>0.56590277777777775</v>
      </c>
      <c r="F33" s="67">
        <f t="shared" si="9"/>
        <v>44988</v>
      </c>
      <c r="G33" s="64">
        <f t="shared" si="2"/>
        <v>140</v>
      </c>
      <c r="H33" s="64">
        <v>32</v>
      </c>
      <c r="I33" s="64">
        <f>VLOOKUP(L33,Лист1!$F$1:$G$4,2,0)</f>
        <v>4</v>
      </c>
      <c r="L33">
        <v>40</v>
      </c>
      <c r="Q33" s="33">
        <v>44833</v>
      </c>
    </row>
    <row r="34" spans="3:17">
      <c r="C34" s="33"/>
      <c r="D34" s="67">
        <f t="shared" si="0"/>
        <v>44882</v>
      </c>
      <c r="E34" s="69">
        <v>0.77270833333333344</v>
      </c>
      <c r="F34" s="67">
        <f>Q34+155-44</f>
        <v>44978</v>
      </c>
      <c r="G34" s="64">
        <f t="shared" si="2"/>
        <v>96</v>
      </c>
      <c r="H34" s="64">
        <v>33</v>
      </c>
      <c r="I34" s="64">
        <f>VLOOKUP(L34,Лист1!$F$1:$G$4,2,0)</f>
        <v>4</v>
      </c>
      <c r="L34">
        <v>40</v>
      </c>
      <c r="Q34" s="33">
        <v>44867</v>
      </c>
    </row>
    <row r="35" spans="3:17">
      <c r="C35" s="33"/>
      <c r="D35" s="67">
        <f t="shared" si="0"/>
        <v>44829</v>
      </c>
      <c r="E35" s="69">
        <v>0.38703703703703707</v>
      </c>
      <c r="F35" s="67">
        <f>Q35+155-44</f>
        <v>44925</v>
      </c>
      <c r="G35" s="64">
        <f t="shared" si="2"/>
        <v>96</v>
      </c>
      <c r="H35" s="64">
        <v>34</v>
      </c>
      <c r="I35" s="64">
        <f>VLOOKUP(L35,Лист1!$F$1:$G$4,2,0)</f>
        <v>4</v>
      </c>
      <c r="L35">
        <v>40</v>
      </c>
      <c r="Q35" s="33">
        <v>44814</v>
      </c>
    </row>
    <row r="36" spans="3:17">
      <c r="C36" s="33"/>
      <c r="D36" s="67">
        <f t="shared" si="0"/>
        <v>44684</v>
      </c>
      <c r="E36" s="69">
        <v>0.43266203703703704</v>
      </c>
      <c r="F36" s="67">
        <f>Q36+155-25</f>
        <v>44799</v>
      </c>
      <c r="G36" s="64">
        <f t="shared" si="2"/>
        <v>115</v>
      </c>
      <c r="H36" s="64">
        <v>35</v>
      </c>
      <c r="I36" s="64">
        <f>VLOOKUP(L36,Лист1!$F$1:$G$4,2,0)</f>
        <v>4</v>
      </c>
      <c r="L36">
        <v>40</v>
      </c>
      <c r="Q36" s="33">
        <v>44669</v>
      </c>
    </row>
    <row r="37" spans="3:17">
      <c r="C37" s="33"/>
      <c r="D37" s="67">
        <f t="shared" si="0"/>
        <v>44857</v>
      </c>
      <c r="E37" s="69">
        <v>0.54146990740740741</v>
      </c>
      <c r="F37" s="67">
        <f>Q37+155-25</f>
        <v>44972</v>
      </c>
      <c r="G37" s="64">
        <f t="shared" si="2"/>
        <v>115</v>
      </c>
      <c r="H37" s="64">
        <v>36</v>
      </c>
      <c r="I37" s="64">
        <f>VLOOKUP(L37,Лист1!$F$1:$G$4,2,0)</f>
        <v>2</v>
      </c>
      <c r="L37">
        <v>630</v>
      </c>
      <c r="Q37" s="33">
        <v>44842</v>
      </c>
    </row>
    <row r="38" spans="3:17">
      <c r="C38" s="33"/>
      <c r="D38" s="67">
        <f t="shared" si="0"/>
        <v>44690</v>
      </c>
      <c r="E38" s="69">
        <v>0.23113425925925926</v>
      </c>
      <c r="F38" s="67">
        <f>Q38+62</f>
        <v>44737</v>
      </c>
      <c r="G38" s="64">
        <f t="shared" si="2"/>
        <v>47</v>
      </c>
      <c r="H38" s="64">
        <v>37</v>
      </c>
      <c r="I38" s="64">
        <f>VLOOKUP(L38,Лист1!$F$1:$G$4,2,0)</f>
        <v>2</v>
      </c>
      <c r="L38">
        <v>630</v>
      </c>
      <c r="Q38" s="33">
        <v>44675</v>
      </c>
    </row>
    <row r="39" spans="3:17">
      <c r="C39" s="33"/>
      <c r="D39" s="67">
        <f t="shared" si="0"/>
        <v>44737</v>
      </c>
      <c r="E39" s="69">
        <v>0.91129629629629638</v>
      </c>
      <c r="F39" s="67">
        <f>Q39+69</f>
        <v>44791</v>
      </c>
      <c r="G39" s="64">
        <f t="shared" si="2"/>
        <v>54</v>
      </c>
      <c r="H39" s="64">
        <v>38</v>
      </c>
      <c r="I39" s="64">
        <f>VLOOKUP(L39,Лист1!$F$1:$G$4,2,0)</f>
        <v>2</v>
      </c>
      <c r="L39">
        <v>630</v>
      </c>
      <c r="Q39" s="33">
        <v>44722</v>
      </c>
    </row>
    <row r="40" spans="3:17">
      <c r="C40" s="33"/>
      <c r="D40" s="67">
        <f t="shared" si="0"/>
        <v>44930</v>
      </c>
      <c r="E40" s="69">
        <v>0.19619212962962962</v>
      </c>
      <c r="F40" s="67">
        <f t="shared" ref="F40:F41" si="11">Q40+69</f>
        <v>44984</v>
      </c>
      <c r="G40" s="64">
        <f t="shared" si="2"/>
        <v>54</v>
      </c>
      <c r="H40" s="64">
        <v>39</v>
      </c>
      <c r="I40" s="64">
        <f>VLOOKUP(L40,Лист1!$F$1:$G$4,2,0)</f>
        <v>4</v>
      </c>
      <c r="L40">
        <v>40</v>
      </c>
      <c r="Q40" s="33">
        <v>44915</v>
      </c>
    </row>
    <row r="41" spans="3:17">
      <c r="C41" s="33"/>
      <c r="D41" s="67">
        <f t="shared" si="0"/>
        <v>44779</v>
      </c>
      <c r="E41" s="69">
        <v>0.65484953703703697</v>
      </c>
      <c r="F41" s="67">
        <f t="shared" si="11"/>
        <v>44833</v>
      </c>
      <c r="G41" s="64">
        <f t="shared" si="2"/>
        <v>54</v>
      </c>
      <c r="H41" s="64">
        <v>40</v>
      </c>
      <c r="I41" s="64">
        <f>VLOOKUP(L41,Лист1!$F$1:$G$4,2,0)</f>
        <v>4</v>
      </c>
      <c r="L41">
        <v>40</v>
      </c>
      <c r="Q41" s="33">
        <v>44764</v>
      </c>
    </row>
    <row r="42" spans="3:17">
      <c r="C42" s="33"/>
      <c r="D42" s="67">
        <f t="shared" si="0"/>
        <v>44710</v>
      </c>
      <c r="E42" s="69">
        <v>0.52384259259259258</v>
      </c>
      <c r="F42" s="67">
        <f t="shared" ref="F42:F43" si="12">Q42+62</f>
        <v>44757</v>
      </c>
      <c r="G42" s="64">
        <f t="shared" si="2"/>
        <v>47</v>
      </c>
      <c r="H42" s="64">
        <v>41</v>
      </c>
      <c r="I42" s="64">
        <f>VLOOKUP(L42,Лист1!$F$1:$G$4,2,0)</f>
        <v>2</v>
      </c>
      <c r="L42">
        <v>630</v>
      </c>
      <c r="Q42" s="33">
        <v>44695</v>
      </c>
    </row>
    <row r="43" spans="3:17">
      <c r="C43" s="33"/>
      <c r="D43" s="67">
        <f t="shared" si="0"/>
        <v>44781</v>
      </c>
      <c r="E43" s="69">
        <v>0.24748842592592593</v>
      </c>
      <c r="F43" s="67">
        <f t="shared" si="12"/>
        <v>44828</v>
      </c>
      <c r="G43" s="64">
        <f t="shared" si="2"/>
        <v>47</v>
      </c>
      <c r="H43" s="64">
        <v>42</v>
      </c>
      <c r="I43" s="64">
        <f>VLOOKUP(L43,Лист1!$F$1:$G$4,2,0)</f>
        <v>2</v>
      </c>
      <c r="L43">
        <v>630</v>
      </c>
      <c r="Q43" s="33">
        <v>44766</v>
      </c>
    </row>
    <row r="44" spans="3:17">
      <c r="C44" s="33"/>
      <c r="D44" s="67">
        <f t="shared" si="0"/>
        <v>44854</v>
      </c>
      <c r="E44" s="69">
        <v>0.38532407407407404</v>
      </c>
      <c r="F44" s="67">
        <f>Q44+93</f>
        <v>44932</v>
      </c>
      <c r="G44" s="64">
        <f t="shared" si="2"/>
        <v>78</v>
      </c>
      <c r="H44" s="64">
        <v>43</v>
      </c>
      <c r="I44" s="64">
        <f>VLOOKUP(L44,Лист1!$F$1:$G$4,2,0)</f>
        <v>2</v>
      </c>
      <c r="L44">
        <v>630</v>
      </c>
      <c r="Q44" s="33">
        <v>44839</v>
      </c>
    </row>
    <row r="45" spans="3:17">
      <c r="C45" s="33"/>
      <c r="D45" s="67">
        <f t="shared" si="0"/>
        <v>44723</v>
      </c>
      <c r="E45" s="69">
        <v>0.59804398148148141</v>
      </c>
      <c r="F45" s="67">
        <f t="shared" ref="F45:F48" si="13">Q45+93</f>
        <v>44801</v>
      </c>
      <c r="G45" s="64">
        <f t="shared" si="2"/>
        <v>78</v>
      </c>
      <c r="H45" s="64">
        <v>44</v>
      </c>
      <c r="I45" s="64">
        <f>VLOOKUP(L45,Лист1!$F$1:$G$4,2,0)</f>
        <v>2</v>
      </c>
      <c r="L45">
        <v>630</v>
      </c>
      <c r="Q45" s="33">
        <v>44708</v>
      </c>
    </row>
    <row r="46" spans="3:17">
      <c r="C46" s="33"/>
      <c r="D46" s="67">
        <f t="shared" si="0"/>
        <v>44868</v>
      </c>
      <c r="E46" s="69">
        <v>0.85738425925925921</v>
      </c>
      <c r="F46" s="67">
        <f>Q46+93-17</f>
        <v>44929</v>
      </c>
      <c r="G46" s="64">
        <f t="shared" si="2"/>
        <v>61</v>
      </c>
      <c r="H46" s="64">
        <v>45</v>
      </c>
      <c r="I46" s="64">
        <f>VLOOKUP(L46,Лист1!$F$1:$G$4,2,0)</f>
        <v>2</v>
      </c>
      <c r="L46">
        <v>630</v>
      </c>
      <c r="Q46" s="33">
        <v>44853</v>
      </c>
    </row>
    <row r="47" spans="3:17">
      <c r="C47" s="33"/>
      <c r="D47" s="67">
        <f t="shared" si="0"/>
        <v>44796</v>
      </c>
      <c r="E47" s="69">
        <v>0.25846064814814812</v>
      </c>
      <c r="F47" s="67">
        <f>Q47+93-17</f>
        <v>44857</v>
      </c>
      <c r="G47" s="64">
        <f t="shared" si="2"/>
        <v>61</v>
      </c>
      <c r="H47" s="64">
        <v>46</v>
      </c>
      <c r="I47" s="64">
        <f>VLOOKUP(L47,Лист1!$F$1:$G$4,2,0)</f>
        <v>2</v>
      </c>
      <c r="L47">
        <v>630</v>
      </c>
      <c r="Q47" s="33">
        <v>44781</v>
      </c>
    </row>
    <row r="48" spans="3:17">
      <c r="C48" s="33"/>
      <c r="D48" s="67">
        <f t="shared" si="0"/>
        <v>44686</v>
      </c>
      <c r="E48" s="69">
        <v>0.44690972222222225</v>
      </c>
      <c r="F48" s="67">
        <f t="shared" si="13"/>
        <v>44764</v>
      </c>
      <c r="G48" s="64">
        <f t="shared" si="2"/>
        <v>78</v>
      </c>
      <c r="H48" s="64">
        <v>47</v>
      </c>
      <c r="I48" s="64">
        <f>VLOOKUP(L48,Лист1!$F$1:$G$4,2,0)</f>
        <v>4</v>
      </c>
      <c r="L48">
        <v>40</v>
      </c>
      <c r="Q48" s="33">
        <v>44671</v>
      </c>
    </row>
    <row r="49" spans="3:17">
      <c r="C49" s="33"/>
      <c r="D49" s="67">
        <f t="shared" si="0"/>
        <v>44882</v>
      </c>
      <c r="E49" s="69">
        <v>5.4594907407407411E-2</v>
      </c>
      <c r="F49" s="67">
        <f>Q49+93-44</f>
        <v>44916</v>
      </c>
      <c r="G49" s="64">
        <f t="shared" si="2"/>
        <v>34</v>
      </c>
      <c r="H49" s="64">
        <v>48</v>
      </c>
      <c r="I49" s="64">
        <f>VLOOKUP(L49,Лист1!$F$1:$G$4,2,0)</f>
        <v>4</v>
      </c>
      <c r="L49">
        <v>40</v>
      </c>
      <c r="Q49" s="33">
        <v>44867</v>
      </c>
    </row>
    <row r="50" spans="3:17">
      <c r="C50" s="33"/>
      <c r="D50" s="67">
        <f>Q50+15</f>
        <v>44713</v>
      </c>
      <c r="E50" s="69">
        <v>0.42730324074074072</v>
      </c>
      <c r="F50" s="67">
        <f>Q50+93-44</f>
        <v>44747</v>
      </c>
      <c r="G50" s="64">
        <f t="shared" si="2"/>
        <v>34</v>
      </c>
      <c r="H50" s="64">
        <v>49</v>
      </c>
      <c r="I50" s="64">
        <f>VLOOKUP(L50,Лист1!$F$1:$G$4,2,0)</f>
        <v>4</v>
      </c>
      <c r="L50">
        <v>40</v>
      </c>
      <c r="Q50" s="33">
        <v>44698</v>
      </c>
    </row>
    <row r="51" spans="3:17">
      <c r="C51" s="33"/>
      <c r="D51" s="33"/>
      <c r="E51" s="62"/>
      <c r="Q51" s="33"/>
    </row>
    <row r="52" spans="3:17">
      <c r="E52" s="62"/>
    </row>
    <row r="53" spans="3:17">
      <c r="E53" s="62"/>
    </row>
    <row r="54" spans="3:17">
      <c r="E54" s="62"/>
    </row>
    <row r="55" spans="3:17">
      <c r="E55" s="62"/>
    </row>
    <row r="56" spans="3:17">
      <c r="E56" s="62"/>
    </row>
    <row r="57" spans="3:17">
      <c r="E57" s="62"/>
    </row>
    <row r="58" spans="3:17">
      <c r="E58" s="62"/>
    </row>
    <row r="59" spans="3:17">
      <c r="E59" s="62"/>
    </row>
    <row r="60" spans="3:17">
      <c r="E60" s="62"/>
    </row>
    <row r="61" spans="3:17">
      <c r="E61" s="62"/>
    </row>
    <row r="62" spans="3:17">
      <c r="E62" s="62"/>
    </row>
    <row r="63" spans="3:17">
      <c r="E63" s="62"/>
    </row>
    <row r="64" spans="3:17">
      <c r="E64" s="62"/>
    </row>
    <row r="65" spans="5:5">
      <c r="E65" s="62"/>
    </row>
    <row r="66" spans="5:5">
      <c r="E66" s="62"/>
    </row>
    <row r="67" spans="5:5">
      <c r="E67" s="62"/>
    </row>
    <row r="68" spans="5:5">
      <c r="E68" s="62"/>
    </row>
    <row r="69" spans="5:5">
      <c r="E69" s="62"/>
    </row>
    <row r="70" spans="5:5">
      <c r="E70" s="62"/>
    </row>
    <row r="71" spans="5:5">
      <c r="E71" s="62"/>
    </row>
    <row r="72" spans="5:5">
      <c r="E72" s="62"/>
    </row>
    <row r="73" spans="5:5">
      <c r="E73" s="62"/>
    </row>
    <row r="74" spans="5:5">
      <c r="E74" s="62"/>
    </row>
    <row r="75" spans="5:5">
      <c r="E75" s="62"/>
    </row>
    <row r="76" spans="5:5">
      <c r="E76" s="62"/>
    </row>
    <row r="77" spans="5:5">
      <c r="E77" s="62"/>
    </row>
    <row r="78" spans="5:5">
      <c r="E78" s="62"/>
    </row>
    <row r="79" spans="5:5">
      <c r="E79" s="62"/>
    </row>
    <row r="80" spans="5:5">
      <c r="E80" s="62"/>
    </row>
    <row r="81" spans="5:5">
      <c r="E81" s="62"/>
    </row>
    <row r="82" spans="5:5">
      <c r="E82" s="62"/>
    </row>
    <row r="83" spans="5:5">
      <c r="E83" s="62"/>
    </row>
    <row r="84" spans="5:5">
      <c r="E84" s="62"/>
    </row>
    <row r="85" spans="5:5">
      <c r="E85" s="62"/>
    </row>
    <row r="86" spans="5:5">
      <c r="E86" s="62"/>
    </row>
    <row r="87" spans="5:5">
      <c r="E87" s="62"/>
    </row>
    <row r="88" spans="5:5">
      <c r="E88" s="62"/>
    </row>
    <row r="89" spans="5:5">
      <c r="E89" s="62"/>
    </row>
    <row r="90" spans="5:5">
      <c r="E90" s="62"/>
    </row>
    <row r="91" spans="5:5">
      <c r="E91" s="62"/>
    </row>
    <row r="92" spans="5:5">
      <c r="E92" s="62"/>
    </row>
    <row r="93" spans="5:5">
      <c r="E93" s="62"/>
    </row>
    <row r="94" spans="5:5">
      <c r="E94" s="62"/>
    </row>
    <row r="95" spans="5:5">
      <c r="E95" s="62"/>
    </row>
    <row r="96" spans="5:5">
      <c r="E96" s="62"/>
    </row>
    <row r="97" spans="5:5">
      <c r="E97" s="62"/>
    </row>
    <row r="98" spans="5:5">
      <c r="E98" s="62"/>
    </row>
    <row r="99" spans="5:5">
      <c r="E99" s="62"/>
    </row>
    <row r="100" spans="5:5">
      <c r="E100" s="62"/>
    </row>
    <row r="101" spans="5:5">
      <c r="E101" s="62"/>
    </row>
    <row r="102" spans="5:5">
      <c r="E102" s="62"/>
    </row>
    <row r="103" spans="5:5">
      <c r="E103" s="62"/>
    </row>
    <row r="104" spans="5:5">
      <c r="E104" s="62"/>
    </row>
    <row r="105" spans="5:5">
      <c r="E105" s="62"/>
    </row>
    <row r="106" spans="5:5">
      <c r="E106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"/>
  <sheetViews>
    <sheetView topLeftCell="B1" workbookViewId="0">
      <selection activeCell="B1" sqref="B1:C3"/>
    </sheetView>
  </sheetViews>
  <sheetFormatPr defaultRowHeight="14.5"/>
  <cols>
    <col min="3" max="3" width="21.08984375" customWidth="1"/>
    <col min="4" max="4" width="26.08984375" customWidth="1"/>
    <col min="5" max="5" width="25.6328125" customWidth="1"/>
    <col min="6" max="6" width="21.453125" customWidth="1"/>
    <col min="9" max="9" width="18.36328125" customWidth="1"/>
    <col min="10" max="10" width="20.6328125" customWidth="1"/>
    <col min="11" max="11" width="18.6328125" customWidth="1"/>
    <col min="12" max="12" width="22.7265625" customWidth="1"/>
    <col min="13" max="13" width="15.6328125" customWidth="1"/>
  </cols>
  <sheetData>
    <row r="1" spans="2:13" ht="26.5" customHeight="1">
      <c r="B1">
        <v>1</v>
      </c>
      <c r="C1" s="7" t="s">
        <v>4</v>
      </c>
      <c r="D1">
        <v>1</v>
      </c>
      <c r="E1" s="7" t="s">
        <v>5</v>
      </c>
      <c r="F1" s="7" t="s">
        <v>6</v>
      </c>
      <c r="I1">
        <v>1</v>
      </c>
      <c r="J1" s="7" t="s">
        <v>4</v>
      </c>
      <c r="K1">
        <v>1</v>
      </c>
      <c r="L1" s="7" t="s">
        <v>5</v>
      </c>
      <c r="M1" s="7" t="s">
        <v>6</v>
      </c>
    </row>
    <row r="2" spans="2:13" ht="21" customHeight="1">
      <c r="B2">
        <v>2</v>
      </c>
      <c r="C2" s="7" t="s">
        <v>7</v>
      </c>
      <c r="D2">
        <v>1</v>
      </c>
      <c r="E2" s="7" t="s">
        <v>8</v>
      </c>
      <c r="F2" s="7" t="s">
        <v>9</v>
      </c>
      <c r="I2">
        <v>2</v>
      </c>
      <c r="J2" s="7" t="s">
        <v>7</v>
      </c>
      <c r="K2">
        <v>1</v>
      </c>
      <c r="L2" s="7" t="s">
        <v>8</v>
      </c>
      <c r="M2" s="7" t="s">
        <v>9</v>
      </c>
    </row>
    <row r="3" spans="2:13" ht="29">
      <c r="B3">
        <v>3</v>
      </c>
      <c r="C3" s="7" t="s">
        <v>10</v>
      </c>
      <c r="D3">
        <v>1</v>
      </c>
      <c r="E3" s="7" t="s">
        <v>11</v>
      </c>
      <c r="F3" s="7">
        <v>1</v>
      </c>
      <c r="I3">
        <v>3</v>
      </c>
      <c r="J3" s="7" t="s">
        <v>10</v>
      </c>
      <c r="K3">
        <v>1</v>
      </c>
      <c r="L3" s="7" t="s">
        <v>11</v>
      </c>
      <c r="M3" s="7">
        <v>1</v>
      </c>
    </row>
    <row r="4" spans="2:13" ht="29">
      <c r="C4" s="7"/>
      <c r="E4" s="7"/>
      <c r="F4" s="7"/>
      <c r="I4">
        <v>4</v>
      </c>
      <c r="J4" s="7" t="s">
        <v>12</v>
      </c>
      <c r="K4">
        <v>2</v>
      </c>
      <c r="L4" s="7" t="s">
        <v>13</v>
      </c>
      <c r="M4" s="7" t="s">
        <v>14</v>
      </c>
    </row>
    <row r="5" spans="2:13" ht="29">
      <c r="C5" s="7"/>
      <c r="E5" s="7"/>
      <c r="F5" s="7"/>
      <c r="I5">
        <v>5</v>
      </c>
      <c r="J5" s="7" t="s">
        <v>15</v>
      </c>
      <c r="K5">
        <v>2</v>
      </c>
      <c r="L5" s="7" t="s">
        <v>16</v>
      </c>
      <c r="M5" s="7" t="s">
        <v>17</v>
      </c>
    </row>
    <row r="6" spans="2:13" ht="29">
      <c r="C6" s="7"/>
      <c r="E6" s="7"/>
      <c r="F6" s="7"/>
      <c r="I6">
        <v>6</v>
      </c>
      <c r="J6" s="7" t="s">
        <v>18</v>
      </c>
      <c r="K6">
        <v>2</v>
      </c>
      <c r="L6" s="7" t="s">
        <v>19</v>
      </c>
      <c r="M6" s="7" t="s">
        <v>20</v>
      </c>
    </row>
    <row r="7" spans="2:13" ht="29">
      <c r="C7" s="7"/>
      <c r="E7" s="7"/>
      <c r="F7" s="7"/>
      <c r="I7">
        <v>7</v>
      </c>
      <c r="J7" s="7" t="s">
        <v>21</v>
      </c>
      <c r="K7">
        <v>2</v>
      </c>
      <c r="L7" s="7" t="s">
        <v>22</v>
      </c>
      <c r="M7" s="7" t="s">
        <v>23</v>
      </c>
    </row>
    <row r="8" spans="2:13" ht="29">
      <c r="C8" s="7"/>
      <c r="E8" s="7"/>
      <c r="F8" s="7"/>
      <c r="I8">
        <v>8</v>
      </c>
      <c r="J8" s="7" t="s">
        <v>24</v>
      </c>
      <c r="K8">
        <v>2</v>
      </c>
      <c r="L8" s="7" t="s">
        <v>25</v>
      </c>
      <c r="M8" s="7" t="s">
        <v>26</v>
      </c>
    </row>
    <row r="9" spans="2:13" ht="29">
      <c r="C9" s="7"/>
      <c r="E9" s="7"/>
      <c r="F9" s="7"/>
      <c r="I9">
        <v>9</v>
      </c>
      <c r="J9" s="7" t="s">
        <v>27</v>
      </c>
      <c r="K9">
        <v>2</v>
      </c>
      <c r="L9" s="7" t="s">
        <v>28</v>
      </c>
      <c r="M9" s="7">
        <v>1</v>
      </c>
    </row>
    <row r="10" spans="2:13">
      <c r="C10" s="7"/>
      <c r="E10" s="7"/>
      <c r="F1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workbookViewId="0">
      <selection activeCell="H9" sqref="H9"/>
    </sheetView>
  </sheetViews>
  <sheetFormatPr defaultRowHeight="14.5"/>
  <cols>
    <col min="2" max="2" width="20.08984375" customWidth="1"/>
    <col min="3" max="3" width="22.7265625" customWidth="1"/>
    <col min="4" max="4" width="26.1796875" customWidth="1"/>
  </cols>
  <sheetData>
    <row r="1" spans="2:4" ht="29">
      <c r="B1" s="65">
        <v>5</v>
      </c>
      <c r="C1" s="65">
        <v>6334</v>
      </c>
      <c r="D1" s="65" t="s">
        <v>40</v>
      </c>
    </row>
    <row r="2" spans="2:4" ht="29">
      <c r="B2" s="65">
        <v>6</v>
      </c>
      <c r="C2" s="65">
        <v>631431</v>
      </c>
      <c r="D2" s="65" t="s">
        <v>41</v>
      </c>
    </row>
    <row r="3" spans="2:4" ht="29">
      <c r="B3" s="65">
        <v>12</v>
      </c>
      <c r="C3" s="65">
        <v>5211</v>
      </c>
      <c r="D3" s="65" t="s">
        <v>56</v>
      </c>
    </row>
    <row r="4" spans="2:4" ht="29">
      <c r="B4" s="65">
        <v>13</v>
      </c>
      <c r="C4" s="65">
        <v>631835</v>
      </c>
      <c r="D4" s="65" t="s">
        <v>104</v>
      </c>
    </row>
    <row r="5" spans="2:4" ht="29">
      <c r="B5" s="65">
        <v>24</v>
      </c>
      <c r="C5" s="65">
        <v>51249</v>
      </c>
      <c r="D5" s="65" t="s">
        <v>131</v>
      </c>
    </row>
    <row r="6" spans="2:4" ht="29">
      <c r="B6" s="65">
        <v>25</v>
      </c>
      <c r="C6" s="65">
        <v>631417</v>
      </c>
      <c r="D6" s="65" t="s">
        <v>108</v>
      </c>
    </row>
    <row r="7" spans="2:4" ht="43.5">
      <c r="B7" s="65">
        <v>29</v>
      </c>
      <c r="C7" s="65">
        <v>514977</v>
      </c>
      <c r="D7" s="65" t="s">
        <v>81</v>
      </c>
    </row>
    <row r="8" spans="2:4" ht="43.5">
      <c r="B8" s="65">
        <v>33</v>
      </c>
      <c r="C8" s="65">
        <v>4136</v>
      </c>
      <c r="D8" s="65" t="s">
        <v>85</v>
      </c>
    </row>
    <row r="9" spans="2:4" ht="43.5">
      <c r="B9" s="65">
        <v>36</v>
      </c>
      <c r="C9" s="65">
        <v>4751</v>
      </c>
      <c r="D9" s="65" t="s">
        <v>96</v>
      </c>
    </row>
    <row r="10" spans="2:4" ht="29">
      <c r="B10" s="65">
        <v>39</v>
      </c>
      <c r="C10" s="65">
        <v>5272</v>
      </c>
      <c r="D10" s="65" t="s">
        <v>59</v>
      </c>
    </row>
    <row r="11" spans="2:4" ht="43.5">
      <c r="B11" s="65">
        <v>41</v>
      </c>
      <c r="C11" s="65">
        <v>4125</v>
      </c>
      <c r="D11" s="65" t="s">
        <v>89</v>
      </c>
    </row>
    <row r="12" spans="2:4">
      <c r="B12" s="7"/>
      <c r="C12" s="7"/>
      <c r="D1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36"/>
  <sheetViews>
    <sheetView workbookViewId="0">
      <selection activeCell="C1" sqref="C1:D1048576"/>
    </sheetView>
  </sheetViews>
  <sheetFormatPr defaultRowHeight="14.5"/>
  <cols>
    <col min="3" max="4" width="8.7265625" style="64"/>
  </cols>
  <sheetData>
    <row r="1" spans="3:4">
      <c r="C1" s="65">
        <v>1</v>
      </c>
      <c r="D1" s="65" t="s">
        <v>132</v>
      </c>
    </row>
    <row r="2" spans="3:4">
      <c r="C2" s="65">
        <v>2</v>
      </c>
      <c r="D2" s="65" t="s">
        <v>133</v>
      </c>
    </row>
    <row r="3" spans="3:4">
      <c r="C3" s="65">
        <v>3</v>
      </c>
      <c r="D3" s="65" t="s">
        <v>134</v>
      </c>
    </row>
    <row r="4" spans="3:4">
      <c r="C4" s="65">
        <v>4</v>
      </c>
      <c r="D4" s="65" t="s">
        <v>135</v>
      </c>
    </row>
    <row r="5" spans="3:4">
      <c r="C5" s="65">
        <v>5</v>
      </c>
      <c r="D5" s="65" t="s">
        <v>136</v>
      </c>
    </row>
    <row r="6" spans="3:4">
      <c r="C6" s="65">
        <v>6</v>
      </c>
      <c r="D6" s="65" t="s">
        <v>137</v>
      </c>
    </row>
    <row r="7" spans="3:4">
      <c r="C7" s="65">
        <v>7</v>
      </c>
      <c r="D7" s="65" t="s">
        <v>138</v>
      </c>
    </row>
    <row r="8" spans="3:4">
      <c r="C8" s="65">
        <v>8</v>
      </c>
      <c r="D8" s="65" t="s">
        <v>139</v>
      </c>
    </row>
    <row r="9" spans="3:4" ht="29">
      <c r="C9" s="65">
        <v>9</v>
      </c>
      <c r="D9" s="65" t="s">
        <v>140</v>
      </c>
    </row>
    <row r="10" spans="3:4" ht="29">
      <c r="C10" s="65">
        <v>10</v>
      </c>
      <c r="D10" s="65" t="s">
        <v>141</v>
      </c>
    </row>
    <row r="11" spans="3:4" ht="29">
      <c r="C11" s="65">
        <v>11</v>
      </c>
      <c r="D11" s="65" t="s">
        <v>0</v>
      </c>
    </row>
    <row r="12" spans="3:4" ht="29">
      <c r="C12" s="65">
        <v>12</v>
      </c>
      <c r="D12" s="65" t="s">
        <v>1</v>
      </c>
    </row>
    <row r="13" spans="3:4" ht="29">
      <c r="C13" s="65">
        <v>13</v>
      </c>
      <c r="D13" s="65" t="s">
        <v>2</v>
      </c>
    </row>
    <row r="14" spans="3:4" ht="29">
      <c r="C14" s="65">
        <v>14</v>
      </c>
      <c r="D14" s="65" t="s">
        <v>3</v>
      </c>
    </row>
    <row r="15" spans="3:4" ht="29">
      <c r="C15" s="65">
        <v>15</v>
      </c>
      <c r="D15" s="65" t="s">
        <v>142</v>
      </c>
    </row>
    <row r="16" spans="3:4" ht="29">
      <c r="C16" s="65">
        <v>16</v>
      </c>
      <c r="D16" s="65" t="s">
        <v>143</v>
      </c>
    </row>
    <row r="17" spans="3:4" ht="29">
      <c r="C17" s="65">
        <v>17</v>
      </c>
      <c r="D17" s="65" t="s">
        <v>144</v>
      </c>
    </row>
    <row r="18" spans="3:4" ht="29">
      <c r="C18" s="65">
        <v>18</v>
      </c>
      <c r="D18" s="65" t="s">
        <v>145</v>
      </c>
    </row>
    <row r="19" spans="3:4">
      <c r="C19" s="65">
        <v>19</v>
      </c>
      <c r="D19" s="65" t="s">
        <v>146</v>
      </c>
    </row>
    <row r="20" spans="3:4">
      <c r="C20" s="65">
        <v>20</v>
      </c>
      <c r="D20" s="65" t="s">
        <v>147</v>
      </c>
    </row>
    <row r="21" spans="3:4">
      <c r="C21" s="65">
        <v>21</v>
      </c>
      <c r="D21" s="65" t="s">
        <v>148</v>
      </c>
    </row>
    <row r="22" spans="3:4">
      <c r="C22" s="65">
        <v>22</v>
      </c>
      <c r="D22" s="65" t="s">
        <v>149</v>
      </c>
    </row>
    <row r="23" spans="3:4" ht="29">
      <c r="C23" s="65">
        <v>23</v>
      </c>
      <c r="D23" s="65" t="s">
        <v>150</v>
      </c>
    </row>
    <row r="24" spans="3:4">
      <c r="C24" s="65">
        <v>24</v>
      </c>
      <c r="D24" s="65" t="s">
        <v>151</v>
      </c>
    </row>
    <row r="25" spans="3:4">
      <c r="C25" s="65">
        <v>25</v>
      </c>
      <c r="D25" s="65" t="s">
        <v>152</v>
      </c>
    </row>
    <row r="26" spans="3:4">
      <c r="C26" s="65">
        <v>26</v>
      </c>
      <c r="D26" s="65" t="s">
        <v>153</v>
      </c>
    </row>
    <row r="27" spans="3:4">
      <c r="C27" s="65">
        <v>27</v>
      </c>
      <c r="D27" s="65" t="s">
        <v>154</v>
      </c>
    </row>
    <row r="28" spans="3:4">
      <c r="C28" s="65">
        <v>28</v>
      </c>
      <c r="D28" s="65" t="s">
        <v>155</v>
      </c>
    </row>
    <row r="29" spans="3:4">
      <c r="C29" s="65">
        <v>29</v>
      </c>
      <c r="D29" s="65" t="s">
        <v>156</v>
      </c>
    </row>
    <row r="30" spans="3:4">
      <c r="C30" s="65">
        <v>30</v>
      </c>
      <c r="D30" s="65" t="s">
        <v>157</v>
      </c>
    </row>
    <row r="31" spans="3:4">
      <c r="C31" s="65">
        <v>31</v>
      </c>
      <c r="D31" s="65" t="s">
        <v>158</v>
      </c>
    </row>
    <row r="32" spans="3:4">
      <c r="C32" s="65">
        <v>32</v>
      </c>
      <c r="D32" s="65" t="s">
        <v>159</v>
      </c>
    </row>
    <row r="33" spans="3:4">
      <c r="C33" s="65">
        <v>33</v>
      </c>
      <c r="D33" s="65" t="s">
        <v>160</v>
      </c>
    </row>
    <row r="34" spans="3:4">
      <c r="C34" s="65">
        <v>34</v>
      </c>
      <c r="D34" s="65" t="s">
        <v>161</v>
      </c>
    </row>
    <row r="35" spans="3:4">
      <c r="C35" s="65">
        <v>35</v>
      </c>
      <c r="D35" s="65" t="s">
        <v>162</v>
      </c>
    </row>
    <row r="36" spans="3:4">
      <c r="C36" s="65">
        <v>36</v>
      </c>
      <c r="D36" s="65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5"/>
  <sheetViews>
    <sheetView workbookViewId="0">
      <selection activeCell="I7" sqref="I7"/>
    </sheetView>
  </sheetViews>
  <sheetFormatPr defaultRowHeight="14.5"/>
  <cols>
    <col min="2" max="2" width="12" customWidth="1"/>
    <col min="3" max="3" width="35.453125" customWidth="1"/>
    <col min="4" max="4" width="26.1796875" customWidth="1"/>
    <col min="5" max="5" width="28.54296875" customWidth="1"/>
  </cols>
  <sheetData>
    <row r="1" spans="2:5" ht="29">
      <c r="B1" s="65">
        <v>5</v>
      </c>
      <c r="C1" s="65" t="s">
        <v>92</v>
      </c>
      <c r="D1" s="65" t="s">
        <v>186</v>
      </c>
      <c r="E1" s="65" t="s">
        <v>187</v>
      </c>
    </row>
    <row r="2" spans="2:5" ht="29">
      <c r="B2" s="65">
        <v>475</v>
      </c>
      <c r="C2" s="65" t="s">
        <v>92</v>
      </c>
      <c r="D2" s="65" t="s">
        <v>186</v>
      </c>
      <c r="E2" s="65" t="s">
        <v>187</v>
      </c>
    </row>
    <row r="3" spans="2:5" ht="29">
      <c r="B3" s="65">
        <v>524</v>
      </c>
      <c r="C3" s="65" t="s">
        <v>2</v>
      </c>
      <c r="D3" s="65" t="s">
        <v>188</v>
      </c>
      <c r="E3" s="65" t="s">
        <v>189</v>
      </c>
    </row>
    <row r="4" spans="2:5" ht="29">
      <c r="B4" s="65">
        <v>4125</v>
      </c>
      <c r="C4" s="65" t="s">
        <v>89</v>
      </c>
      <c r="D4" s="65" t="s">
        <v>186</v>
      </c>
      <c r="E4" s="65" t="s">
        <v>187</v>
      </c>
    </row>
    <row r="5" spans="2:5" ht="29">
      <c r="B5" s="65">
        <v>4126</v>
      </c>
      <c r="C5" s="65" t="s">
        <v>88</v>
      </c>
      <c r="D5" s="65" t="s">
        <v>186</v>
      </c>
      <c r="E5" s="65" t="s">
        <v>187</v>
      </c>
    </row>
    <row r="6" spans="2:5" ht="29">
      <c r="B6" s="65">
        <v>4127</v>
      </c>
      <c r="C6" s="65" t="s">
        <v>84</v>
      </c>
      <c r="D6" s="65" t="s">
        <v>186</v>
      </c>
      <c r="E6" s="65" t="s">
        <v>187</v>
      </c>
    </row>
    <row r="7" spans="2:5" ht="29">
      <c r="B7" s="65">
        <v>4136</v>
      </c>
      <c r="C7" s="65" t="s">
        <v>85</v>
      </c>
      <c r="D7" s="65" t="s">
        <v>186</v>
      </c>
      <c r="E7" s="65" t="s">
        <v>187</v>
      </c>
    </row>
    <row r="8" spans="2:5" ht="29">
      <c r="B8" s="65">
        <v>4749</v>
      </c>
      <c r="C8" s="65" t="s">
        <v>91</v>
      </c>
      <c r="D8" s="65" t="s">
        <v>186</v>
      </c>
      <c r="E8" s="65" t="s">
        <v>187</v>
      </c>
    </row>
    <row r="9" spans="2:5" ht="29">
      <c r="B9" s="65">
        <v>4751</v>
      </c>
      <c r="C9" s="65" t="s">
        <v>96</v>
      </c>
      <c r="D9" s="65" t="s">
        <v>186</v>
      </c>
      <c r="E9" s="65" t="s">
        <v>187</v>
      </c>
    </row>
    <row r="10" spans="2:5" ht="29">
      <c r="B10" s="65">
        <v>4785</v>
      </c>
      <c r="C10" s="65" t="s">
        <v>97</v>
      </c>
      <c r="D10" s="65" t="s">
        <v>186</v>
      </c>
      <c r="E10" s="65" t="s">
        <v>187</v>
      </c>
    </row>
    <row r="11" spans="2:5" ht="29">
      <c r="B11" s="65">
        <v>4818</v>
      </c>
      <c r="C11" s="65" t="s">
        <v>98</v>
      </c>
      <c r="D11" s="65" t="s">
        <v>186</v>
      </c>
      <c r="E11" s="65" t="s">
        <v>187</v>
      </c>
    </row>
    <row r="12" spans="2:5" ht="29">
      <c r="B12" s="65">
        <v>4864</v>
      </c>
      <c r="C12" s="65" t="s">
        <v>87</v>
      </c>
      <c r="D12" s="65" t="s">
        <v>186</v>
      </c>
      <c r="E12" s="65" t="s">
        <v>187</v>
      </c>
    </row>
    <row r="13" spans="2:5" ht="29">
      <c r="B13" s="65">
        <v>4872</v>
      </c>
      <c r="C13" s="65" t="s">
        <v>86</v>
      </c>
      <c r="D13" s="65" t="s">
        <v>186</v>
      </c>
      <c r="E13" s="65" t="s">
        <v>187</v>
      </c>
    </row>
    <row r="14" spans="2:5" ht="29">
      <c r="B14" s="65">
        <v>4882</v>
      </c>
      <c r="C14" s="65" t="s">
        <v>93</v>
      </c>
      <c r="D14" s="65" t="s">
        <v>186</v>
      </c>
      <c r="E14" s="65" t="s">
        <v>187</v>
      </c>
    </row>
    <row r="15" spans="2:5" ht="29">
      <c r="B15" s="65">
        <v>4883</v>
      </c>
      <c r="C15" s="65" t="s">
        <v>94</v>
      </c>
      <c r="D15" s="65" t="s">
        <v>186</v>
      </c>
      <c r="E15" s="65" t="s">
        <v>187</v>
      </c>
    </row>
    <row r="16" spans="2:5" ht="29">
      <c r="B16" s="65">
        <v>4884</v>
      </c>
      <c r="C16" s="65" t="s">
        <v>95</v>
      </c>
      <c r="D16" s="65" t="s">
        <v>186</v>
      </c>
      <c r="E16" s="65" t="s">
        <v>187</v>
      </c>
    </row>
    <row r="17" spans="2:5" ht="43.5">
      <c r="B17" s="65">
        <v>5128</v>
      </c>
      <c r="C17" s="65" t="s">
        <v>74</v>
      </c>
      <c r="D17" s="65" t="s">
        <v>190</v>
      </c>
      <c r="E17" s="65" t="s">
        <v>191</v>
      </c>
    </row>
    <row r="18" spans="2:5" ht="43.5">
      <c r="B18" s="65">
        <v>5211</v>
      </c>
      <c r="C18" s="65" t="s">
        <v>56</v>
      </c>
      <c r="D18" s="65" t="s">
        <v>192</v>
      </c>
      <c r="E18" s="65" t="s">
        <v>193</v>
      </c>
    </row>
    <row r="19" spans="2:5" ht="43.5">
      <c r="B19" s="65">
        <v>5234</v>
      </c>
      <c r="C19" s="65" t="s">
        <v>58</v>
      </c>
      <c r="D19" s="65" t="s">
        <v>192</v>
      </c>
      <c r="E19" s="65" t="s">
        <v>193</v>
      </c>
    </row>
    <row r="20" spans="2:5" ht="29">
      <c r="B20" s="65">
        <v>5254</v>
      </c>
      <c r="C20" s="65" t="s">
        <v>55</v>
      </c>
      <c r="D20" s="65" t="s">
        <v>194</v>
      </c>
      <c r="E20" s="65" t="s">
        <v>189</v>
      </c>
    </row>
    <row r="21" spans="2:5" ht="43.5">
      <c r="B21" s="65">
        <v>5272</v>
      </c>
      <c r="C21" s="65" t="s">
        <v>59</v>
      </c>
      <c r="D21" s="65" t="s">
        <v>192</v>
      </c>
      <c r="E21" s="65" t="s">
        <v>193</v>
      </c>
    </row>
    <row r="22" spans="2:5" ht="29">
      <c r="B22" s="65">
        <v>5281</v>
      </c>
      <c r="C22" s="65" t="s">
        <v>53</v>
      </c>
      <c r="D22" s="65" t="s">
        <v>194</v>
      </c>
      <c r="E22" s="65" t="s">
        <v>189</v>
      </c>
    </row>
    <row r="23" spans="2:5" ht="43.5">
      <c r="B23" s="65">
        <v>5291</v>
      </c>
      <c r="C23" s="65" t="s">
        <v>62</v>
      </c>
      <c r="D23" s="65" t="s">
        <v>192</v>
      </c>
      <c r="E23" s="65" t="s">
        <v>193</v>
      </c>
    </row>
    <row r="24" spans="2:5" ht="29">
      <c r="B24" s="65">
        <v>6324</v>
      </c>
      <c r="C24" s="65" t="s">
        <v>102</v>
      </c>
      <c r="D24" s="65" t="s">
        <v>195</v>
      </c>
      <c r="E24" s="65" t="s">
        <v>196</v>
      </c>
    </row>
    <row r="25" spans="2:5">
      <c r="B25" s="65">
        <v>6334</v>
      </c>
      <c r="C25" s="65" t="s">
        <v>40</v>
      </c>
      <c r="D25" s="65" t="s">
        <v>197</v>
      </c>
      <c r="E25" s="65" t="s">
        <v>198</v>
      </c>
    </row>
    <row r="26" spans="2:5" ht="29">
      <c r="B26" s="65">
        <v>41147</v>
      </c>
      <c r="C26" s="65" t="s">
        <v>90</v>
      </c>
      <c r="D26" s="65" t="s">
        <v>186</v>
      </c>
      <c r="E26" s="65" t="s">
        <v>187</v>
      </c>
    </row>
    <row r="27" spans="2:5" ht="29">
      <c r="B27" s="65">
        <v>51249</v>
      </c>
      <c r="C27" s="65" t="s">
        <v>131</v>
      </c>
      <c r="D27" s="65" t="s">
        <v>198</v>
      </c>
      <c r="E27" s="65" t="s">
        <v>199</v>
      </c>
    </row>
    <row r="28" spans="2:5" ht="29">
      <c r="B28" s="65">
        <v>51258</v>
      </c>
      <c r="C28" s="65" t="s">
        <v>183</v>
      </c>
      <c r="D28" s="65" t="s">
        <v>198</v>
      </c>
      <c r="E28" s="65" t="s">
        <v>199</v>
      </c>
    </row>
    <row r="29" spans="2:5" ht="43.5">
      <c r="B29" s="65">
        <v>51359</v>
      </c>
      <c r="C29" s="65" t="s">
        <v>73</v>
      </c>
      <c r="D29" s="65" t="s">
        <v>190</v>
      </c>
      <c r="E29" s="65" t="s">
        <v>191</v>
      </c>
    </row>
    <row r="30" spans="2:5" ht="29">
      <c r="B30" s="65">
        <v>51366</v>
      </c>
      <c r="C30" s="65" t="s">
        <v>184</v>
      </c>
      <c r="D30" s="65" t="s">
        <v>198</v>
      </c>
      <c r="E30" s="65" t="s">
        <v>199</v>
      </c>
    </row>
    <row r="31" spans="2:5" ht="43.5">
      <c r="B31" s="65">
        <v>51582</v>
      </c>
      <c r="C31" s="65" t="s">
        <v>75</v>
      </c>
      <c r="D31" s="65" t="s">
        <v>190</v>
      </c>
      <c r="E31" s="65" t="s">
        <v>191</v>
      </c>
    </row>
    <row r="32" spans="2:5" ht="29">
      <c r="B32" s="65">
        <v>51677</v>
      </c>
      <c r="C32" s="65" t="s">
        <v>113</v>
      </c>
      <c r="D32" s="65" t="s">
        <v>198</v>
      </c>
      <c r="E32" s="65" t="s">
        <v>199</v>
      </c>
    </row>
    <row r="33" spans="2:5" ht="29">
      <c r="B33" s="65">
        <v>51678</v>
      </c>
      <c r="C33" s="65" t="s">
        <v>115</v>
      </c>
      <c r="D33" s="65" t="s">
        <v>198</v>
      </c>
      <c r="E33" s="65" t="s">
        <v>199</v>
      </c>
    </row>
    <row r="34" spans="2:5" ht="29">
      <c r="B34" s="65">
        <v>51838</v>
      </c>
      <c r="C34" s="65" t="s">
        <v>78</v>
      </c>
      <c r="D34" s="65" t="s">
        <v>200</v>
      </c>
      <c r="E34" s="65" t="s">
        <v>191</v>
      </c>
    </row>
    <row r="35" spans="2:5" ht="29">
      <c r="B35" s="65">
        <v>52154</v>
      </c>
      <c r="C35" s="65" t="s">
        <v>51</v>
      </c>
      <c r="D35" s="65" t="s">
        <v>201</v>
      </c>
      <c r="E35" s="65" t="s">
        <v>189</v>
      </c>
    </row>
    <row r="36" spans="2:5" ht="29">
      <c r="B36" s="65">
        <v>52178</v>
      </c>
      <c r="C36" s="65" t="s">
        <v>0</v>
      </c>
      <c r="D36" s="65" t="s">
        <v>188</v>
      </c>
      <c r="E36" s="65" t="s">
        <v>189</v>
      </c>
    </row>
    <row r="37" spans="2:5" ht="29">
      <c r="B37" s="65">
        <v>52218</v>
      </c>
      <c r="C37" s="65" t="s">
        <v>52</v>
      </c>
      <c r="D37" s="65" t="s">
        <v>194</v>
      </c>
      <c r="E37" s="65" t="s">
        <v>189</v>
      </c>
    </row>
    <row r="38" spans="2:5" ht="43.5">
      <c r="B38" s="65">
        <v>52432</v>
      </c>
      <c r="C38" s="65" t="s">
        <v>61</v>
      </c>
      <c r="D38" s="65" t="s">
        <v>192</v>
      </c>
      <c r="E38" s="65" t="s">
        <v>193</v>
      </c>
    </row>
    <row r="39" spans="2:5" ht="29">
      <c r="B39" s="65">
        <v>52435</v>
      </c>
      <c r="C39" s="65" t="s">
        <v>50</v>
      </c>
      <c r="D39" s="65" t="s">
        <v>202</v>
      </c>
      <c r="E39" s="65" t="s">
        <v>189</v>
      </c>
    </row>
    <row r="40" spans="2:5" ht="43.5">
      <c r="B40" s="65">
        <v>52456</v>
      </c>
      <c r="C40" s="65" t="s">
        <v>64</v>
      </c>
      <c r="D40" s="65" t="s">
        <v>192</v>
      </c>
      <c r="E40" s="65" t="s">
        <v>193</v>
      </c>
    </row>
    <row r="41" spans="2:5" ht="43.5">
      <c r="B41" s="65">
        <v>52482</v>
      </c>
      <c r="C41" s="65" t="s">
        <v>67</v>
      </c>
      <c r="D41" s="65" t="s">
        <v>192</v>
      </c>
      <c r="E41" s="65" t="s">
        <v>193</v>
      </c>
    </row>
    <row r="42" spans="2:5" ht="29">
      <c r="B42" s="65">
        <v>52488</v>
      </c>
      <c r="C42" s="65" t="s">
        <v>3</v>
      </c>
      <c r="D42" s="65" t="s">
        <v>188</v>
      </c>
      <c r="E42" s="65" t="s">
        <v>189</v>
      </c>
    </row>
    <row r="43" spans="2:5" ht="29">
      <c r="B43" s="65">
        <v>52519</v>
      </c>
      <c r="C43" s="65" t="s">
        <v>49</v>
      </c>
      <c r="D43" s="65" t="s">
        <v>202</v>
      </c>
      <c r="E43" s="65" t="s">
        <v>189</v>
      </c>
    </row>
    <row r="44" spans="2:5" ht="43.5">
      <c r="B44" s="65">
        <v>52579</v>
      </c>
      <c r="C44" s="65" t="s">
        <v>63</v>
      </c>
      <c r="D44" s="65" t="s">
        <v>192</v>
      </c>
      <c r="E44" s="65" t="s">
        <v>193</v>
      </c>
    </row>
    <row r="45" spans="2:5" ht="29">
      <c r="B45" s="65">
        <v>52637</v>
      </c>
      <c r="C45" s="65" t="s">
        <v>1</v>
      </c>
      <c r="D45" s="65" t="s">
        <v>188</v>
      </c>
      <c r="E45" s="65" t="s">
        <v>189</v>
      </c>
    </row>
    <row r="46" spans="2:5" ht="29">
      <c r="B46" s="65">
        <v>52676</v>
      </c>
      <c r="C46" s="65" t="s">
        <v>54</v>
      </c>
      <c r="D46" s="65" t="s">
        <v>194</v>
      </c>
      <c r="E46" s="65" t="s">
        <v>189</v>
      </c>
    </row>
    <row r="47" spans="2:5" ht="43.5">
      <c r="B47" s="65">
        <v>52757</v>
      </c>
      <c r="C47" s="65" t="s">
        <v>57</v>
      </c>
      <c r="D47" s="65" t="s">
        <v>192</v>
      </c>
      <c r="E47" s="65" t="s">
        <v>193</v>
      </c>
    </row>
    <row r="48" spans="2:5" ht="43.5">
      <c r="B48" s="65">
        <v>52759</v>
      </c>
      <c r="C48" s="65" t="s">
        <v>65</v>
      </c>
      <c r="D48" s="65" t="s">
        <v>192</v>
      </c>
      <c r="E48" s="65" t="s">
        <v>193</v>
      </c>
    </row>
    <row r="49" spans="2:5" ht="43.5">
      <c r="B49" s="65">
        <v>52761</v>
      </c>
      <c r="C49" s="65" t="s">
        <v>60</v>
      </c>
      <c r="D49" s="65" t="s">
        <v>192</v>
      </c>
      <c r="E49" s="65" t="s">
        <v>193</v>
      </c>
    </row>
    <row r="50" spans="2:5" ht="43.5">
      <c r="B50" s="65">
        <v>52762</v>
      </c>
      <c r="C50" s="65" t="s">
        <v>68</v>
      </c>
      <c r="D50" s="65" t="s">
        <v>192</v>
      </c>
      <c r="E50" s="65" t="s">
        <v>193</v>
      </c>
    </row>
    <row r="51" spans="2:5" ht="43.5">
      <c r="B51" s="65">
        <v>52764</v>
      </c>
      <c r="C51" s="65" t="s">
        <v>66</v>
      </c>
      <c r="D51" s="65" t="s">
        <v>192</v>
      </c>
      <c r="E51" s="65" t="s">
        <v>193</v>
      </c>
    </row>
    <row r="52" spans="2:5" ht="29">
      <c r="B52" s="65">
        <v>63151</v>
      </c>
      <c r="C52" s="65" t="s">
        <v>100</v>
      </c>
      <c r="D52" s="65" t="s">
        <v>195</v>
      </c>
      <c r="E52" s="65" t="s">
        <v>196</v>
      </c>
    </row>
    <row r="53" spans="2:5" ht="29">
      <c r="B53" s="65">
        <v>63184</v>
      </c>
      <c r="C53" s="65" t="s">
        <v>99</v>
      </c>
      <c r="D53" s="65" t="s">
        <v>195</v>
      </c>
      <c r="E53" s="65" t="s">
        <v>196</v>
      </c>
    </row>
    <row r="54" spans="2:5" ht="29">
      <c r="B54" s="65">
        <v>63194</v>
      </c>
      <c r="C54" s="65" t="s">
        <v>103</v>
      </c>
      <c r="D54" s="65" t="s">
        <v>195</v>
      </c>
      <c r="E54" s="65" t="s">
        <v>196</v>
      </c>
    </row>
    <row r="55" spans="2:5" ht="29">
      <c r="B55" s="65">
        <v>63227</v>
      </c>
      <c r="C55" s="65" t="s">
        <v>111</v>
      </c>
      <c r="D55" s="65" t="s">
        <v>203</v>
      </c>
      <c r="E55" s="65" t="s">
        <v>196</v>
      </c>
    </row>
    <row r="56" spans="2:5">
      <c r="B56" s="65">
        <v>63563</v>
      </c>
      <c r="C56" s="65" t="s">
        <v>42</v>
      </c>
      <c r="D56" s="65" t="s">
        <v>197</v>
      </c>
      <c r="E56" s="65" t="s">
        <v>198</v>
      </c>
    </row>
    <row r="57" spans="2:5">
      <c r="B57" s="65">
        <v>63579</v>
      </c>
      <c r="C57" s="65" t="s">
        <v>44</v>
      </c>
      <c r="D57" s="65" t="s">
        <v>197</v>
      </c>
      <c r="E57" s="65" t="s">
        <v>198</v>
      </c>
    </row>
    <row r="58" spans="2:5">
      <c r="B58" s="65">
        <v>63615</v>
      </c>
      <c r="C58" s="65" t="s">
        <v>43</v>
      </c>
      <c r="D58" s="65" t="s">
        <v>197</v>
      </c>
      <c r="E58" s="65" t="s">
        <v>198</v>
      </c>
    </row>
    <row r="59" spans="2:5">
      <c r="B59" s="65">
        <v>63635</v>
      </c>
      <c r="C59" s="65" t="s">
        <v>34</v>
      </c>
      <c r="D59" s="65" t="s">
        <v>197</v>
      </c>
      <c r="E59" s="65" t="s">
        <v>198</v>
      </c>
    </row>
    <row r="60" spans="2:5">
      <c r="B60" s="65">
        <v>63673</v>
      </c>
      <c r="C60" s="65" t="s">
        <v>33</v>
      </c>
      <c r="D60" s="65" t="s">
        <v>197</v>
      </c>
      <c r="E60" s="65" t="s">
        <v>198</v>
      </c>
    </row>
    <row r="61" spans="2:5">
      <c r="B61" s="65">
        <v>63768</v>
      </c>
      <c r="C61" s="65" t="s">
        <v>37</v>
      </c>
      <c r="D61" s="65" t="s">
        <v>197</v>
      </c>
      <c r="E61" s="65" t="s">
        <v>198</v>
      </c>
    </row>
    <row r="62" spans="2:5" ht="29">
      <c r="B62" s="65">
        <v>63798</v>
      </c>
      <c r="C62" s="65" t="s">
        <v>48</v>
      </c>
      <c r="D62" s="65" t="s">
        <v>204</v>
      </c>
      <c r="E62" s="65" t="s">
        <v>198</v>
      </c>
    </row>
    <row r="63" spans="2:5" ht="29">
      <c r="B63" s="65">
        <v>63839</v>
      </c>
      <c r="C63" s="65" t="s">
        <v>109</v>
      </c>
      <c r="D63" s="65" t="s">
        <v>203</v>
      </c>
      <c r="E63" s="65" t="s">
        <v>196</v>
      </c>
    </row>
    <row r="64" spans="2:5" ht="29">
      <c r="B64" s="65">
        <v>63945</v>
      </c>
      <c r="C64" s="65" t="s">
        <v>47</v>
      </c>
      <c r="D64" s="65" t="s">
        <v>204</v>
      </c>
      <c r="E64" s="65" t="s">
        <v>198</v>
      </c>
    </row>
    <row r="65" spans="2:5" ht="29">
      <c r="B65" s="65">
        <v>511489</v>
      </c>
      <c r="C65" s="65" t="s">
        <v>205</v>
      </c>
      <c r="D65" s="65" t="s">
        <v>198</v>
      </c>
      <c r="E65" s="65" t="s">
        <v>199</v>
      </c>
    </row>
    <row r="66" spans="2:5" ht="29">
      <c r="B66" s="65">
        <v>511616</v>
      </c>
      <c r="C66" s="65" t="s">
        <v>178</v>
      </c>
      <c r="D66" s="65" t="s">
        <v>198</v>
      </c>
      <c r="E66" s="65" t="s">
        <v>199</v>
      </c>
    </row>
    <row r="67" spans="2:5" ht="29">
      <c r="B67" s="65">
        <v>512387</v>
      </c>
      <c r="C67" s="65" t="s">
        <v>180</v>
      </c>
      <c r="D67" s="65" t="s">
        <v>198</v>
      </c>
      <c r="E67" s="65" t="s">
        <v>199</v>
      </c>
    </row>
    <row r="68" spans="2:5" ht="29">
      <c r="B68" s="65">
        <v>512388</v>
      </c>
      <c r="C68" s="65" t="s">
        <v>181</v>
      </c>
      <c r="D68" s="65" t="s">
        <v>198</v>
      </c>
      <c r="E68" s="65" t="s">
        <v>199</v>
      </c>
    </row>
    <row r="69" spans="2:5" ht="29">
      <c r="B69" s="65">
        <v>512393</v>
      </c>
      <c r="C69" s="65" t="s">
        <v>179</v>
      </c>
      <c r="D69" s="65" t="s">
        <v>198</v>
      </c>
      <c r="E69" s="65" t="s">
        <v>199</v>
      </c>
    </row>
    <row r="70" spans="2:5" ht="29">
      <c r="B70" s="65">
        <v>512414</v>
      </c>
      <c r="C70" s="65" t="s">
        <v>182</v>
      </c>
      <c r="D70" s="65" t="s">
        <v>198</v>
      </c>
      <c r="E70" s="65" t="s">
        <v>199</v>
      </c>
    </row>
    <row r="71" spans="2:5" ht="29">
      <c r="B71" s="65">
        <v>512731</v>
      </c>
      <c r="C71" s="65" t="s">
        <v>206</v>
      </c>
      <c r="D71" s="65" t="s">
        <v>198</v>
      </c>
      <c r="E71" s="65" t="s">
        <v>199</v>
      </c>
    </row>
    <row r="72" spans="2:5" ht="29">
      <c r="B72" s="65">
        <v>512768</v>
      </c>
      <c r="C72" s="65" t="s">
        <v>76</v>
      </c>
      <c r="D72" s="65" t="s">
        <v>200</v>
      </c>
      <c r="E72" s="65" t="s">
        <v>191</v>
      </c>
    </row>
    <row r="73" spans="2:5" ht="29">
      <c r="B73" s="65">
        <v>514338</v>
      </c>
      <c r="C73" s="65" t="s">
        <v>112</v>
      </c>
      <c r="D73" s="65" t="s">
        <v>198</v>
      </c>
      <c r="E73" s="65" t="s">
        <v>199</v>
      </c>
    </row>
    <row r="74" spans="2:5" ht="29">
      <c r="B74" s="65">
        <v>514977</v>
      </c>
      <c r="C74" s="65" t="s">
        <v>81</v>
      </c>
      <c r="D74" s="65" t="s">
        <v>200</v>
      </c>
      <c r="E74" s="65" t="s">
        <v>191</v>
      </c>
    </row>
    <row r="75" spans="2:5" ht="29">
      <c r="B75" s="65">
        <v>514978</v>
      </c>
      <c r="C75" s="65" t="s">
        <v>82</v>
      </c>
      <c r="D75" s="65" t="s">
        <v>200</v>
      </c>
      <c r="E75" s="65" t="s">
        <v>191</v>
      </c>
    </row>
    <row r="76" spans="2:5" ht="29">
      <c r="B76" s="65">
        <v>514979</v>
      </c>
      <c r="C76" s="65" t="s">
        <v>83</v>
      </c>
      <c r="D76" s="65" t="s">
        <v>200</v>
      </c>
      <c r="E76" s="65" t="s">
        <v>191</v>
      </c>
    </row>
    <row r="77" spans="2:5" ht="29">
      <c r="B77" s="65">
        <v>516118</v>
      </c>
      <c r="C77" s="65" t="s">
        <v>114</v>
      </c>
      <c r="D77" s="65" t="s">
        <v>198</v>
      </c>
      <c r="E77" s="65" t="s">
        <v>199</v>
      </c>
    </row>
    <row r="78" spans="2:5" ht="29">
      <c r="B78" s="65">
        <v>516614</v>
      </c>
      <c r="C78" s="65" t="s">
        <v>126</v>
      </c>
      <c r="D78" s="65" t="s">
        <v>198</v>
      </c>
      <c r="E78" s="65" t="s">
        <v>199</v>
      </c>
    </row>
    <row r="79" spans="2:5" ht="29">
      <c r="B79" s="65">
        <v>516615</v>
      </c>
      <c r="C79" s="65" t="s">
        <v>127</v>
      </c>
      <c r="D79" s="65" t="s">
        <v>198</v>
      </c>
      <c r="E79" s="65" t="s">
        <v>199</v>
      </c>
    </row>
    <row r="80" spans="2:5" ht="29">
      <c r="B80" s="65">
        <v>516616</v>
      </c>
      <c r="C80" s="65" t="s">
        <v>128</v>
      </c>
      <c r="D80" s="65" t="s">
        <v>198</v>
      </c>
      <c r="E80" s="65" t="s">
        <v>199</v>
      </c>
    </row>
    <row r="81" spans="2:5" ht="43.5">
      <c r="B81" s="65">
        <v>516699</v>
      </c>
      <c r="C81" s="65" t="s">
        <v>71</v>
      </c>
      <c r="D81" s="65" t="s">
        <v>190</v>
      </c>
      <c r="E81" s="65" t="s">
        <v>191</v>
      </c>
    </row>
    <row r="82" spans="2:5" ht="43.5">
      <c r="B82" s="65">
        <v>516832</v>
      </c>
      <c r="C82" s="65" t="s">
        <v>69</v>
      </c>
      <c r="D82" s="65" t="s">
        <v>190</v>
      </c>
      <c r="E82" s="65" t="s">
        <v>191</v>
      </c>
    </row>
    <row r="83" spans="2:5" ht="43.5">
      <c r="B83" s="65">
        <v>516833</v>
      </c>
      <c r="C83" s="65" t="s">
        <v>70</v>
      </c>
      <c r="D83" s="65" t="s">
        <v>190</v>
      </c>
      <c r="E83" s="65" t="s">
        <v>191</v>
      </c>
    </row>
    <row r="84" spans="2:5" ht="43.5">
      <c r="B84" s="65">
        <v>516835</v>
      </c>
      <c r="C84" s="65" t="s">
        <v>72</v>
      </c>
      <c r="D84" s="65" t="s">
        <v>190</v>
      </c>
      <c r="E84" s="65" t="s">
        <v>191</v>
      </c>
    </row>
    <row r="85" spans="2:5" ht="29">
      <c r="B85" s="65">
        <v>516974</v>
      </c>
      <c r="C85" s="65" t="s">
        <v>116</v>
      </c>
      <c r="D85" s="65" t="s">
        <v>198</v>
      </c>
      <c r="E85" s="65" t="s">
        <v>199</v>
      </c>
    </row>
    <row r="86" spans="2:5" ht="29">
      <c r="B86" s="65">
        <v>517628</v>
      </c>
      <c r="C86" s="65" t="s">
        <v>130</v>
      </c>
      <c r="D86" s="65" t="s">
        <v>198</v>
      </c>
      <c r="E86" s="65" t="s">
        <v>199</v>
      </c>
    </row>
    <row r="87" spans="2:5" ht="29">
      <c r="B87" s="65">
        <v>517821</v>
      </c>
      <c r="C87" s="65" t="s">
        <v>77</v>
      </c>
      <c r="D87" s="65" t="s">
        <v>200</v>
      </c>
      <c r="E87" s="65" t="s">
        <v>191</v>
      </c>
    </row>
    <row r="88" spans="2:5" ht="29">
      <c r="B88" s="65">
        <v>517876</v>
      </c>
      <c r="C88" s="65" t="s">
        <v>80</v>
      </c>
      <c r="D88" s="65" t="s">
        <v>200</v>
      </c>
      <c r="E88" s="65" t="s">
        <v>191</v>
      </c>
    </row>
    <row r="89" spans="2:5" ht="29">
      <c r="B89" s="65">
        <v>518381</v>
      </c>
      <c r="C89" s="65" t="s">
        <v>79</v>
      </c>
      <c r="D89" s="65" t="s">
        <v>200</v>
      </c>
      <c r="E89" s="65" t="s">
        <v>191</v>
      </c>
    </row>
    <row r="90" spans="2:5" ht="29">
      <c r="B90" s="65">
        <v>518827</v>
      </c>
      <c r="C90" s="65" t="s">
        <v>125</v>
      </c>
      <c r="D90" s="65" t="s">
        <v>198</v>
      </c>
      <c r="E90" s="65" t="s">
        <v>199</v>
      </c>
    </row>
    <row r="91" spans="2:5" ht="29">
      <c r="B91" s="65">
        <v>631185</v>
      </c>
      <c r="C91" s="65" t="s">
        <v>105</v>
      </c>
      <c r="D91" s="65" t="s">
        <v>203</v>
      </c>
      <c r="E91" s="65" t="s">
        <v>196</v>
      </c>
    </row>
    <row r="92" spans="2:5" ht="29">
      <c r="B92" s="65">
        <v>631186</v>
      </c>
      <c r="C92" s="65" t="s">
        <v>107</v>
      </c>
      <c r="D92" s="65" t="s">
        <v>203</v>
      </c>
      <c r="E92" s="65" t="s">
        <v>196</v>
      </c>
    </row>
    <row r="93" spans="2:5" ht="29">
      <c r="B93" s="65">
        <v>631198</v>
      </c>
      <c r="C93" s="65" t="s">
        <v>106</v>
      </c>
      <c r="D93" s="65" t="s">
        <v>203</v>
      </c>
      <c r="E93" s="65" t="s">
        <v>196</v>
      </c>
    </row>
    <row r="94" spans="2:5">
      <c r="B94" s="65">
        <v>631242</v>
      </c>
      <c r="C94" s="65" t="s">
        <v>36</v>
      </c>
      <c r="D94" s="65" t="s">
        <v>197</v>
      </c>
      <c r="E94" s="65" t="s">
        <v>198</v>
      </c>
    </row>
    <row r="95" spans="2:5">
      <c r="B95" s="65">
        <v>631342</v>
      </c>
      <c r="C95" s="65" t="s">
        <v>32</v>
      </c>
      <c r="D95" s="65" t="s">
        <v>197</v>
      </c>
      <c r="E95" s="65" t="s">
        <v>198</v>
      </c>
    </row>
    <row r="96" spans="2:5">
      <c r="B96" s="65">
        <v>631364</v>
      </c>
      <c r="C96" s="65" t="s">
        <v>35</v>
      </c>
      <c r="D96" s="65" t="s">
        <v>197</v>
      </c>
      <c r="E96" s="65" t="s">
        <v>198</v>
      </c>
    </row>
    <row r="97" spans="2:5" ht="29">
      <c r="B97" s="65">
        <v>631417</v>
      </c>
      <c r="C97" s="65" t="s">
        <v>108</v>
      </c>
      <c r="D97" s="65" t="s">
        <v>203</v>
      </c>
      <c r="E97" s="65" t="s">
        <v>196</v>
      </c>
    </row>
    <row r="98" spans="2:5">
      <c r="B98" s="65">
        <v>631431</v>
      </c>
      <c r="C98" s="65" t="s">
        <v>41</v>
      </c>
      <c r="D98" s="65" t="s">
        <v>197</v>
      </c>
      <c r="E98" s="65" t="s">
        <v>198</v>
      </c>
    </row>
    <row r="99" spans="2:5">
      <c r="B99" s="65">
        <v>631433</v>
      </c>
      <c r="C99" s="65" t="s">
        <v>39</v>
      </c>
      <c r="D99" s="65" t="s">
        <v>197</v>
      </c>
      <c r="E99" s="65" t="s">
        <v>198</v>
      </c>
    </row>
    <row r="100" spans="2:5">
      <c r="B100" s="65">
        <v>631832</v>
      </c>
      <c r="C100" s="65" t="s">
        <v>38</v>
      </c>
      <c r="D100" s="65" t="s">
        <v>197</v>
      </c>
      <c r="E100" s="65" t="s">
        <v>198</v>
      </c>
    </row>
    <row r="101" spans="2:5" ht="29">
      <c r="B101" s="65">
        <v>631835</v>
      </c>
      <c r="C101" s="65" t="s">
        <v>104</v>
      </c>
      <c r="D101" s="65" t="s">
        <v>195</v>
      </c>
      <c r="E101" s="65" t="s">
        <v>196</v>
      </c>
    </row>
    <row r="102" spans="2:5">
      <c r="B102" s="65">
        <v>632542</v>
      </c>
      <c r="C102" s="65" t="s">
        <v>45</v>
      </c>
      <c r="D102" s="65" t="s">
        <v>207</v>
      </c>
      <c r="E102" s="65" t="s">
        <v>198</v>
      </c>
    </row>
    <row r="103" spans="2:5" ht="29">
      <c r="B103" s="65">
        <v>634345</v>
      </c>
      <c r="C103" s="65" t="s">
        <v>110</v>
      </c>
      <c r="D103" s="65" t="s">
        <v>203</v>
      </c>
      <c r="E103" s="65" t="s">
        <v>196</v>
      </c>
    </row>
    <row r="104" spans="2:5" ht="29">
      <c r="B104" s="65">
        <v>634892</v>
      </c>
      <c r="C104" s="65" t="s">
        <v>46</v>
      </c>
      <c r="D104" s="65" t="s">
        <v>204</v>
      </c>
      <c r="E104" s="65" t="s">
        <v>198</v>
      </c>
    </row>
    <row r="105" spans="2:5" ht="29">
      <c r="B105" s="65">
        <v>639613</v>
      </c>
      <c r="C105" s="65" t="s">
        <v>101</v>
      </c>
      <c r="D105" s="65" t="s">
        <v>195</v>
      </c>
      <c r="E105" s="65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впр материалы</vt:lpstr>
      <vt:lpstr>Client</vt:lpstr>
      <vt:lpstr>Order</vt:lpstr>
      <vt:lpstr>Process</vt:lpstr>
      <vt:lpstr>emplyee</vt:lpstr>
      <vt:lpstr>finishprod</vt:lpstr>
      <vt:lpstr>material</vt:lpstr>
      <vt:lpstr>nomenclature</vt:lpstr>
      <vt:lpstr>priceList</vt:lpstr>
      <vt:lpstr>Role</vt:lpstr>
      <vt:lpstr>Shop</vt:lpstr>
      <vt:lpstr>Status</vt:lpstr>
      <vt:lpstr>User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</dc:creator>
  <cp:lastModifiedBy>я</cp:lastModifiedBy>
  <dcterms:created xsi:type="dcterms:W3CDTF">2023-01-21T19:47:17Z</dcterms:created>
  <dcterms:modified xsi:type="dcterms:W3CDTF">2023-02-23T01:49:13Z</dcterms:modified>
</cp:coreProperties>
</file>