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Watson- Texas Grand Ranch\"/>
    </mc:Choice>
  </mc:AlternateContent>
  <bookViews>
    <workbookView xWindow="0" yWindow="0" windowWidth="19200" windowHeight="6930" activeTab="2" xr2:uid="{00000000-000D-0000-FFFF-FFFF00000000}"/>
  </bookViews>
  <sheets>
    <sheet name="GJ Gardner Portfolio" sheetId="5" r:id="rId1"/>
    <sheet name="texas grand ranch" sheetId="1" r:id="rId2"/>
    <sheet name="waterfall" sheetId="8" r:id="rId3"/>
  </sheets>
  <definedNames>
    <definedName name="BuildMonths">waterfall!$B$6</definedName>
    <definedName name="GardnerCost">waterfall!$B$5</definedName>
    <definedName name="IntRate">waterfall!$B$18</definedName>
    <definedName name="LandCost">waterfall!$B$2</definedName>
    <definedName name="LeaseRate">waterfall!$B$10</definedName>
    <definedName name="LeaseTerm">waterfall!$B$11</definedName>
    <definedName name="Leverage">waterfall!$B$17</definedName>
    <definedName name="NetRent">waterfall!$B$13</definedName>
    <definedName name="NormalCost">waterfall!$B$4</definedName>
    <definedName name="_xlnm.Print_Area" localSheetId="1">'texas grand ranch'!$A$1:$G$55</definedName>
    <definedName name="_xlnm.Print_Area" localSheetId="2">waterfall!$A$1:$R$25</definedName>
    <definedName name="SaleMonth">waterfall!$B$21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C5" i="8"/>
  <c r="B22" i="1"/>
  <c r="B21" i="1"/>
  <c r="B23" i="1" l="1"/>
  <c r="F22" i="1"/>
  <c r="B3" i="8"/>
  <c r="F21" i="1" s="1"/>
  <c r="B8" i="8" l="1"/>
  <c r="F23" i="1" s="1"/>
  <c r="F24" i="1" s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3" i="8"/>
  <c r="B29" i="1"/>
  <c r="H25" i="8"/>
  <c r="G25" i="8"/>
  <c r="H24" i="8"/>
  <c r="G24" i="8"/>
  <c r="H23" i="8"/>
  <c r="G23" i="8"/>
  <c r="H22" i="8"/>
  <c r="G22" i="8"/>
  <c r="H21" i="8"/>
  <c r="G21" i="8"/>
  <c r="H20" i="8"/>
  <c r="J20" i="8" s="1"/>
  <c r="G20" i="8"/>
  <c r="B21" i="8"/>
  <c r="N25" i="8" s="1"/>
  <c r="H19" i="8"/>
  <c r="G19" i="8"/>
  <c r="O18" i="8"/>
  <c r="H18" i="8"/>
  <c r="G18" i="8"/>
  <c r="H17" i="8"/>
  <c r="G17" i="8"/>
  <c r="O16" i="8"/>
  <c r="H16" i="8"/>
  <c r="J16" i="8" s="1"/>
  <c r="G16" i="8"/>
  <c r="H15" i="8"/>
  <c r="G15" i="8"/>
  <c r="O14" i="8"/>
  <c r="H14" i="8"/>
  <c r="G14" i="8"/>
  <c r="O13" i="8"/>
  <c r="H13" i="8"/>
  <c r="G13" i="8"/>
  <c r="O12" i="8"/>
  <c r="H12" i="8"/>
  <c r="G12" i="8"/>
  <c r="O11" i="8"/>
  <c r="H11" i="8"/>
  <c r="J11" i="8" s="1"/>
  <c r="G11" i="8"/>
  <c r="O10" i="8"/>
  <c r="H10" i="8"/>
  <c r="J10" i="8" s="1"/>
  <c r="G10" i="8"/>
  <c r="O9" i="8"/>
  <c r="N9" i="8"/>
  <c r="H9" i="8"/>
  <c r="G9" i="8"/>
  <c r="O8" i="8"/>
  <c r="N8" i="8"/>
  <c r="H8" i="8"/>
  <c r="G8" i="8"/>
  <c r="O7" i="8"/>
  <c r="N7" i="8"/>
  <c r="H7" i="8"/>
  <c r="G7" i="8"/>
  <c r="O6" i="8"/>
  <c r="N6" i="8"/>
  <c r="H6" i="8"/>
  <c r="G6" i="8"/>
  <c r="O5" i="8"/>
  <c r="N5" i="8"/>
  <c r="H5" i="8"/>
  <c r="G5" i="8"/>
  <c r="O4" i="8"/>
  <c r="N4" i="8"/>
  <c r="H4" i="8"/>
  <c r="G4" i="8"/>
  <c r="O3" i="8"/>
  <c r="N3" i="8"/>
  <c r="M3" i="8"/>
  <c r="H3" i="8"/>
  <c r="J3" i="8" l="1"/>
  <c r="L3" i="8" s="1"/>
  <c r="O21" i="8"/>
  <c r="P3" i="8"/>
  <c r="J9" i="8"/>
  <c r="L9" i="8" s="1"/>
  <c r="O15" i="8"/>
  <c r="O19" i="8"/>
  <c r="O20" i="8"/>
  <c r="J25" i="8"/>
  <c r="J13" i="8"/>
  <c r="J17" i="8"/>
  <c r="L17" i="8" s="1"/>
  <c r="G45" i="1"/>
  <c r="J5" i="8"/>
  <c r="L5" i="8" s="1"/>
  <c r="O17" i="8"/>
  <c r="J21" i="8"/>
  <c r="L21" i="8" s="1"/>
  <c r="O22" i="8"/>
  <c r="J6" i="8"/>
  <c r="L6" i="8" s="1"/>
  <c r="J14" i="8"/>
  <c r="J18" i="8"/>
  <c r="L18" i="8" s="1"/>
  <c r="J22" i="8"/>
  <c r="L22" i="8" s="1"/>
  <c r="J15" i="8"/>
  <c r="L15" i="8" s="1"/>
  <c r="J19" i="8"/>
  <c r="J23" i="8"/>
  <c r="L23" i="8" s="1"/>
  <c r="J24" i="8"/>
  <c r="L24" i="8" s="1"/>
  <c r="J4" i="8"/>
  <c r="L4" i="8" s="1"/>
  <c r="J12" i="8"/>
  <c r="L13" i="8"/>
  <c r="L14" i="8"/>
  <c r="L16" i="8"/>
  <c r="L19" i="8"/>
  <c r="L25" i="8"/>
  <c r="L12" i="8"/>
  <c r="L20" i="8"/>
  <c r="O25" i="8"/>
  <c r="J7" i="8"/>
  <c r="L10" i="8"/>
  <c r="L11" i="8"/>
  <c r="O23" i="8"/>
  <c r="J8" i="8"/>
  <c r="O24" i="8"/>
  <c r="K3" i="8" l="1"/>
  <c r="M4" i="8" s="1"/>
  <c r="P4" i="8" s="1"/>
  <c r="Q4" i="8" s="1"/>
  <c r="Q3" i="8"/>
  <c r="R3" i="8" s="1"/>
  <c r="L7" i="8"/>
  <c r="L8" i="8"/>
  <c r="K4" i="8" l="1"/>
  <c r="M5" i="8" s="1"/>
  <c r="P5" i="8" s="1"/>
  <c r="Q5" i="8" s="1"/>
  <c r="R4" i="8"/>
  <c r="K5" i="8" l="1"/>
  <c r="R5" i="8"/>
  <c r="M6" i="8" l="1"/>
  <c r="P6" i="8" s="1"/>
  <c r="Q6" i="8" s="1"/>
  <c r="R6" i="8" l="1"/>
  <c r="K6" i="8"/>
  <c r="M7" i="8" l="1"/>
  <c r="P7" i="8" s="1"/>
  <c r="Q7" i="8" l="1"/>
  <c r="K7" i="8"/>
  <c r="R7" i="8" l="1"/>
  <c r="M8" i="8"/>
  <c r="P8" i="8" s="1"/>
  <c r="Q8" i="8" s="1"/>
  <c r="K8" i="8" l="1"/>
  <c r="M9" i="8" s="1"/>
  <c r="R8" i="8"/>
  <c r="P9" i="8" l="1"/>
  <c r="Q9" i="8" s="1"/>
  <c r="R9" i="8" s="1"/>
  <c r="K9" i="8" l="1"/>
  <c r="M10" i="8" s="1"/>
  <c r="P10" i="8" s="1"/>
  <c r="B12" i="8" l="1"/>
  <c r="B13" i="8" s="1"/>
  <c r="K10" i="8"/>
  <c r="G28" i="1" l="1"/>
  <c r="G29" i="1" s="1"/>
  <c r="B14" i="8"/>
  <c r="M11" i="8"/>
  <c r="P11" i="8" l="1"/>
  <c r="K11" i="8" l="1"/>
  <c r="M12" i="8" s="1"/>
  <c r="P12" i="8" s="1"/>
  <c r="K12" i="8" l="1"/>
  <c r="M13" i="8" s="1"/>
  <c r="P13" i="8" l="1"/>
  <c r="K13" i="8" l="1"/>
  <c r="M14" i="8" l="1"/>
  <c r="P14" i="8" l="1"/>
  <c r="K14" i="8" l="1"/>
  <c r="M15" i="8" l="1"/>
  <c r="P15" i="8" s="1"/>
  <c r="K15" i="8" l="1"/>
  <c r="M16" i="8" l="1"/>
  <c r="P16" i="8" l="1"/>
  <c r="K16" i="8" l="1"/>
  <c r="M17" i="8" l="1"/>
  <c r="P17" i="8" l="1"/>
  <c r="K17" i="8" l="1"/>
  <c r="M18" i="8" l="1"/>
  <c r="P18" i="8" l="1"/>
  <c r="K18" i="8" l="1"/>
  <c r="M19" i="8" l="1"/>
  <c r="P19" i="8" l="1"/>
  <c r="K19" i="8" l="1"/>
  <c r="M20" i="8" l="1"/>
  <c r="P20" i="8" l="1"/>
  <c r="K20" i="8" l="1"/>
  <c r="M21" i="8" s="1"/>
  <c r="P21" i="8" s="1"/>
  <c r="K21" i="8" l="1"/>
  <c r="M22" i="8" s="1"/>
  <c r="P22" i="8" s="1"/>
  <c r="K22" i="8" l="1"/>
  <c r="M23" i="8" l="1"/>
  <c r="P23" i="8" s="1"/>
  <c r="K23" i="8" l="1"/>
  <c r="M24" i="8" l="1"/>
  <c r="P24" i="8" l="1"/>
  <c r="K24" i="8" l="1"/>
  <c r="M25" i="8" s="1"/>
  <c r="P25" i="8" s="1"/>
  <c r="Q25" i="8" s="1"/>
  <c r="K25" i="8" l="1"/>
  <c r="N16" i="8"/>
  <c r="Q16" i="8" s="1"/>
  <c r="N13" i="8"/>
  <c r="Q13" i="8" s="1"/>
  <c r="N21" i="8"/>
  <c r="Q21" i="8" s="1"/>
  <c r="N15" i="8"/>
  <c r="Q15" i="8" s="1"/>
  <c r="N23" i="8"/>
  <c r="Q23" i="8" s="1"/>
  <c r="N12" i="8"/>
  <c r="Q12" i="8" s="1"/>
  <c r="N14" i="8"/>
  <c r="Q14" i="8" s="1"/>
  <c r="N18" i="8"/>
  <c r="Q18" i="8" s="1"/>
  <c r="N20" i="8"/>
  <c r="Q20" i="8" s="1"/>
  <c r="N22" i="8"/>
  <c r="Q22" i="8" s="1"/>
  <c r="N11" i="8"/>
  <c r="Q11" i="8" s="1"/>
  <c r="N19" i="8"/>
  <c r="Q19" i="8" s="1"/>
  <c r="N24" i="8"/>
  <c r="Q24" i="8" s="1"/>
  <c r="N10" i="8"/>
  <c r="Q10" i="8" s="1"/>
  <c r="R10" i="8" s="1"/>
  <c r="N17" i="8"/>
  <c r="Q17" i="8" s="1"/>
  <c r="B23" i="8" l="1"/>
  <c r="G43" i="1" s="1"/>
  <c r="R11" i="8"/>
  <c r="R12" i="8" s="1"/>
  <c r="R13" i="8" s="1"/>
  <c r="R14" i="8" s="1"/>
  <c r="R15" i="8" s="1"/>
  <c r="B25" i="8"/>
  <c r="R16" i="8" l="1"/>
  <c r="R17" i="8" l="1"/>
  <c r="R18" i="8" s="1"/>
  <c r="R19" i="8" s="1"/>
  <c r="R20" i="8" s="1"/>
  <c r="R21" i="8" s="1"/>
  <c r="R22" i="8" s="1"/>
  <c r="R23" i="8" s="1"/>
  <c r="R24" i="8" s="1"/>
  <c r="R25" i="8" s="1"/>
  <c r="B24" i="8" l="1"/>
  <c r="B43" i="1" s="1"/>
  <c r="B44" i="1" s="1"/>
  <c r="B26" i="8" l="1"/>
  <c r="G44" i="1" s="1"/>
</calcChain>
</file>

<file path=xl/sharedStrings.xml><?xml version="1.0" encoding="utf-8"?>
<sst xmlns="http://schemas.openxmlformats.org/spreadsheetml/2006/main" count="112" uniqueCount="105">
  <si>
    <t>Main Details</t>
  </si>
  <si>
    <t>Entity Details</t>
  </si>
  <si>
    <t>Address</t>
  </si>
  <si>
    <t>Hover Message</t>
  </si>
  <si>
    <t>Entity Name</t>
  </si>
  <si>
    <t>Investor Information</t>
  </si>
  <si>
    <t>Source Doc or Link</t>
  </si>
  <si>
    <t>Date of Incorporation</t>
  </si>
  <si>
    <t>Total Capitalization Needed</t>
  </si>
  <si>
    <t>Total Capitalization Raised</t>
  </si>
  <si>
    <t>Entity Jursidiction</t>
  </si>
  <si>
    <t>Corporation Type</t>
  </si>
  <si>
    <t>&lt;&lt;Map animation to address&gt;&gt;</t>
  </si>
  <si>
    <t>Submarket</t>
  </si>
  <si>
    <t>9999 SF</t>
  </si>
  <si>
    <t>This is collateral for the Portfolio View we are not working on this right now…</t>
  </si>
  <si>
    <t>Builder</t>
  </si>
  <si>
    <t>Master Builder</t>
  </si>
  <si>
    <t>Mark Watson</t>
  </si>
  <si>
    <t>Kyle Cox</t>
  </si>
  <si>
    <t>Community</t>
  </si>
  <si>
    <t>Texas Grand Ranch</t>
  </si>
  <si>
    <t>1015A TX-150, New Waverly, TX 77358</t>
  </si>
  <si>
    <t>Conroe (north Houston)</t>
  </si>
  <si>
    <t>Lot Cost</t>
  </si>
  <si>
    <t>Lot/Block/Section</t>
  </si>
  <si>
    <t>To be formed</t>
  </si>
  <si>
    <t>Texas</t>
  </si>
  <si>
    <t>Financial Assumptions</t>
  </si>
  <si>
    <t>2/6/1</t>
  </si>
  <si>
    <t>Building Sf</t>
  </si>
  <si>
    <t>Lot SF</t>
  </si>
  <si>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</si>
  <si>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</si>
  <si>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</si>
  <si>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</si>
  <si>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</si>
  <si>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</si>
  <si>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</si>
  <si>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</si>
  <si>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</si>
  <si>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</si>
  <si>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</si>
  <si>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</si>
  <si>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</si>
  <si>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</si>
  <si>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</si>
  <si>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</si>
  <si>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</si>
  <si>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</si>
  <si>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</si>
  <si>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</si>
  <si>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</si>
  <si>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</si>
  <si>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</si>
  <si>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Monthly Net Rent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</si>
  <si>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</si>
  <si>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</si>
  <si>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</si>
  <si>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</si>
  <si>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</si>
  <si>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</si>
  <si>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</si>
  <si>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</si>
  <si>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Build Cost</t>
  </si>
  <si>
    <t>Lease Rate</t>
  </si>
  <si>
    <t>Lease Monthly</t>
  </si>
  <si>
    <t>Build Time</t>
  </si>
  <si>
    <t>Mortgage Assumotions</t>
  </si>
  <si>
    <t>Lender</t>
  </si>
  <si>
    <t>LTC</t>
  </si>
  <si>
    <t>Interest Only</t>
  </si>
  <si>
    <t>Amortization Term</t>
  </si>
  <si>
    <t>Multiple</t>
  </si>
  <si>
    <t>Tax and Insurance</t>
  </si>
  <si>
    <t>Expected Taxes</t>
  </si>
  <si>
    <t>Expected Insurance</t>
  </si>
  <si>
    <t>Third Party Inspector</t>
  </si>
  <si>
    <t>ABC Appraisals</t>
  </si>
  <si>
    <t>6 months</t>
  </si>
  <si>
    <t>Hold Period</t>
  </si>
  <si>
    <t>need logo</t>
  </si>
  <si>
    <t xml:space="preserve"> Build cost to GJ Gardner Builder</t>
  </si>
  <si>
    <t>Deiivered Cost for Model Home</t>
  </si>
  <si>
    <t>Reserve expected</t>
  </si>
  <si>
    <t>lease Information</t>
  </si>
  <si>
    <t>FICO Score of Lease Guarantor</t>
  </si>
  <si>
    <t>Lease Escrow</t>
  </si>
  <si>
    <t>4999 SF</t>
  </si>
  <si>
    <t>TBD</t>
  </si>
  <si>
    <t>First National 1870</t>
  </si>
  <si>
    <t>Comparative Market Analysis</t>
  </si>
  <si>
    <t>Sales Comp 1</t>
  </si>
  <si>
    <t>Sales Comp 2</t>
  </si>
  <si>
    <t>Sales Comp 3</t>
  </si>
  <si>
    <t>need this</t>
  </si>
  <si>
    <t>Total Cost</t>
  </si>
  <si>
    <t>Lot Value</t>
  </si>
  <si>
    <t>Build Value</t>
  </si>
  <si>
    <t>Initial Value</t>
  </si>
  <si>
    <t>Land Value</t>
  </si>
  <si>
    <t>Value over Cost</t>
  </si>
  <si>
    <t>Implied Mutliple on Equity Investment</t>
  </si>
  <si>
    <t>extra profit to GJG Builder</t>
  </si>
  <si>
    <t>Total Cost of Model to REIT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</si>
</sst>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_(* #,##0_);_(* \(#,##0\);_(* &quot;-&quot;??_);_(@_)"/>
    <numFmt numFmtId="167" formatCode="0.0"/>
    <numFmt numFmtId="168" formatCode="0.0\ \X"/>
    <numFmt numFmtId="169" formatCode="0\ &quot;Months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i/>
      <sz val="12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7" fillId="0" borderId="0"/>
  </cellStyleXfs>
  <cellXfs count="37">
    <xf numFmtId="0" fontId="0" fillId="0" borderId="0" xfId="0"/>
    <xf numFmtId="0" fontId="2" fillId="0" borderId="0" xfId="0" applyFont="1"/>
    <xf numFmtId="0" fontId="3" fillId="0" borderId="0" xfId="3"/>
    <xf numFmtId="9" fontId="0" fillId="0" borderId="0" xfId="2" applyFont="1"/>
    <xf numFmtId="0" fontId="7" fillId="0" borderId="0" xfId="0" applyFont="1"/>
    <xf numFmtId="0" fontId="5" fillId="0" borderId="0" xfId="4" applyFont="1" applyAlignment="1" applyProtection="1">
      <alignment horizontal="left"/>
    </xf>
    <xf numFmtId="167" fontId="0" fillId="0" borderId="0" xfId="0" applyNumberFormat="1"/>
    <xf numFmtId="166" fontId="0" fillId="0" borderId="0" xfId="1" applyNumberFormat="1" applyFont="1"/>
    <xf numFmtId="14" fontId="0" fillId="0" borderId="0" xfId="0" applyNumberFormat="1"/>
    <xf numFmtId="0" fontId="8" fillId="0" borderId="0" xfId="0" applyFont="1"/>
    <xf numFmtId="14" fontId="0" fillId="0" borderId="0" xfId="0" quotePrefix="1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9" fillId="0" borderId="0" xfId="0" applyNumberFormat="1" applyFont="1"/>
    <xf numFmtId="0" fontId="9" fillId="0" borderId="0" xfId="0" applyFont="1"/>
    <xf numFmtId="14" fontId="9" fillId="0" borderId="0" xfId="0" applyNumberFormat="1" applyFont="1"/>
    <xf numFmtId="166" fontId="0" fillId="0" borderId="0" xfId="1" quotePrefix="1" applyNumberFormat="1" applyFont="1"/>
    <xf numFmtId="166" fontId="0" fillId="0" borderId="0" xfId="0" applyNumberFormat="1"/>
    <xf numFmtId="14" fontId="10" fillId="0" borderId="0" xfId="0" applyNumberFormat="1" applyFont="1"/>
    <xf numFmtId="9" fontId="9" fillId="0" borderId="0" xfId="0" applyNumberFormat="1" applyFont="1"/>
    <xf numFmtId="166" fontId="9" fillId="0" borderId="0" xfId="1" applyNumberFormat="1" applyFont="1"/>
    <xf numFmtId="166" fontId="9" fillId="0" borderId="0" xfId="0" applyNumberFormat="1" applyFont="1"/>
    <xf numFmtId="165" fontId="9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6" fontId="2" fillId="0" borderId="4" xfId="1" applyNumberFormat="1" applyFont="1" applyBorder="1"/>
    <xf numFmtId="166" fontId="2" fillId="0" borderId="4" xfId="0" applyNumberFormat="1" applyFont="1" applyBorder="1"/>
    <xf numFmtId="0" fontId="0" fillId="0" borderId="5" xfId="0" applyBorder="1"/>
    <xf numFmtId="168" fontId="2" fillId="0" borderId="6" xfId="0" applyNumberFormat="1" applyFont="1" applyBorder="1" applyAlignment="1"/>
    <xf numFmtId="9" fontId="0" fillId="0" borderId="0" xfId="0" applyNumberFormat="1"/>
    <xf numFmtId="165" fontId="0" fillId="0" borderId="0" xfId="0" applyNumberFormat="1"/>
    <xf numFmtId="168" fontId="0" fillId="0" borderId="0" xfId="1" applyNumberFormat="1" applyFont="1"/>
    <xf numFmtId="169" fontId="0" fillId="0" borderId="0" xfId="1" applyNumberFormat="1" applyFont="1"/>
    <xf numFmtId="9" fontId="10" fillId="0" borderId="0" xfId="0" applyNumberFormat="1" applyFont="1"/>
    <xf numFmtId="9" fontId="10" fillId="0" borderId="0" xfId="2" applyFont="1"/>
    <xf numFmtId="166" fontId="10" fillId="0" borderId="0" xfId="1" applyNumberFormat="1" applyFont="1"/>
  </cellXfs>
  <cellStyles count="14">
    <cellStyle name="Comma" xfId="1" builtinId="3"/>
    <cellStyle name="Comma 2" xfId="6" xr:uid="{00000000-0005-0000-0000-000001000000}"/>
    <cellStyle name="Comma 3" xfId="5" xr:uid="{00000000-0005-0000-0000-000002000000}"/>
    <cellStyle name="Comma 4" xfId="12" xr:uid="{00000000-0005-0000-0000-000003000000}"/>
    <cellStyle name="Currency 2" xfId="8" xr:uid="{00000000-0005-0000-0000-000004000000}"/>
    <cellStyle name="Currency 3" xfId="7" xr:uid="{00000000-0005-0000-0000-000005000000}"/>
    <cellStyle name="Hyperlink" xfId="3" builtinId="8"/>
    <cellStyle name="Normal" xfId="0" builtinId="0"/>
    <cellStyle name="Normal 2" xfId="9" xr:uid="{00000000-0005-0000-0000-000008000000}"/>
    <cellStyle name="Normal 3" xfId="4" xr:uid="{00000000-0005-0000-0000-000009000000}"/>
    <cellStyle name="Normal 3 2" xfId="13" xr:uid="{00000000-0005-0000-0000-00000A000000}"/>
    <cellStyle name="Percent" xfId="2" builtinId="5"/>
    <cellStyle name="Percent 2" xfId="11" xr:uid="{00000000-0005-0000-0000-00000C000000}"/>
    <cellStyle name="Percent 3" xfId="10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28575</xdr:rowOff>
    </xdr:from>
    <xdr:to>
      <xdr:col>0</xdr:col>
      <xdr:colOff>1457205</xdr:colOff>
      <xdr:row>5</xdr:row>
      <xdr:rowOff>37980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3E0985-1787-4F9E-8C94-716DA7F47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28575"/>
          <a:ext cx="961905" cy="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0</xdr:row>
      <xdr:rowOff>0</xdr:rowOff>
    </xdr:from>
    <xdr:to>
      <xdr:col>1</xdr:col>
      <xdr:colOff>2409825</xdr:colOff>
      <xdr:row>7</xdr:row>
      <xdr:rowOff>34925</xdr:rowOff>
    </xdr:to>
    <xdr:pic>
      <xdr:nvPicPr>
        <xdr:cNvPr id="5" name="Picture 4" descr="https://www.txgrandranch.com/wp-content/uploads/2016/12/hg_walton1-300x200.jpg">
          <a:extLst>
            <a:ext uri="{FF2B5EF4-FFF2-40B4-BE49-F238E27FC236}">
              <a16:creationId xmlns:a16="http://schemas.microsoft.com/office/drawing/2014/main" id="{387B954B-DE37-48D4-94F5-6EBFBFCCF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0"/>
          <a:ext cx="2066925" cy="137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5"/>
  <sheetViews>
    <sheetView workbookViewId="0">
      <selection activeCell="C6" sqref="C6"/>
    </sheetView>
  </sheetViews>
  <sheetFormatPr defaultRowHeight="15" x14ac:dyDescent="0.25"/>
  <sheetData>
    <row r="3" spans="3:3" x14ac:dyDescent="0.25">
      <c r="C3" t="s">
        <v>15</v>
      </c>
    </row>
    <row r="5" spans="3:3" x14ac:dyDescent="0.25">
      <c r="C5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5:I54"/>
  <sheetViews>
    <sheetView topLeftCell="A14" workbookViewId="0">
      <selection activeCell="F22" sqref="F22"/>
    </sheetView>
  </sheetViews>
  <sheetFormatPr defaultRowHeight="15" x14ac:dyDescent="0.25"/>
  <cols>
    <col min="1" max="1" width="39.28515625" customWidth="1"/>
    <col min="2" max="2" width="45" customWidth="1"/>
    <col min="3" max="3" width="18.28515625" customWidth="1"/>
    <col min="4" max="4" width="30" customWidth="1"/>
    <col min="5" max="5" width="3.28515625" customWidth="1"/>
    <col min="6" max="6" width="37.5703125" customWidth="1"/>
    <col min="7" max="7" width="20.5703125" customWidth="1"/>
  </cols>
  <sheetData>
    <row r="5" spans="1:9" x14ac:dyDescent="0.25">
      <c r="C5" t="s">
        <v>12</v>
      </c>
    </row>
    <row r="6" spans="1:9" ht="15.75" x14ac:dyDescent="0.25">
      <c r="I6" s="5"/>
    </row>
    <row r="9" spans="1:9" x14ac:dyDescent="0.25">
      <c r="A9" s="1" t="s">
        <v>0</v>
      </c>
      <c r="C9" s="9" t="s">
        <v>3</v>
      </c>
      <c r="D9" s="9" t="s">
        <v>6</v>
      </c>
    </row>
    <row r="11" spans="1:9" x14ac:dyDescent="0.25">
      <c r="A11" t="s">
        <v>16</v>
      </c>
      <c r="B11" t="s">
        <v>18</v>
      </c>
      <c r="F11" t="s">
        <v>30</v>
      </c>
      <c r="G11" t="s">
        <v>88</v>
      </c>
    </row>
    <row r="12" spans="1:9" x14ac:dyDescent="0.25">
      <c r="A12" t="s">
        <v>17</v>
      </c>
      <c r="B12" t="s">
        <v>19</v>
      </c>
      <c r="F12" t="s">
        <v>31</v>
      </c>
      <c r="G12" t="s">
        <v>14</v>
      </c>
    </row>
    <row r="13" spans="1:9" x14ac:dyDescent="0.25">
      <c r="A13" t="s">
        <v>77</v>
      </c>
      <c r="B13" t="s">
        <v>78</v>
      </c>
    </row>
    <row r="14" spans="1:9" x14ac:dyDescent="0.25">
      <c r="A14" t="s">
        <v>2</v>
      </c>
      <c r="B14" s="4" t="s">
        <v>22</v>
      </c>
      <c r="D14" s="2"/>
      <c r="F14" t="s">
        <v>25</v>
      </c>
      <c r="G14" s="10" t="s">
        <v>29</v>
      </c>
    </row>
    <row r="15" spans="1:9" x14ac:dyDescent="0.25">
      <c r="A15" t="s">
        <v>20</v>
      </c>
      <c r="B15" t="s">
        <v>21</v>
      </c>
    </row>
    <row r="16" spans="1:9" x14ac:dyDescent="0.25">
      <c r="A16" t="s">
        <v>13</v>
      </c>
      <c r="B16" t="s">
        <v>23</v>
      </c>
    </row>
    <row r="19" spans="1:7" x14ac:dyDescent="0.25">
      <c r="A19" s="1" t="s">
        <v>28</v>
      </c>
    </row>
    <row r="21" spans="1:7" x14ac:dyDescent="0.25">
      <c r="A21" t="s">
        <v>24</v>
      </c>
      <c r="B21" s="7">
        <f>LandCost</f>
        <v>99000</v>
      </c>
      <c r="D21" t="s">
        <v>97</v>
      </c>
      <c r="F21" s="7">
        <f>waterfall!B3</f>
        <v>108900.00000000001</v>
      </c>
      <c r="G21" s="7"/>
    </row>
    <row r="22" spans="1:7" x14ac:dyDescent="0.25">
      <c r="A22" t="s">
        <v>64</v>
      </c>
      <c r="B22" s="7">
        <f>GardnerCost</f>
        <v>458800</v>
      </c>
      <c r="D22" t="s">
        <v>98</v>
      </c>
      <c r="F22" s="7">
        <f>waterfall!B7</f>
        <v>873000</v>
      </c>
      <c r="G22" s="7"/>
    </row>
    <row r="23" spans="1:7" x14ac:dyDescent="0.25">
      <c r="A23" t="s">
        <v>96</v>
      </c>
      <c r="B23" s="7">
        <f>SUM(B21:B22)</f>
        <v>557800</v>
      </c>
      <c r="D23" t="s">
        <v>99</v>
      </c>
      <c r="F23" s="7">
        <f>waterfall!B8</f>
        <v>981900</v>
      </c>
      <c r="G23" s="7"/>
    </row>
    <row r="24" spans="1:7" x14ac:dyDescent="0.25">
      <c r="A24" t="s">
        <v>67</v>
      </c>
      <c r="B24" s="3" t="s">
        <v>79</v>
      </c>
      <c r="D24" t="s">
        <v>101</v>
      </c>
      <c r="F24" s="3">
        <f>F23/B23</f>
        <v>1.7603083542488347</v>
      </c>
      <c r="G24" s="3"/>
    </row>
    <row r="25" spans="1:7" x14ac:dyDescent="0.25">
      <c r="B25" s="7"/>
      <c r="G25" s="7"/>
    </row>
    <row r="26" spans="1:7" x14ac:dyDescent="0.25">
      <c r="B26" s="7"/>
      <c r="G26" s="7"/>
    </row>
    <row r="27" spans="1:7" x14ac:dyDescent="0.25">
      <c r="A27" s="1" t="s">
        <v>85</v>
      </c>
      <c r="B27" s="7"/>
      <c r="G27" s="7"/>
    </row>
    <row r="28" spans="1:7" x14ac:dyDescent="0.25">
      <c r="A28" t="s">
        <v>86</v>
      </c>
      <c r="B28" s="7">
        <v>650</v>
      </c>
      <c r="F28" t="s">
        <v>66</v>
      </c>
      <c r="G28" s="7">
        <f>NetRent</f>
        <v>4369.7199164341964</v>
      </c>
    </row>
    <row r="29" spans="1:7" x14ac:dyDescent="0.25">
      <c r="A29" t="s">
        <v>65</v>
      </c>
      <c r="B29" s="3">
        <f>LeaseRate</f>
        <v>0.08</v>
      </c>
      <c r="F29" t="s">
        <v>87</v>
      </c>
      <c r="G29" s="7">
        <f>6*G28</f>
        <v>26218.319498605179</v>
      </c>
    </row>
    <row r="30" spans="1:7" x14ac:dyDescent="0.25">
      <c r="G30" s="3"/>
    </row>
    <row r="31" spans="1:7" x14ac:dyDescent="0.25">
      <c r="A31" s="1" t="s">
        <v>91</v>
      </c>
      <c r="B31" s="7"/>
      <c r="G31" s="3"/>
    </row>
    <row r="32" spans="1:7" x14ac:dyDescent="0.25">
      <c r="A32" t="s">
        <v>92</v>
      </c>
      <c r="B32" s="7" t="s">
        <v>95</v>
      </c>
      <c r="G32" s="3"/>
    </row>
    <row r="33" spans="1:7" x14ac:dyDescent="0.25">
      <c r="A33" t="s">
        <v>93</v>
      </c>
      <c r="B33" s="7" t="s">
        <v>95</v>
      </c>
      <c r="G33" s="3"/>
    </row>
    <row r="34" spans="1:7" x14ac:dyDescent="0.25">
      <c r="A34" t="s">
        <v>94</v>
      </c>
      <c r="B34" s="7" t="s">
        <v>95</v>
      </c>
      <c r="G34" s="3"/>
    </row>
    <row r="36" spans="1:7" x14ac:dyDescent="0.25">
      <c r="A36" s="1" t="s">
        <v>68</v>
      </c>
    </row>
    <row r="37" spans="1:7" x14ac:dyDescent="0.25">
      <c r="A37" t="s">
        <v>69</v>
      </c>
      <c r="B37" t="s">
        <v>90</v>
      </c>
      <c r="F37" t="s">
        <v>58</v>
      </c>
      <c r="G37" s="31">
        <v>0.06</v>
      </c>
    </row>
    <row r="38" spans="1:7" x14ac:dyDescent="0.25">
      <c r="A38" t="s">
        <v>70</v>
      </c>
      <c r="B38" s="30">
        <v>0.6</v>
      </c>
      <c r="F38" t="s">
        <v>72</v>
      </c>
      <c r="G38" t="s">
        <v>71</v>
      </c>
    </row>
    <row r="41" spans="1:7" x14ac:dyDescent="0.25">
      <c r="A41" s="1" t="s">
        <v>5</v>
      </c>
    </row>
    <row r="43" spans="1:7" x14ac:dyDescent="0.25">
      <c r="A43" t="s">
        <v>8</v>
      </c>
      <c r="B43" s="7">
        <f>MROUND(-waterfall!B24,10000)</f>
        <v>260000</v>
      </c>
      <c r="F43" t="s">
        <v>61</v>
      </c>
      <c r="G43" s="3">
        <f>waterfall!B23</f>
        <v>0.83172565698623657</v>
      </c>
    </row>
    <row r="44" spans="1:7" x14ac:dyDescent="0.25">
      <c r="A44" t="s">
        <v>9</v>
      </c>
      <c r="B44" s="7">
        <f>B43</f>
        <v>260000</v>
      </c>
      <c r="F44" t="s">
        <v>73</v>
      </c>
      <c r="G44" s="32">
        <f>waterfall!B26</f>
        <v>1.3812624140678176</v>
      </c>
    </row>
    <row r="45" spans="1:7" x14ac:dyDescent="0.25">
      <c r="B45" s="7"/>
      <c r="F45" t="s">
        <v>80</v>
      </c>
      <c r="G45" s="33">
        <f>SaleMonth</f>
        <v>21</v>
      </c>
    </row>
    <row r="46" spans="1:7" x14ac:dyDescent="0.25">
      <c r="B46" s="7"/>
      <c r="G46" s="6"/>
    </row>
    <row r="47" spans="1:7" x14ac:dyDescent="0.25">
      <c r="A47" s="1" t="s">
        <v>74</v>
      </c>
      <c r="B47" s="7"/>
      <c r="G47" s="6"/>
    </row>
    <row r="48" spans="1:7" x14ac:dyDescent="0.25">
      <c r="A48" t="s">
        <v>75</v>
      </c>
      <c r="B48" s="7" t="s">
        <v>89</v>
      </c>
      <c r="G48" s="6"/>
    </row>
    <row r="49" spans="1:7" x14ac:dyDescent="0.25">
      <c r="A49" t="s">
        <v>76</v>
      </c>
      <c r="B49" s="6" t="s">
        <v>89</v>
      </c>
      <c r="G49" s="3"/>
    </row>
    <row r="51" spans="1:7" x14ac:dyDescent="0.25">
      <c r="A51" s="1" t="s">
        <v>1</v>
      </c>
    </row>
    <row r="53" spans="1:7" x14ac:dyDescent="0.25">
      <c r="A53" t="s">
        <v>4</v>
      </c>
      <c r="B53" t="s">
        <v>26</v>
      </c>
      <c r="F53" t="s">
        <v>7</v>
      </c>
      <c r="G53" s="8">
        <v>43101</v>
      </c>
    </row>
    <row r="54" spans="1:7" x14ac:dyDescent="0.25">
      <c r="A54" t="s">
        <v>10</v>
      </c>
      <c r="B54" t="s">
        <v>27</v>
      </c>
      <c r="F54" t="s">
        <v>11</v>
      </c>
      <c r="G54" t="s">
        <v>27</v>
      </c>
    </row>
  </sheetData>
  <pageMargins left="0.7" right="0.7" top="0.75" bottom="0.75" header="0.3" footer="0.3"/>
  <pageSetup scale="6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6"/>
  <sheetViews>
    <sheetView tabSelected="1" workbookViewId="0">
      <selection activeCell="B18" sqref="B18"/>
    </sheetView>
  </sheetViews>
  <sheetFormatPr defaultRowHeight="15" x14ac:dyDescent="0.25"/>
  <cols>
    <col min="1" max="1" width="34.7109375" customWidth="1"/>
    <col min="2" max="2" width="12.28515625" bestFit="1" customWidth="1"/>
    <col min="3" max="3" width="8.5703125" customWidth="1"/>
    <col min="4" max="4" width="23" customWidth="1"/>
    <col min="5" max="5" width="6.28515625" customWidth="1"/>
    <col min="7" max="7" width="11.5703125" customWidth="1"/>
    <col min="8" max="8" width="12.5703125" customWidth="1"/>
    <col min="9" max="9" width="10.5703125" bestFit="1" customWidth="1"/>
    <col min="10" max="11" width="10.5703125" customWidth="1"/>
    <col min="13" max="14" width="9.5703125" bestFit="1" customWidth="1"/>
    <col min="15" max="15" width="11.5703125" bestFit="1" customWidth="1"/>
    <col min="16" max="16" width="11.5703125" customWidth="1"/>
    <col min="18" max="18" width="12.28515625" customWidth="1"/>
    <col min="19" max="19" width="11.5703125" bestFit="1" customWidth="1"/>
  </cols>
  <sheetData>
    <row r="1" spans="1:20" s="12" customFormat="1" ht="45.75" customHeight="1" x14ac:dyDescent="0.25">
      <c r="A1" s="11" t="s">
        <v>32</v>
      </c>
      <c r="F1" s="11" t="s">
        <v>33</v>
      </c>
      <c r="G1" s="11" t="s">
        <v>34</v>
      </c>
      <c r="H1" s="11" t="s">
        <v>35</v>
      </c>
      <c r="I1" s="11" t="s">
        <v>36</v>
      </c>
      <c r="J1" s="11" t="s">
        <v>37</v>
      </c>
      <c r="K1" s="11" t="s">
        <v>38</v>
      </c>
      <c r="L1" s="11" t="s">
        <v>39</v>
      </c>
      <c r="M1" s="11" t="s">
        <v>40</v>
      </c>
      <c r="N1" s="11" t="s">
        <v>41</v>
      </c>
      <c r="O1" s="11" t="s">
        <v>42</v>
      </c>
      <c r="P1" s="11" t="s">
        <v>43</v>
      </c>
      <c r="Q1" s="11" t="s">
        <v>44</v>
      </c>
      <c r="R1" s="11" t="s">
        <v>45</v>
      </c>
      <c r="T1" s="11"/>
    </row>
    <row r="2" spans="1:20" x14ac:dyDescent="0.25">
      <c r="A2" t="s">
        <v>46</v>
      </c>
      <c r="B2" s="13">
        <v>99000</v>
      </c>
      <c r="K2">
        <v>0</v>
      </c>
      <c r="O2" s="12"/>
      <c r="P2" s="12"/>
      <c r="R2">
        <v>0</v>
      </c>
    </row>
    <row r="3" spans="1:20" ht="16.5" customHeight="1" x14ac:dyDescent="0.25">
      <c r="A3" t="s">
        <v>100</v>
      </c>
      <c r="B3" s="13">
        <f>LandCost*1.1</f>
        <v>108900.00000000001</v>
      </c>
      <c r="F3">
        <v>0</v>
      </c>
      <c r="G3" s="15">
        <v>43101</v>
      </c>
      <c r="H3" s="16">
        <f t="shared" ref="H3:H25" si="0">IF(F3=0,-LandCost,0)</f>
        <v>-99000</v>
      </c>
      <c r="I3" s="16">
        <f t="shared" ref="I3:I25" si="1">IF(F3=0,0,IF(F3&lt;=BuildMonths,-NormalCost/BuildMonths,0))</f>
        <v>0</v>
      </c>
      <c r="J3" s="16">
        <f>SUM(H3:I3)</f>
        <v>-99000</v>
      </c>
      <c r="K3" s="16">
        <f>K2+L3+M3-P3</f>
        <v>59400</v>
      </c>
      <c r="L3" s="17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17">
        <f>J3+L3+N3+O3-P3</f>
        <v>-39600</v>
      </c>
      <c r="R3" s="17">
        <f>R2+Q3</f>
        <v>-39600</v>
      </c>
    </row>
    <row r="4" spans="1:20" x14ac:dyDescent="0.25">
      <c r="A4" t="s">
        <v>83</v>
      </c>
      <c r="B4" s="13">
        <v>550000</v>
      </c>
      <c r="F4">
        <v>1</v>
      </c>
      <c r="G4" s="18">
        <f>EDATE($G$3,F4)</f>
        <v>43132</v>
      </c>
      <c r="H4" s="16">
        <f t="shared" si="0"/>
        <v>0</v>
      </c>
      <c r="I4" s="16">
        <f t="shared" si="1"/>
        <v>-91666.666666666672</v>
      </c>
      <c r="J4" s="16">
        <f t="shared" ref="J4:J25" si="6">SUM(H4:I4)</f>
        <v>-91666.666666666672</v>
      </c>
      <c r="K4" s="16">
        <f t="shared" ref="K4:K25" si="7">K3+L4+M4-P4</f>
        <v>114721.75</v>
      </c>
      <c r="L4" s="17">
        <f t="shared" si="2"/>
        <v>55000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17">
        <f t="shared" ref="Q4:Q25" si="9">J4+L4+N4+O4-P4</f>
        <v>-36666.666666666672</v>
      </c>
      <c r="R4" s="17">
        <f t="shared" ref="R4:R25" si="10">R3+Q4</f>
        <v>-76266.666666666672</v>
      </c>
    </row>
    <row r="5" spans="1:20" x14ac:dyDescent="0.25">
      <c r="A5" t="s">
        <v>82</v>
      </c>
      <c r="B5" s="13">
        <v>458800</v>
      </c>
      <c r="C5" s="34">
        <f>(NormalCost-GardnerCost)/NormalCost</f>
        <v>0.16581818181818181</v>
      </c>
      <c r="D5" t="s">
        <v>103</v>
      </c>
      <c r="F5">
        <v>2</v>
      </c>
      <c r="G5" s="18">
        <f t="shared" ref="G5:G25" si="11">EDATE($G$3,F5)</f>
        <v>43160</v>
      </c>
      <c r="H5" s="16">
        <f t="shared" si="0"/>
        <v>0</v>
      </c>
      <c r="I5" s="16">
        <f t="shared" si="1"/>
        <v>-91666.666666666672</v>
      </c>
      <c r="J5" s="16">
        <f t="shared" si="6"/>
        <v>-91666.666666666672</v>
      </c>
      <c r="K5" s="16">
        <f t="shared" si="7"/>
        <v>170343.15947916667</v>
      </c>
      <c r="L5" s="17">
        <f t="shared" si="2"/>
        <v>55000</v>
      </c>
      <c r="M5" s="7">
        <f t="shared" si="3"/>
        <v>621.40947916666676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17">
        <f t="shared" si="9"/>
        <v>-36666.666666666672</v>
      </c>
      <c r="R5" s="17">
        <f t="shared" si="10"/>
        <v>-112933.33333333334</v>
      </c>
    </row>
    <row r="6" spans="1:20" x14ac:dyDescent="0.25">
      <c r="A6" t="s">
        <v>47</v>
      </c>
      <c r="B6" s="14">
        <v>6</v>
      </c>
      <c r="C6" s="14"/>
      <c r="F6">
        <v>3</v>
      </c>
      <c r="G6" s="18">
        <f t="shared" si="11"/>
        <v>43191</v>
      </c>
      <c r="H6" s="16">
        <f t="shared" si="0"/>
        <v>0</v>
      </c>
      <c r="I6" s="16">
        <f t="shared" si="1"/>
        <v>-91666.666666666672</v>
      </c>
      <c r="J6" s="16">
        <f t="shared" si="6"/>
        <v>-91666.666666666672</v>
      </c>
      <c r="K6" s="16">
        <f t="shared" si="7"/>
        <v>226265.85159301216</v>
      </c>
      <c r="L6" s="17">
        <f t="shared" si="2"/>
        <v>55000</v>
      </c>
      <c r="M6" s="7">
        <f t="shared" si="3"/>
        <v>922.69211384548623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17">
        <f t="shared" si="9"/>
        <v>-36666.666666666672</v>
      </c>
      <c r="R6" s="17">
        <f t="shared" si="10"/>
        <v>-149600</v>
      </c>
    </row>
    <row r="7" spans="1:20" x14ac:dyDescent="0.25">
      <c r="A7" t="s">
        <v>48</v>
      </c>
      <c r="B7" s="20">
        <v>873000</v>
      </c>
      <c r="C7" s="35">
        <f>(B7-NormalCost)/NormalCost</f>
        <v>0.58727272727272728</v>
      </c>
      <c r="D7" t="s">
        <v>49</v>
      </c>
      <c r="F7">
        <v>4</v>
      </c>
      <c r="G7" s="18">
        <f t="shared" si="11"/>
        <v>43221</v>
      </c>
      <c r="H7" s="16">
        <f t="shared" si="0"/>
        <v>0</v>
      </c>
      <c r="I7" s="16">
        <f t="shared" si="1"/>
        <v>-91666.666666666672</v>
      </c>
      <c r="J7" s="16">
        <f t="shared" si="6"/>
        <v>-91666.666666666672</v>
      </c>
      <c r="K7" s="16">
        <f t="shared" si="7"/>
        <v>282491.45828914095</v>
      </c>
      <c r="L7" s="17">
        <f t="shared" si="2"/>
        <v>55000</v>
      </c>
      <c r="M7" s="7">
        <f t="shared" si="3"/>
        <v>1225.6066961288159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17">
        <f t="shared" si="9"/>
        <v>-36666.666666666672</v>
      </c>
      <c r="R7" s="17">
        <f t="shared" si="10"/>
        <v>-186266.66666666669</v>
      </c>
    </row>
    <row r="8" spans="1:20" x14ac:dyDescent="0.25">
      <c r="A8" t="s">
        <v>50</v>
      </c>
      <c r="B8" s="20">
        <f>B7+B3</f>
        <v>981900</v>
      </c>
      <c r="C8" s="19"/>
      <c r="F8">
        <v>5</v>
      </c>
      <c r="G8" s="18">
        <f t="shared" si="11"/>
        <v>43252</v>
      </c>
      <c r="H8" s="16">
        <f t="shared" si="0"/>
        <v>0</v>
      </c>
      <c r="I8" s="16">
        <f t="shared" si="1"/>
        <v>-91666.666666666672</v>
      </c>
      <c r="J8" s="16">
        <f t="shared" si="6"/>
        <v>-91666.666666666672</v>
      </c>
      <c r="K8" s="16">
        <f t="shared" si="7"/>
        <v>339021.62035487383</v>
      </c>
      <c r="L8" s="17">
        <f t="shared" si="2"/>
        <v>55000</v>
      </c>
      <c r="M8" s="7">
        <f t="shared" si="3"/>
        <v>1530.1620657328469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17">
        <f t="shared" si="9"/>
        <v>-36666.666666666672</v>
      </c>
      <c r="R8" s="17">
        <f t="shared" si="10"/>
        <v>-222933.33333333337</v>
      </c>
    </row>
    <row r="9" spans="1:20" x14ac:dyDescent="0.25">
      <c r="A9" t="s">
        <v>51</v>
      </c>
      <c r="B9" s="14"/>
      <c r="F9">
        <v>6</v>
      </c>
      <c r="G9" s="18">
        <f t="shared" si="11"/>
        <v>43282</v>
      </c>
      <c r="H9" s="16">
        <f t="shared" si="0"/>
        <v>0</v>
      </c>
      <c r="I9" s="16">
        <f t="shared" si="1"/>
        <v>-91666.666666666672</v>
      </c>
      <c r="J9" s="16">
        <f t="shared" si="6"/>
        <v>-91666.666666666672</v>
      </c>
      <c r="K9" s="16">
        <f t="shared" si="7"/>
        <v>395857.98746512941</v>
      </c>
      <c r="L9" s="17">
        <f t="shared" si="2"/>
        <v>55000</v>
      </c>
      <c r="M9" s="7">
        <f t="shared" si="3"/>
        <v>1836.3671102555666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17">
        <f t="shared" si="9"/>
        <v>-36666.666666666672</v>
      </c>
      <c r="R9" s="17">
        <f t="shared" si="10"/>
        <v>-259600.00000000006</v>
      </c>
    </row>
    <row r="10" spans="1:20" x14ac:dyDescent="0.25">
      <c r="A10" t="s">
        <v>52</v>
      </c>
      <c r="B10" s="19">
        <v>0.08</v>
      </c>
      <c r="F10">
        <v>7</v>
      </c>
      <c r="G10" s="18">
        <f t="shared" si="11"/>
        <v>43313</v>
      </c>
      <c r="H10" s="16">
        <f t="shared" si="0"/>
        <v>0</v>
      </c>
      <c r="I10" s="16">
        <f t="shared" si="1"/>
        <v>0</v>
      </c>
      <c r="J10" s="16">
        <f t="shared" si="6"/>
        <v>0</v>
      </c>
      <c r="K10" s="16">
        <f t="shared" si="7"/>
        <v>398002.21823056554</v>
      </c>
      <c r="L10" s="17">
        <f t="shared" si="2"/>
        <v>0</v>
      </c>
      <c r="M10" s="7">
        <f t="shared" si="3"/>
        <v>2144.230765436118</v>
      </c>
      <c r="N10" s="7">
        <f t="shared" si="4"/>
        <v>4369.7199164341964</v>
      </c>
      <c r="O10" s="7">
        <f t="shared" si="5"/>
        <v>0</v>
      </c>
      <c r="P10" s="7">
        <f t="shared" si="8"/>
        <v>0</v>
      </c>
      <c r="Q10" s="17">
        <f t="shared" si="9"/>
        <v>4369.7199164341964</v>
      </c>
      <c r="R10" s="17">
        <f t="shared" si="10"/>
        <v>-255230.28008356586</v>
      </c>
    </row>
    <row r="11" spans="1:20" x14ac:dyDescent="0.25">
      <c r="A11" t="s">
        <v>53</v>
      </c>
      <c r="B11" s="14">
        <v>12</v>
      </c>
      <c r="C11" t="s">
        <v>54</v>
      </c>
      <c r="F11">
        <v>8</v>
      </c>
      <c r="G11" s="18">
        <f t="shared" si="11"/>
        <v>43344</v>
      </c>
      <c r="H11" s="16">
        <f t="shared" si="0"/>
        <v>0</v>
      </c>
      <c r="I11" s="16">
        <f t="shared" si="1"/>
        <v>0</v>
      </c>
      <c r="J11" s="16">
        <f t="shared" si="6"/>
        <v>0</v>
      </c>
      <c r="K11" s="16">
        <f t="shared" si="7"/>
        <v>400158.06357931445</v>
      </c>
      <c r="L11" s="17">
        <f t="shared" si="2"/>
        <v>0</v>
      </c>
      <c r="M11" s="7">
        <f t="shared" si="3"/>
        <v>2155.8453487488969</v>
      </c>
      <c r="N11" s="7">
        <f t="shared" si="4"/>
        <v>4369.7199164341964</v>
      </c>
      <c r="O11" s="7">
        <f t="shared" si="5"/>
        <v>0</v>
      </c>
      <c r="P11" s="7">
        <f t="shared" si="8"/>
        <v>0</v>
      </c>
      <c r="Q11" s="17">
        <f t="shared" si="9"/>
        <v>4369.7199164341964</v>
      </c>
      <c r="R11" s="17">
        <f t="shared" si="10"/>
        <v>-250860.56016713165</v>
      </c>
    </row>
    <row r="12" spans="1:20" x14ac:dyDescent="0.25">
      <c r="A12" t="s">
        <v>104</v>
      </c>
      <c r="B12" s="36">
        <f>K9+-R9</f>
        <v>655457.98746512947</v>
      </c>
      <c r="F12">
        <v>9</v>
      </c>
      <c r="G12" s="18">
        <f t="shared" si="11"/>
        <v>43374</v>
      </c>
      <c r="H12" s="16">
        <f t="shared" si="0"/>
        <v>0</v>
      </c>
      <c r="I12" s="16">
        <f t="shared" si="1"/>
        <v>0</v>
      </c>
      <c r="J12" s="16">
        <f t="shared" si="6"/>
        <v>0</v>
      </c>
      <c r="K12" s="16">
        <f t="shared" si="7"/>
        <v>402325.58642370242</v>
      </c>
      <c r="L12" s="17">
        <f t="shared" si="2"/>
        <v>0</v>
      </c>
      <c r="M12" s="7">
        <f t="shared" si="3"/>
        <v>2167.5228443879532</v>
      </c>
      <c r="N12" s="7">
        <f t="shared" si="4"/>
        <v>4369.7199164341964</v>
      </c>
      <c r="O12" s="7">
        <f t="shared" si="5"/>
        <v>0</v>
      </c>
      <c r="P12" s="7">
        <f t="shared" si="8"/>
        <v>0</v>
      </c>
      <c r="Q12" s="17">
        <f t="shared" si="9"/>
        <v>4369.7199164341964</v>
      </c>
      <c r="R12" s="17">
        <f t="shared" si="10"/>
        <v>-246490.84025069745</v>
      </c>
    </row>
    <row r="13" spans="1:20" x14ac:dyDescent="0.25">
      <c r="A13" t="s">
        <v>55</v>
      </c>
      <c r="B13" s="21">
        <f>LeaseRate*B12/12</f>
        <v>4369.7199164341964</v>
      </c>
      <c r="F13">
        <v>10</v>
      </c>
      <c r="G13" s="18">
        <f t="shared" si="11"/>
        <v>43405</v>
      </c>
      <c r="H13" s="16">
        <f t="shared" si="0"/>
        <v>0</v>
      </c>
      <c r="I13" s="16">
        <f t="shared" si="1"/>
        <v>0</v>
      </c>
      <c r="J13" s="16">
        <f t="shared" si="6"/>
        <v>0</v>
      </c>
      <c r="K13" s="16">
        <f t="shared" si="7"/>
        <v>404504.85001683084</v>
      </c>
      <c r="L13" s="17">
        <f t="shared" si="2"/>
        <v>0</v>
      </c>
      <c r="M13" s="7">
        <f t="shared" si="3"/>
        <v>2179.263593128388</v>
      </c>
      <c r="N13" s="7">
        <f t="shared" si="4"/>
        <v>4369.7199164341964</v>
      </c>
      <c r="O13" s="7">
        <f t="shared" si="5"/>
        <v>0</v>
      </c>
      <c r="P13" s="7">
        <f t="shared" si="8"/>
        <v>0</v>
      </c>
      <c r="Q13" s="17">
        <f t="shared" si="9"/>
        <v>4369.7199164341964</v>
      </c>
      <c r="R13" s="17">
        <f t="shared" si="10"/>
        <v>-242121.12033426325</v>
      </c>
    </row>
    <row r="14" spans="1:20" x14ac:dyDescent="0.25">
      <c r="A14" t="s">
        <v>84</v>
      </c>
      <c r="B14" s="21">
        <f>NetRent*6</f>
        <v>26218.319498605179</v>
      </c>
      <c r="F14">
        <v>11</v>
      </c>
      <c r="G14" s="18">
        <f t="shared" si="11"/>
        <v>43435</v>
      </c>
      <c r="H14" s="16">
        <f t="shared" si="0"/>
        <v>0</v>
      </c>
      <c r="I14" s="16">
        <f t="shared" si="1"/>
        <v>0</v>
      </c>
      <c r="J14" s="16">
        <f t="shared" si="6"/>
        <v>0</v>
      </c>
      <c r="K14" s="16">
        <f t="shared" si="7"/>
        <v>406695.91795442201</v>
      </c>
      <c r="L14" s="17">
        <f t="shared" si="2"/>
        <v>0</v>
      </c>
      <c r="M14" s="7">
        <f t="shared" si="3"/>
        <v>2191.0679375911673</v>
      </c>
      <c r="N14" s="7">
        <f t="shared" si="4"/>
        <v>4369.7199164341964</v>
      </c>
      <c r="O14" s="7">
        <f t="shared" si="5"/>
        <v>0</v>
      </c>
      <c r="P14" s="7">
        <f t="shared" si="8"/>
        <v>0</v>
      </c>
      <c r="Q14" s="17">
        <f t="shared" si="9"/>
        <v>4369.7199164341964</v>
      </c>
      <c r="R14" s="17">
        <f t="shared" si="10"/>
        <v>-237751.40041782905</v>
      </c>
    </row>
    <row r="15" spans="1:20" x14ac:dyDescent="0.25">
      <c r="B15" s="14"/>
      <c r="F15">
        <v>12</v>
      </c>
      <c r="G15" s="18">
        <f t="shared" si="11"/>
        <v>43466</v>
      </c>
      <c r="H15" s="16">
        <f t="shared" si="0"/>
        <v>0</v>
      </c>
      <c r="I15" s="16">
        <f t="shared" si="1"/>
        <v>0</v>
      </c>
      <c r="J15" s="16">
        <f t="shared" si="6"/>
        <v>0</v>
      </c>
      <c r="K15" s="16">
        <f t="shared" si="7"/>
        <v>408898.85417667514</v>
      </c>
      <c r="L15" s="17">
        <f t="shared" si="2"/>
        <v>0</v>
      </c>
      <c r="M15" s="7">
        <f t="shared" si="3"/>
        <v>2202.9362222531195</v>
      </c>
      <c r="N15" s="7">
        <f t="shared" si="4"/>
        <v>4369.7199164341964</v>
      </c>
      <c r="O15" s="7">
        <f t="shared" si="5"/>
        <v>0</v>
      </c>
      <c r="P15" s="7">
        <f t="shared" si="8"/>
        <v>0</v>
      </c>
      <c r="Q15" s="17">
        <f t="shared" si="9"/>
        <v>4369.7199164341964</v>
      </c>
      <c r="R15" s="17">
        <f t="shared" si="10"/>
        <v>-233381.68050139485</v>
      </c>
    </row>
    <row r="16" spans="1:20" x14ac:dyDescent="0.25">
      <c r="A16" t="s">
        <v>56</v>
      </c>
      <c r="B16" s="14"/>
      <c r="F16">
        <v>13</v>
      </c>
      <c r="G16" s="18">
        <f t="shared" si="11"/>
        <v>43497</v>
      </c>
      <c r="H16" s="16">
        <f t="shared" si="0"/>
        <v>0</v>
      </c>
      <c r="I16" s="16">
        <f t="shared" si="1"/>
        <v>0</v>
      </c>
      <c r="J16" s="16">
        <f t="shared" si="6"/>
        <v>0</v>
      </c>
      <c r="K16" s="16">
        <f t="shared" si="7"/>
        <v>411113.72297013213</v>
      </c>
      <c r="L16" s="17">
        <f t="shared" si="2"/>
        <v>0</v>
      </c>
      <c r="M16" s="7">
        <f t="shared" si="3"/>
        <v>2214.8687934569903</v>
      </c>
      <c r="N16" s="7">
        <f t="shared" si="4"/>
        <v>4369.7199164341964</v>
      </c>
      <c r="O16" s="7">
        <f t="shared" si="5"/>
        <v>0</v>
      </c>
      <c r="P16" s="7">
        <f t="shared" si="8"/>
        <v>0</v>
      </c>
      <c r="Q16" s="17">
        <f t="shared" si="9"/>
        <v>4369.7199164341964</v>
      </c>
      <c r="R16" s="17">
        <f t="shared" si="10"/>
        <v>-229011.96058496065</v>
      </c>
    </row>
    <row r="17" spans="1:18" x14ac:dyDescent="0.25">
      <c r="A17" t="s">
        <v>57</v>
      </c>
      <c r="B17" s="19">
        <v>0.6</v>
      </c>
      <c r="F17">
        <v>14</v>
      </c>
      <c r="G17" s="18">
        <f t="shared" si="11"/>
        <v>43525</v>
      </c>
      <c r="H17" s="16">
        <f t="shared" si="0"/>
        <v>0</v>
      </c>
      <c r="I17" s="16">
        <f t="shared" si="1"/>
        <v>0</v>
      </c>
      <c r="J17" s="16">
        <f t="shared" si="6"/>
        <v>0</v>
      </c>
      <c r="K17" s="16">
        <f t="shared" si="7"/>
        <v>413340.5889695537</v>
      </c>
      <c r="L17" s="17">
        <f t="shared" si="2"/>
        <v>0</v>
      </c>
      <c r="M17" s="7">
        <f t="shared" si="3"/>
        <v>2226.8659994215491</v>
      </c>
      <c r="N17" s="7">
        <f t="shared" si="4"/>
        <v>4369.7199164341964</v>
      </c>
      <c r="O17" s="7">
        <f t="shared" si="5"/>
        <v>0</v>
      </c>
      <c r="P17" s="7">
        <f t="shared" si="8"/>
        <v>0</v>
      </c>
      <c r="Q17" s="17">
        <f t="shared" si="9"/>
        <v>4369.7199164341964</v>
      </c>
      <c r="R17" s="17">
        <f t="shared" si="10"/>
        <v>-224642.24066852644</v>
      </c>
    </row>
    <row r="18" spans="1:18" x14ac:dyDescent="0.25">
      <c r="A18" t="s">
        <v>58</v>
      </c>
      <c r="B18" s="22">
        <v>6.5000000000000002E-2</v>
      </c>
      <c r="F18">
        <v>15</v>
      </c>
      <c r="G18" s="18">
        <f t="shared" si="11"/>
        <v>43556</v>
      </c>
      <c r="H18" s="16">
        <f t="shared" si="0"/>
        <v>0</v>
      </c>
      <c r="I18" s="16">
        <f t="shared" si="1"/>
        <v>0</v>
      </c>
      <c r="J18" s="16">
        <f t="shared" si="6"/>
        <v>0</v>
      </c>
      <c r="K18" s="16">
        <f t="shared" si="7"/>
        <v>415579.51715980546</v>
      </c>
      <c r="L18" s="17">
        <f t="shared" si="2"/>
        <v>0</v>
      </c>
      <c r="M18" s="7">
        <f t="shared" si="3"/>
        <v>2238.9281902517491</v>
      </c>
      <c r="N18" s="7">
        <f t="shared" si="4"/>
        <v>4369.7199164341964</v>
      </c>
      <c r="O18" s="7">
        <f t="shared" si="5"/>
        <v>0</v>
      </c>
      <c r="P18" s="7">
        <f t="shared" si="8"/>
        <v>0</v>
      </c>
      <c r="Q18" s="17">
        <f t="shared" si="9"/>
        <v>4369.7199164341964</v>
      </c>
      <c r="R18" s="17">
        <f t="shared" si="10"/>
        <v>-220272.52075209224</v>
      </c>
    </row>
    <row r="19" spans="1:18" x14ac:dyDescent="0.25">
      <c r="F19">
        <v>16</v>
      </c>
      <c r="G19" s="18">
        <f t="shared" si="11"/>
        <v>43586</v>
      </c>
      <c r="H19" s="16">
        <f t="shared" si="0"/>
        <v>0</v>
      </c>
      <c r="I19" s="16">
        <f t="shared" si="1"/>
        <v>0</v>
      </c>
      <c r="J19" s="16">
        <f t="shared" si="6"/>
        <v>0</v>
      </c>
      <c r="K19" s="16">
        <f t="shared" si="7"/>
        <v>417830.5728777544</v>
      </c>
      <c r="L19" s="17">
        <f t="shared" si="2"/>
        <v>0</v>
      </c>
      <c r="M19" s="7">
        <f t="shared" si="3"/>
        <v>2251.0557179489465</v>
      </c>
      <c r="N19" s="7">
        <f t="shared" si="4"/>
        <v>4369.7199164341964</v>
      </c>
      <c r="O19" s="7">
        <f t="shared" si="5"/>
        <v>0</v>
      </c>
      <c r="P19" s="7">
        <f t="shared" si="8"/>
        <v>0</v>
      </c>
      <c r="Q19" s="17">
        <f t="shared" si="9"/>
        <v>4369.7199164341964</v>
      </c>
      <c r="R19" s="17">
        <f t="shared" si="10"/>
        <v>-215902.80083565804</v>
      </c>
    </row>
    <row r="20" spans="1:18" x14ac:dyDescent="0.25">
      <c r="A20" t="s">
        <v>59</v>
      </c>
      <c r="B20">
        <v>3</v>
      </c>
      <c r="C20" t="s">
        <v>54</v>
      </c>
      <c r="F20">
        <v>17</v>
      </c>
      <c r="G20" s="18">
        <f t="shared" si="11"/>
        <v>43617</v>
      </c>
      <c r="H20" s="16">
        <f t="shared" si="0"/>
        <v>0</v>
      </c>
      <c r="I20" s="16">
        <f t="shared" si="1"/>
        <v>0</v>
      </c>
      <c r="J20" s="16">
        <f t="shared" si="6"/>
        <v>0</v>
      </c>
      <c r="K20" s="16">
        <f t="shared" si="7"/>
        <v>420093.82181417558</v>
      </c>
      <c r="L20" s="17">
        <f t="shared" si="2"/>
        <v>0</v>
      </c>
      <c r="M20" s="7">
        <f t="shared" si="3"/>
        <v>2263.2489364211697</v>
      </c>
      <c r="N20" s="7">
        <f t="shared" si="4"/>
        <v>4369.7199164341964</v>
      </c>
      <c r="O20" s="7">
        <f t="shared" si="5"/>
        <v>0</v>
      </c>
      <c r="P20" s="7">
        <f t="shared" si="8"/>
        <v>0</v>
      </c>
      <c r="Q20" s="17">
        <f t="shared" si="9"/>
        <v>4369.7199164341964</v>
      </c>
      <c r="R20" s="17">
        <f t="shared" si="10"/>
        <v>-211533.08091922384</v>
      </c>
    </row>
    <row r="21" spans="1:18" x14ac:dyDescent="0.25">
      <c r="A21" t="s">
        <v>60</v>
      </c>
      <c r="B21">
        <f>BuildMonths+LeaseTerm+B20</f>
        <v>21</v>
      </c>
      <c r="F21">
        <v>18</v>
      </c>
      <c r="G21" s="18">
        <f t="shared" si="11"/>
        <v>43647</v>
      </c>
      <c r="H21" s="16">
        <f t="shared" si="0"/>
        <v>0</v>
      </c>
      <c r="I21" s="16">
        <f t="shared" si="1"/>
        <v>0</v>
      </c>
      <c r="J21" s="16">
        <f t="shared" si="6"/>
        <v>0</v>
      </c>
      <c r="K21" s="16">
        <f t="shared" si="7"/>
        <v>422369.33001566905</v>
      </c>
      <c r="L21" s="17">
        <f t="shared" si="2"/>
        <v>0</v>
      </c>
      <c r="M21" s="7">
        <f t="shared" si="3"/>
        <v>2275.508201493451</v>
      </c>
      <c r="N21" s="7">
        <f t="shared" si="4"/>
        <v>4369.7199164341964</v>
      </c>
      <c r="O21" s="7">
        <f t="shared" si="5"/>
        <v>0</v>
      </c>
      <c r="P21" s="7">
        <f t="shared" si="8"/>
        <v>0</v>
      </c>
      <c r="Q21" s="17">
        <f t="shared" si="9"/>
        <v>4369.7199164341964</v>
      </c>
      <c r="R21" s="17">
        <f t="shared" si="10"/>
        <v>-207163.36100278964</v>
      </c>
    </row>
    <row r="22" spans="1:18" ht="15.75" thickBot="1" x14ac:dyDescent="0.3">
      <c r="F22">
        <v>19</v>
      </c>
      <c r="G22" s="18">
        <f t="shared" si="11"/>
        <v>43678</v>
      </c>
      <c r="H22" s="16">
        <f t="shared" si="0"/>
        <v>0</v>
      </c>
      <c r="I22" s="16">
        <f t="shared" si="1"/>
        <v>0</v>
      </c>
      <c r="J22" s="16">
        <f t="shared" si="6"/>
        <v>0</v>
      </c>
      <c r="K22" s="16">
        <f t="shared" si="7"/>
        <v>424657.16388658725</v>
      </c>
      <c r="L22" s="17">
        <f t="shared" si="2"/>
        <v>0</v>
      </c>
      <c r="M22" s="7">
        <f t="shared" si="3"/>
        <v>2287.8338709182076</v>
      </c>
      <c r="N22" s="7">
        <f t="shared" si="4"/>
        <v>4369.7199164341964</v>
      </c>
      <c r="O22" s="7">
        <f t="shared" si="5"/>
        <v>0</v>
      </c>
      <c r="P22" s="7">
        <f t="shared" si="8"/>
        <v>0</v>
      </c>
      <c r="Q22" s="17">
        <f t="shared" si="9"/>
        <v>4369.7199164341964</v>
      </c>
      <c r="R22" s="17">
        <f t="shared" si="10"/>
        <v>-202793.64108635543</v>
      </c>
    </row>
    <row r="23" spans="1:18" x14ac:dyDescent="0.25">
      <c r="A23" s="23" t="s">
        <v>61</v>
      </c>
      <c r="B23" s="24">
        <f>XIRR(Q3:Q25,G3:G25)</f>
        <v>0.83172565698623657</v>
      </c>
      <c r="F23">
        <v>20</v>
      </c>
      <c r="G23" s="18">
        <f t="shared" si="11"/>
        <v>43709</v>
      </c>
      <c r="H23" s="16">
        <f t="shared" si="0"/>
        <v>0</v>
      </c>
      <c r="I23" s="16">
        <f t="shared" si="1"/>
        <v>0</v>
      </c>
      <c r="J23" s="16">
        <f t="shared" si="6"/>
        <v>0</v>
      </c>
      <c r="K23" s="16">
        <f t="shared" si="7"/>
        <v>426957.39019097295</v>
      </c>
      <c r="L23" s="17">
        <f t="shared" si="2"/>
        <v>0</v>
      </c>
      <c r="M23" s="7">
        <f t="shared" si="3"/>
        <v>2300.226304385681</v>
      </c>
      <c r="N23" s="7">
        <f t="shared" si="4"/>
        <v>4369.7199164341964</v>
      </c>
      <c r="O23" s="7">
        <f t="shared" si="5"/>
        <v>0</v>
      </c>
      <c r="P23" s="7">
        <f t="shared" si="8"/>
        <v>0</v>
      </c>
      <c r="Q23" s="17">
        <f t="shared" si="9"/>
        <v>4369.7199164341964</v>
      </c>
      <c r="R23" s="17">
        <f t="shared" si="10"/>
        <v>-198423.92116992123</v>
      </c>
    </row>
    <row r="24" spans="1:18" x14ac:dyDescent="0.25">
      <c r="A24" s="25" t="s">
        <v>62</v>
      </c>
      <c r="B24" s="26">
        <f>MIN(R2:R25)</f>
        <v>-259600.00000000006</v>
      </c>
      <c r="F24">
        <v>21</v>
      </c>
      <c r="G24" s="18">
        <f t="shared" si="11"/>
        <v>43739</v>
      </c>
      <c r="H24" s="16">
        <f t="shared" si="0"/>
        <v>0</v>
      </c>
      <c r="I24" s="16">
        <f t="shared" si="1"/>
        <v>0</v>
      </c>
      <c r="J24" s="16">
        <f t="shared" si="6"/>
        <v>0</v>
      </c>
      <c r="K24" s="16">
        <f t="shared" si="7"/>
        <v>0</v>
      </c>
      <c r="L24" s="17">
        <f t="shared" si="2"/>
        <v>0</v>
      </c>
      <c r="M24" s="7">
        <f t="shared" si="3"/>
        <v>2312.685863534437</v>
      </c>
      <c r="N24" s="7">
        <f t="shared" si="4"/>
        <v>4369.7199164341964</v>
      </c>
      <c r="O24" s="7">
        <f t="shared" si="5"/>
        <v>981900</v>
      </c>
      <c r="P24" s="7">
        <f t="shared" si="8"/>
        <v>429270.0760545074</v>
      </c>
      <c r="Q24" s="17">
        <f t="shared" si="9"/>
        <v>556999.64386192674</v>
      </c>
      <c r="R24" s="17">
        <f t="shared" si="10"/>
        <v>358575.72269200551</v>
      </c>
    </row>
    <row r="25" spans="1:18" x14ac:dyDescent="0.25">
      <c r="A25" s="25" t="s">
        <v>63</v>
      </c>
      <c r="B25" s="27">
        <f>SUM(Q3:Q25)</f>
        <v>358575.72269200551</v>
      </c>
      <c r="F25">
        <v>22</v>
      </c>
      <c r="G25" s="18">
        <f t="shared" si="11"/>
        <v>43770</v>
      </c>
      <c r="H25" s="16">
        <f t="shared" si="0"/>
        <v>0</v>
      </c>
      <c r="I25" s="16">
        <f t="shared" si="1"/>
        <v>0</v>
      </c>
      <c r="J25" s="16">
        <f t="shared" si="6"/>
        <v>0</v>
      </c>
      <c r="K25" s="16">
        <f t="shared" si="7"/>
        <v>0</v>
      </c>
      <c r="L25" s="17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17">
        <f t="shared" si="9"/>
        <v>0</v>
      </c>
      <c r="R25" s="17">
        <f t="shared" si="10"/>
        <v>358575.72269200551</v>
      </c>
    </row>
    <row r="26" spans="1:18" ht="15.75" thickBot="1" x14ac:dyDescent="0.3">
      <c r="A26" s="28" t="s">
        <v>102</v>
      </c>
      <c r="B26" s="29">
        <f>-B25/B24</f>
        <v>1.3812624140678176</v>
      </c>
    </row>
  </sheetData>
  <pageMargins left="0.7" right="0.7" top="0.75" bottom="0.75" header="0.3" footer="0.3"/>
  <pageSetup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GJ Gardner Portfolio</vt:lpstr>
      <vt:lpstr>texas grand ranch</vt:lpstr>
      <vt:lpstr>waterfall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'texas grand ranch'!Print_Area</vt:lpstr>
      <vt:lpstr>waterfall!Print_Area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Erb, Jason</dc:creator>
  <cp:lastModifiedBy>Andy Rudenstein</cp:lastModifiedBy>
  <dcterms:created xsi:type="dcterms:W3CDTF">2017-11-10T01:58:15Z</dcterms:created>
  <dcterms:modified xsi:type="dcterms:W3CDTF">2017-11-30T15:32:10Z</dcterms:modified>
</cp:coreProperties>
</file>