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x\Desktop\CB_React\"/>
    </mc:Choice>
  </mc:AlternateContent>
  <bookViews>
    <workbookView xWindow="0" yWindow="0" windowWidth="26850" windowHeight="10905" activeTab="1" xr2:uid="{59FD5CA5-D74D-46A7-8C2D-6CA84104357C}"/>
  </bookViews>
  <sheets>
    <sheet name="Sheet1" sheetId="1" r:id="rId1"/>
    <sheet name="Sheet2" sheetId="2" r:id="rId2"/>
  </sheets>
  <definedNames>
    <definedName name="BuildMonths">Sheet2!$B$6</definedName>
    <definedName name="GardnerCost">Sheet2!$B$5</definedName>
    <definedName name="IntRate">Sheet2!$B$18</definedName>
    <definedName name="LandCost">Sheet2!$B$2</definedName>
    <definedName name="LeaseRate">Sheet2!$B$10</definedName>
    <definedName name="LeaseTerm">Sheet2!$B$11</definedName>
    <definedName name="Leverage">Sheet2!$B$17</definedName>
    <definedName name="NetRent">Sheet2!$B$13</definedName>
    <definedName name="NormalCost">Sheet2!$B$4</definedName>
    <definedName name="SaleMonth">Sheet2!$B$21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5" i="2" l="1"/>
  <c r="N25" i="2"/>
  <c r="I25" i="2"/>
  <c r="H25" i="2"/>
  <c r="J25" i="2" s="1"/>
  <c r="G25" i="2"/>
  <c r="I24" i="2"/>
  <c r="J24" i="2" s="1"/>
  <c r="H24" i="2"/>
  <c r="G24" i="2"/>
  <c r="I23" i="2"/>
  <c r="H23" i="2"/>
  <c r="J23" i="2" s="1"/>
  <c r="G23" i="2"/>
  <c r="O22" i="2"/>
  <c r="I22" i="2"/>
  <c r="H22" i="2"/>
  <c r="J22" i="2" s="1"/>
  <c r="G22" i="2"/>
  <c r="O21" i="2"/>
  <c r="I21" i="2"/>
  <c r="J21" i="2" s="1"/>
  <c r="H21" i="2"/>
  <c r="G21" i="2"/>
  <c r="B21" i="2"/>
  <c r="O20" i="2"/>
  <c r="L20" i="2"/>
  <c r="J20" i="2"/>
  <c r="I20" i="2"/>
  <c r="H20" i="2"/>
  <c r="G20" i="2"/>
  <c r="O19" i="2"/>
  <c r="J19" i="2"/>
  <c r="L19" i="2" s="1"/>
  <c r="I19" i="2"/>
  <c r="H19" i="2"/>
  <c r="G19" i="2"/>
  <c r="O18" i="2"/>
  <c r="L18" i="2"/>
  <c r="J18" i="2"/>
  <c r="I18" i="2"/>
  <c r="H18" i="2"/>
  <c r="G18" i="2"/>
  <c r="O17" i="2"/>
  <c r="J17" i="2"/>
  <c r="L17" i="2" s="1"/>
  <c r="I17" i="2"/>
  <c r="H17" i="2"/>
  <c r="G17" i="2"/>
  <c r="O16" i="2"/>
  <c r="L16" i="2"/>
  <c r="J16" i="2"/>
  <c r="I16" i="2"/>
  <c r="H16" i="2"/>
  <c r="G16" i="2"/>
  <c r="O15" i="2"/>
  <c r="J15" i="2"/>
  <c r="L15" i="2" s="1"/>
  <c r="I15" i="2"/>
  <c r="H15" i="2"/>
  <c r="G15" i="2"/>
  <c r="O14" i="2"/>
  <c r="L14" i="2"/>
  <c r="J14" i="2"/>
  <c r="I14" i="2"/>
  <c r="H14" i="2"/>
  <c r="G14" i="2"/>
  <c r="O13" i="2"/>
  <c r="I13" i="2"/>
  <c r="J13" i="2" s="1"/>
  <c r="H13" i="2"/>
  <c r="G13" i="2"/>
  <c r="O12" i="2"/>
  <c r="I12" i="2"/>
  <c r="H12" i="2"/>
  <c r="J12" i="2" s="1"/>
  <c r="G12" i="2"/>
  <c r="O11" i="2"/>
  <c r="I11" i="2"/>
  <c r="J11" i="2" s="1"/>
  <c r="H11" i="2"/>
  <c r="G11" i="2"/>
  <c r="O10" i="2"/>
  <c r="I10" i="2"/>
  <c r="J10" i="2" s="1"/>
  <c r="H10" i="2"/>
  <c r="G10" i="2"/>
  <c r="O9" i="2"/>
  <c r="N9" i="2"/>
  <c r="I9" i="2"/>
  <c r="J9" i="2" s="1"/>
  <c r="H9" i="2"/>
  <c r="G9" i="2"/>
  <c r="O8" i="2"/>
  <c r="N8" i="2"/>
  <c r="I8" i="2"/>
  <c r="J8" i="2" s="1"/>
  <c r="H8" i="2"/>
  <c r="G8" i="2"/>
  <c r="O7" i="2"/>
  <c r="N7" i="2"/>
  <c r="L7" i="2"/>
  <c r="J7" i="2"/>
  <c r="I7" i="2"/>
  <c r="H7" i="2"/>
  <c r="G7" i="2"/>
  <c r="B7" i="2"/>
  <c r="B8" i="2" s="1"/>
  <c r="O24" i="2" s="1"/>
  <c r="O6" i="2"/>
  <c r="N6" i="2"/>
  <c r="I6" i="2"/>
  <c r="J6" i="2" s="1"/>
  <c r="H6" i="2"/>
  <c r="G6" i="2"/>
  <c r="O5" i="2"/>
  <c r="N5" i="2"/>
  <c r="I5" i="2"/>
  <c r="H5" i="2"/>
  <c r="J5" i="2" s="1"/>
  <c r="G5" i="2"/>
  <c r="C5" i="2"/>
  <c r="O4" i="2"/>
  <c r="N4" i="2"/>
  <c r="L4" i="2"/>
  <c r="J4" i="2"/>
  <c r="I4" i="2"/>
  <c r="H4" i="2"/>
  <c r="G4" i="2"/>
  <c r="P3" i="2"/>
  <c r="O3" i="2"/>
  <c r="N3" i="2"/>
  <c r="M3" i="2"/>
  <c r="I3" i="2"/>
  <c r="H3" i="2"/>
  <c r="J3" i="2" s="1"/>
  <c r="B3" i="2"/>
  <c r="L6" i="2" l="1"/>
  <c r="L9" i="2"/>
  <c r="L24" i="2"/>
  <c r="L11" i="2"/>
  <c r="L3" i="2"/>
  <c r="K3" i="2" s="1"/>
  <c r="Q3" i="2"/>
  <c r="L25" i="2"/>
  <c r="L5" i="2"/>
  <c r="L8" i="2"/>
  <c r="L22" i="2"/>
  <c r="L23" i="2"/>
  <c r="L13" i="2"/>
  <c r="L12" i="2"/>
  <c r="L10" i="2"/>
  <c r="L21" i="2"/>
  <c r="O23" i="2"/>
  <c r="R3" i="2" l="1"/>
  <c r="M4" i="2"/>
  <c r="P4" i="2" s="1"/>
  <c r="Q4" i="2" s="1"/>
  <c r="R4" i="2" l="1"/>
  <c r="K4" i="2"/>
  <c r="M5" i="2" l="1"/>
  <c r="P5" i="2" l="1"/>
  <c r="Q5" i="2" s="1"/>
  <c r="R5" i="2" l="1"/>
  <c r="K5" i="2"/>
  <c r="M6" i="2" l="1"/>
  <c r="P6" i="2" s="1"/>
  <c r="Q6" i="2" l="1"/>
  <c r="K6" i="2"/>
  <c r="M7" i="2" l="1"/>
  <c r="R6" i="2"/>
  <c r="P7" i="2" l="1"/>
  <c r="Q7" i="2" s="1"/>
  <c r="R7" i="2" l="1"/>
  <c r="K7" i="2"/>
  <c r="M8" i="2" l="1"/>
  <c r="K8" i="2" s="1"/>
  <c r="P8" i="2"/>
  <c r="Q8" i="2" s="1"/>
  <c r="R8" i="2" s="1"/>
  <c r="M9" i="2" l="1"/>
  <c r="P9" i="2" s="1"/>
  <c r="Q9" i="2" s="1"/>
  <c r="R9" i="2" s="1"/>
  <c r="K9" i="2" l="1"/>
  <c r="M10" i="2" l="1"/>
  <c r="P10" i="2"/>
  <c r="K10" i="2" s="1"/>
  <c r="B12" i="2"/>
  <c r="B13" i="2" s="1"/>
  <c r="M11" i="2" l="1"/>
  <c r="P11" i="2"/>
  <c r="K11" i="2"/>
  <c r="N10" i="2"/>
  <c r="Q10" i="2" s="1"/>
  <c r="R10" i="2" s="1"/>
  <c r="N19" i="2"/>
  <c r="N17" i="2"/>
  <c r="N15" i="2"/>
  <c r="B14" i="2"/>
  <c r="N24" i="2"/>
  <c r="N13" i="2"/>
  <c r="N22" i="2"/>
  <c r="N11" i="2"/>
  <c r="Q11" i="2" s="1"/>
  <c r="N20" i="2"/>
  <c r="N18" i="2"/>
  <c r="N16" i="2"/>
  <c r="N14" i="2"/>
  <c r="N12" i="2"/>
  <c r="N23" i="2"/>
  <c r="N21" i="2"/>
  <c r="R11" i="2" l="1"/>
  <c r="M12" i="2"/>
  <c r="P12" i="2"/>
  <c r="K12" i="2"/>
  <c r="Q12" i="2"/>
  <c r="R12" i="2" l="1"/>
  <c r="M13" i="2"/>
  <c r="P13" i="2" s="1"/>
  <c r="Q13" i="2" s="1"/>
  <c r="K13" i="2" l="1"/>
  <c r="R13" i="2"/>
  <c r="M14" i="2" l="1"/>
  <c r="P14" i="2" s="1"/>
  <c r="Q14" i="2" s="1"/>
  <c r="R14" i="2" s="1"/>
  <c r="K14" i="2" l="1"/>
  <c r="M15" i="2" l="1"/>
  <c r="K15" i="2" s="1"/>
  <c r="P15" i="2"/>
  <c r="Q15" i="2" s="1"/>
  <c r="R15" i="2" s="1"/>
  <c r="M16" i="2" l="1"/>
  <c r="P16" i="2" l="1"/>
  <c r="Q16" i="2" s="1"/>
  <c r="R16" i="2" s="1"/>
  <c r="K16" i="2" l="1"/>
  <c r="M17" i="2" l="1"/>
  <c r="K17" i="2" s="1"/>
  <c r="P17" i="2"/>
  <c r="Q17" i="2" s="1"/>
  <c r="R17" i="2" s="1"/>
  <c r="M18" i="2" l="1"/>
  <c r="P18" i="2" l="1"/>
  <c r="Q18" i="2" s="1"/>
  <c r="R18" i="2" s="1"/>
  <c r="K18" i="2" l="1"/>
  <c r="M19" i="2" l="1"/>
  <c r="P19" i="2"/>
  <c r="Q19" i="2" s="1"/>
  <c r="R19" i="2" s="1"/>
  <c r="K19" i="2" l="1"/>
  <c r="M20" i="2" l="1"/>
  <c r="P20" i="2" l="1"/>
  <c r="Q20" i="2" s="1"/>
  <c r="R20" i="2" s="1"/>
  <c r="K20" i="2" l="1"/>
  <c r="M21" i="2" l="1"/>
  <c r="P21" i="2"/>
  <c r="Q21" i="2" s="1"/>
  <c r="R21" i="2" s="1"/>
  <c r="K21" i="2" l="1"/>
  <c r="M22" i="2" l="1"/>
  <c r="P22" i="2" s="1"/>
  <c r="Q22" i="2" s="1"/>
  <c r="R22" i="2" s="1"/>
  <c r="K22" i="2" l="1"/>
  <c r="M23" i="2" l="1"/>
  <c r="P23" i="2"/>
  <c r="Q23" i="2" s="1"/>
  <c r="R23" i="2" s="1"/>
  <c r="K23" i="2" l="1"/>
  <c r="M24" i="2" l="1"/>
  <c r="P24" i="2" s="1"/>
  <c r="Q24" i="2" l="1"/>
  <c r="R24" i="2" s="1"/>
  <c r="K24" i="2"/>
  <c r="M25" i="2" l="1"/>
  <c r="P25" i="2" l="1"/>
  <c r="Q25" i="2" s="1"/>
  <c r="B25" i="2" l="1"/>
  <c r="B23" i="2"/>
  <c r="R25" i="2"/>
  <c r="B24" i="2" s="1"/>
  <c r="K25" i="2"/>
  <c r="B26" i="2" l="1"/>
</calcChain>
</file>

<file path=xl/sharedStrings.xml><?xml version="1.0" encoding="utf-8"?>
<sst xmlns="http://schemas.openxmlformats.org/spreadsheetml/2006/main" count="42" uniqueCount="41">
  <si>
    <t>Property Name</t>
  </si>
  <si>
    <t>444 777 Diggy Town Dr.</t>
  </si>
  <si>
    <t>Model Home Financing</t>
  </si>
  <si>
    <t>Period</t>
  </si>
  <si>
    <t>Date</t>
  </si>
  <si>
    <t>Land Costs</t>
  </si>
  <si>
    <t>Gardner Cost to Build</t>
  </si>
  <si>
    <t>Total Costs</t>
  </si>
  <si>
    <t>Financing Balance</t>
  </si>
  <si>
    <t>Financing</t>
  </si>
  <si>
    <t>Financing Costs</t>
  </si>
  <si>
    <t>Lease Revenue</t>
  </si>
  <si>
    <t>Sales proceeds</t>
  </si>
  <si>
    <t>Repay Financing</t>
  </si>
  <si>
    <t>Investor Flows</t>
  </si>
  <si>
    <t>Cumulative Cash</t>
  </si>
  <si>
    <t>Land Acquistion Cost</t>
  </si>
  <si>
    <t>Land Value</t>
  </si>
  <si>
    <t>Deiivered Cost for Model Home</t>
  </si>
  <si>
    <t xml:space="preserve"> Build cost to GJ Gardner Builder</t>
  </si>
  <si>
    <t>extra profit to GJG Builder</t>
  </si>
  <si>
    <t># of months to build</t>
  </si>
  <si>
    <t>Total Build Value</t>
  </si>
  <si>
    <t>profit on Normal Build</t>
  </si>
  <si>
    <t>Build Value + Land Value</t>
  </si>
  <si>
    <t xml:space="preserve"> </t>
  </si>
  <si>
    <t>Net lease Rental Rate</t>
  </si>
  <si>
    <t>Lease Term</t>
  </si>
  <si>
    <t>months</t>
  </si>
  <si>
    <t>Total Cost of Model to REIT</t>
  </si>
  <si>
    <t>Monthly Net Rent</t>
  </si>
  <si>
    <t>Reserve expected</t>
  </si>
  <si>
    <t>Financing Assumptions</t>
  </si>
  <si>
    <t>Construction Leverage</t>
  </si>
  <si>
    <t>Interest Rate</t>
  </si>
  <si>
    <t>Sales Downtime</t>
  </si>
  <si>
    <t>Sale Month</t>
  </si>
  <si>
    <t>IRR</t>
  </si>
  <si>
    <t>Worst Cash position</t>
  </si>
  <si>
    <t>Total Return</t>
  </si>
  <si>
    <t>Implied Mutliple on Equity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</si>
</sst>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\ \X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3" fontId="3" fillId="0" borderId="0" xfId="0" applyNumberFormat="1" applyFont="1"/>
    <xf numFmtId="14" fontId="3" fillId="0" borderId="0" xfId="0" applyNumberFormat="1" applyFont="1"/>
    <xf numFmtId="164" fontId="0" fillId="0" borderId="0" xfId="1" quotePrefix="1" applyNumberFormat="1" applyFont="1"/>
    <xf numFmtId="164" fontId="0" fillId="0" borderId="0" xfId="0" applyNumberFormat="1"/>
    <xf numFmtId="164" fontId="0" fillId="0" borderId="0" xfId="1" applyNumberFormat="1" applyFont="1"/>
    <xf numFmtId="14" fontId="4" fillId="0" borderId="0" xfId="0" applyNumberFormat="1" applyFont="1"/>
    <xf numFmtId="9" fontId="4" fillId="0" borderId="0" xfId="0" applyNumberFormat="1" applyFont="1"/>
    <xf numFmtId="0" fontId="3" fillId="0" borderId="0" xfId="0" applyFont="1"/>
    <xf numFmtId="164" fontId="4" fillId="0" borderId="0" xfId="1" applyNumberFormat="1" applyFont="1"/>
    <xf numFmtId="9" fontId="3" fillId="0" borderId="0" xfId="2" applyFont="1"/>
    <xf numFmtId="164" fontId="3" fillId="0" borderId="0" xfId="1" applyNumberFormat="1" applyFont="1"/>
    <xf numFmtId="9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0" fillId="0" borderId="1" xfId="0" applyBorder="1"/>
    <xf numFmtId="9" fontId="2" fillId="0" borderId="2" xfId="2" applyFont="1" applyBorder="1" applyAlignment="1">
      <alignment wrapText="1"/>
    </xf>
    <xf numFmtId="0" fontId="0" fillId="0" borderId="3" xfId="0" applyBorder="1"/>
    <xf numFmtId="164" fontId="2" fillId="0" borderId="4" xfId="1" applyNumberFormat="1" applyFont="1" applyBorder="1"/>
    <xf numFmtId="164" fontId="2" fillId="0" borderId="4" xfId="0" applyNumberFormat="1" applyFont="1" applyBorder="1"/>
    <xf numFmtId="0" fontId="0" fillId="0" borderId="5" xfId="0" applyBorder="1"/>
    <xf numFmtId="166" fontId="2" fillId="0" borderId="6" xfId="0" applyNumberFormat="1" applyFont="1" applyBorder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65745-20A9-4519-9FD4-D23621278FC5}">
  <dimension ref="A1:A2"/>
  <sheetViews>
    <sheetView workbookViewId="0"/>
  </sheetViews>
  <sheetFormatPr defaultRowHeight="15" x14ac:dyDescent="0.25"/>
  <cols>
    <col min="1" max="1" width="21.425781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4D325-8F8A-4C27-89A1-FED86691F931}">
  <dimension ref="A1:R26"/>
  <sheetViews>
    <sheetView tabSelected="1" workbookViewId="0">
      <selection activeCell="A28" sqref="A28"/>
    </sheetView>
  </sheetViews>
  <sheetFormatPr defaultRowHeight="15" x14ac:dyDescent="0.25"/>
  <cols>
    <col min="1" max="1" width="45.7109375" customWidth="1"/>
    <col min="2" max="2" width="9.7109375" bestFit="1" customWidth="1"/>
    <col min="3" max="3" width="7.7109375" bestFit="1" customWidth="1"/>
    <col min="7" max="7" width="9.7109375" bestFit="1" customWidth="1"/>
    <col min="9" max="10" width="9.7109375" bestFit="1" customWidth="1"/>
    <col min="18" max="18" width="9.7109375" bestFit="1" customWidth="1"/>
  </cols>
  <sheetData>
    <row r="1" spans="1:18" ht="45" x14ac:dyDescent="0.25">
      <c r="A1" s="1" t="s">
        <v>2</v>
      </c>
      <c r="B1" s="2"/>
      <c r="C1" s="2"/>
      <c r="D1" s="2"/>
      <c r="E1" s="2"/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5">
      <c r="A2" t="s">
        <v>16</v>
      </c>
      <c r="B2" s="3">
        <v>99000</v>
      </c>
      <c r="K2">
        <v>0</v>
      </c>
      <c r="O2" s="2"/>
      <c r="P2" s="2"/>
      <c r="R2">
        <v>0</v>
      </c>
    </row>
    <row r="3" spans="1:18" x14ac:dyDescent="0.25">
      <c r="A3" t="s">
        <v>17</v>
      </c>
      <c r="B3" s="3">
        <f>LandCost*1.1</f>
        <v>108900.00000000001</v>
      </c>
      <c r="F3">
        <v>0</v>
      </c>
      <c r="G3" s="4">
        <v>43101</v>
      </c>
      <c r="H3" s="5">
        <f t="shared" ref="H3:H25" si="0">IF(F3=0,-LandCost,0)</f>
        <v>-99000</v>
      </c>
      <c r="I3" s="5">
        <f t="shared" ref="I3:I25" si="1">IF(F3=0,0,IF(F3&lt;=BuildMonths,-NormalCost/BuildMonths,0))</f>
        <v>0</v>
      </c>
      <c r="J3" s="5">
        <f>SUM(H3:I3)</f>
        <v>-99000</v>
      </c>
      <c r="K3" s="5">
        <f>K2+L3+M3-P3</f>
        <v>59400</v>
      </c>
      <c r="L3" s="6">
        <f t="shared" ref="L3:L25" si="2">Leverage*-J3</f>
        <v>59400</v>
      </c>
      <c r="M3" s="7">
        <f t="shared" ref="M3:M25" si="3">K2*IntRate/12</f>
        <v>0</v>
      </c>
      <c r="N3" s="7">
        <f t="shared" ref="N3:N25" si="4">IF(F3&gt;SaleMonth,0,IF(F3&gt;BuildMonths,NetRent,0))</f>
        <v>0</v>
      </c>
      <c r="O3" s="7">
        <f t="shared" ref="O3:O25" si="5">IF(F3=$B$21,$B$8,0)</f>
        <v>0</v>
      </c>
      <c r="P3" s="7">
        <f>MIN(O3,K2+M3)</f>
        <v>0</v>
      </c>
      <c r="Q3" s="6">
        <f>J3+L3+N3+O3-P3</f>
        <v>-39600</v>
      </c>
      <c r="R3" s="6">
        <f>R2+Q3</f>
        <v>-39600</v>
      </c>
    </row>
    <row r="4" spans="1:18" x14ac:dyDescent="0.25">
      <c r="A4" t="s">
        <v>18</v>
      </c>
      <c r="B4" s="3">
        <v>627731.28</v>
      </c>
      <c r="F4">
        <v>1</v>
      </c>
      <c r="G4" s="8">
        <f>EDATE($G$3,F4)</f>
        <v>43132</v>
      </c>
      <c r="H4" s="5">
        <f t="shared" si="0"/>
        <v>0</v>
      </c>
      <c r="I4" s="5">
        <f t="shared" si="1"/>
        <v>-104621.88</v>
      </c>
      <c r="J4" s="5">
        <f t="shared" ref="J4:J25" si="6">SUM(H4:I4)</f>
        <v>-104621.88</v>
      </c>
      <c r="K4" s="5">
        <f t="shared" ref="K4:K25" si="7">K3+L4+M4-P4</f>
        <v>122494.878</v>
      </c>
      <c r="L4" s="6">
        <f t="shared" si="2"/>
        <v>62773.127999999997</v>
      </c>
      <c r="M4" s="7">
        <f t="shared" si="3"/>
        <v>321.75</v>
      </c>
      <c r="N4" s="7">
        <f t="shared" si="4"/>
        <v>0</v>
      </c>
      <c r="O4" s="7">
        <f t="shared" si="5"/>
        <v>0</v>
      </c>
      <c r="P4" s="7">
        <f t="shared" ref="P4:P25" si="8">MIN(O4,K3+M4)</f>
        <v>0</v>
      </c>
      <c r="Q4" s="6">
        <f t="shared" ref="Q4:Q25" si="9">J4+L4+N4+O4-P4</f>
        <v>-41848.752000000008</v>
      </c>
      <c r="R4" s="6">
        <f t="shared" ref="R4:R25" si="10">R3+Q4</f>
        <v>-81448.752000000008</v>
      </c>
    </row>
    <row r="5" spans="1:18" x14ac:dyDescent="0.25">
      <c r="A5" t="s">
        <v>19</v>
      </c>
      <c r="B5" s="3">
        <v>466800</v>
      </c>
      <c r="C5" s="9">
        <f>(NormalCost-GardnerCost)/NormalCost</f>
        <v>0.25636970010479648</v>
      </c>
      <c r="D5" t="s">
        <v>20</v>
      </c>
      <c r="F5">
        <v>2</v>
      </c>
      <c r="G5" s="8">
        <f t="shared" ref="G5:G25" si="11">EDATE($G$3,F5)</f>
        <v>43160</v>
      </c>
      <c r="H5" s="5">
        <f t="shared" si="0"/>
        <v>0</v>
      </c>
      <c r="I5" s="5">
        <f t="shared" si="1"/>
        <v>-104621.88</v>
      </c>
      <c r="J5" s="5">
        <f t="shared" si="6"/>
        <v>-104621.88</v>
      </c>
      <c r="K5" s="5">
        <f t="shared" si="7"/>
        <v>185931.51992249998</v>
      </c>
      <c r="L5" s="6">
        <f t="shared" si="2"/>
        <v>62773.127999999997</v>
      </c>
      <c r="M5" s="7">
        <f t="shared" si="3"/>
        <v>663.51392250000004</v>
      </c>
      <c r="N5" s="7">
        <f t="shared" si="4"/>
        <v>0</v>
      </c>
      <c r="O5" s="7">
        <f t="shared" si="5"/>
        <v>0</v>
      </c>
      <c r="P5" s="7">
        <f t="shared" si="8"/>
        <v>0</v>
      </c>
      <c r="Q5" s="6">
        <f t="shared" si="9"/>
        <v>-41848.752000000008</v>
      </c>
      <c r="R5" s="6">
        <f t="shared" si="10"/>
        <v>-123297.50400000002</v>
      </c>
    </row>
    <row r="6" spans="1:18" x14ac:dyDescent="0.25">
      <c r="A6" t="s">
        <v>21</v>
      </c>
      <c r="B6" s="10">
        <v>6</v>
      </c>
      <c r="C6" s="10"/>
      <c r="F6">
        <v>3</v>
      </c>
      <c r="G6" s="8">
        <f t="shared" si="11"/>
        <v>43191</v>
      </c>
      <c r="H6" s="5">
        <f t="shared" si="0"/>
        <v>0</v>
      </c>
      <c r="I6" s="5">
        <f t="shared" si="1"/>
        <v>-104621.88</v>
      </c>
      <c r="J6" s="5">
        <f t="shared" si="6"/>
        <v>-104621.88</v>
      </c>
      <c r="K6" s="5">
        <f t="shared" si="7"/>
        <v>249711.77698874686</v>
      </c>
      <c r="L6" s="6">
        <f t="shared" si="2"/>
        <v>62773.127999999997</v>
      </c>
      <c r="M6" s="7">
        <f t="shared" si="3"/>
        <v>1007.1290662468749</v>
      </c>
      <c r="N6" s="7">
        <f t="shared" si="4"/>
        <v>0</v>
      </c>
      <c r="O6" s="7">
        <f t="shared" si="5"/>
        <v>0</v>
      </c>
      <c r="P6" s="7">
        <f t="shared" si="8"/>
        <v>0</v>
      </c>
      <c r="Q6" s="6">
        <f t="shared" si="9"/>
        <v>-41848.752000000008</v>
      </c>
      <c r="R6" s="6">
        <f t="shared" si="10"/>
        <v>-165146.25600000002</v>
      </c>
    </row>
    <row r="7" spans="1:18" x14ac:dyDescent="0.25">
      <c r="A7" t="s">
        <v>22</v>
      </c>
      <c r="B7" s="11">
        <f>NormalCost*(1+C7)</f>
        <v>753277.53599999996</v>
      </c>
      <c r="C7" s="12">
        <v>0.2</v>
      </c>
      <c r="D7" t="s">
        <v>23</v>
      </c>
      <c r="F7">
        <v>4</v>
      </c>
      <c r="G7" s="8">
        <f t="shared" si="11"/>
        <v>43221</v>
      </c>
      <c r="H7" s="5">
        <f t="shared" si="0"/>
        <v>0</v>
      </c>
      <c r="I7" s="5">
        <f t="shared" si="1"/>
        <v>-104621.88</v>
      </c>
      <c r="J7" s="5">
        <f t="shared" si="6"/>
        <v>-104621.88</v>
      </c>
      <c r="K7" s="5">
        <f t="shared" si="7"/>
        <v>313837.5104474359</v>
      </c>
      <c r="L7" s="6">
        <f t="shared" si="2"/>
        <v>62773.127999999997</v>
      </c>
      <c r="M7" s="7">
        <f t="shared" si="3"/>
        <v>1352.6054586890457</v>
      </c>
      <c r="N7" s="7">
        <f t="shared" si="4"/>
        <v>0</v>
      </c>
      <c r="O7" s="7">
        <f t="shared" si="5"/>
        <v>0</v>
      </c>
      <c r="P7" s="7">
        <f t="shared" si="8"/>
        <v>0</v>
      </c>
      <c r="Q7" s="6">
        <f t="shared" si="9"/>
        <v>-41848.752000000008</v>
      </c>
      <c r="R7" s="6">
        <f t="shared" si="10"/>
        <v>-206995.00800000003</v>
      </c>
    </row>
    <row r="8" spans="1:18" x14ac:dyDescent="0.25">
      <c r="A8" t="s">
        <v>24</v>
      </c>
      <c r="B8" s="13">
        <f>B7+B3</f>
        <v>862177.53599999996</v>
      </c>
      <c r="C8" s="14"/>
      <c r="F8">
        <v>5</v>
      </c>
      <c r="G8" s="8">
        <f t="shared" si="11"/>
        <v>43252</v>
      </c>
      <c r="H8" s="5">
        <f t="shared" si="0"/>
        <v>0</v>
      </c>
      <c r="I8" s="5">
        <f t="shared" si="1"/>
        <v>-104621.88</v>
      </c>
      <c r="J8" s="5">
        <f t="shared" si="6"/>
        <v>-104621.88</v>
      </c>
      <c r="K8" s="5">
        <f t="shared" si="7"/>
        <v>378310.59162902622</v>
      </c>
      <c r="L8" s="6">
        <f t="shared" si="2"/>
        <v>62773.127999999997</v>
      </c>
      <c r="M8" s="7">
        <f t="shared" si="3"/>
        <v>1699.9531815902776</v>
      </c>
      <c r="N8" s="7">
        <f t="shared" si="4"/>
        <v>0</v>
      </c>
      <c r="O8" s="7">
        <f t="shared" si="5"/>
        <v>0</v>
      </c>
      <c r="P8" s="7">
        <f t="shared" si="8"/>
        <v>0</v>
      </c>
      <c r="Q8" s="6">
        <f t="shared" si="9"/>
        <v>-41848.752000000008</v>
      </c>
      <c r="R8" s="6">
        <f t="shared" si="10"/>
        <v>-248843.76000000004</v>
      </c>
    </row>
    <row r="9" spans="1:18" x14ac:dyDescent="0.25">
      <c r="A9" t="s">
        <v>25</v>
      </c>
      <c r="B9" s="10"/>
      <c r="F9">
        <v>6</v>
      </c>
      <c r="G9" s="8">
        <f t="shared" si="11"/>
        <v>43282</v>
      </c>
      <c r="H9" s="5">
        <f t="shared" si="0"/>
        <v>0</v>
      </c>
      <c r="I9" s="5">
        <f t="shared" si="1"/>
        <v>-104621.88</v>
      </c>
      <c r="J9" s="5">
        <f t="shared" si="6"/>
        <v>-104621.88</v>
      </c>
      <c r="K9" s="5">
        <f t="shared" si="7"/>
        <v>443132.90200035012</v>
      </c>
      <c r="L9" s="6">
        <f t="shared" si="2"/>
        <v>62773.127999999997</v>
      </c>
      <c r="M9" s="7">
        <f t="shared" si="3"/>
        <v>2049.1823713238923</v>
      </c>
      <c r="N9" s="7">
        <f t="shared" si="4"/>
        <v>0</v>
      </c>
      <c r="O9" s="7">
        <f t="shared" si="5"/>
        <v>0</v>
      </c>
      <c r="P9" s="7">
        <f t="shared" si="8"/>
        <v>0</v>
      </c>
      <c r="Q9" s="6">
        <f t="shared" si="9"/>
        <v>-41848.752000000008</v>
      </c>
      <c r="R9" s="6">
        <f t="shared" si="10"/>
        <v>-290692.51200000005</v>
      </c>
    </row>
    <row r="10" spans="1:18" x14ac:dyDescent="0.25">
      <c r="A10" t="s">
        <v>26</v>
      </c>
      <c r="B10" s="14">
        <v>0.08</v>
      </c>
      <c r="F10">
        <v>7</v>
      </c>
      <c r="G10" s="8">
        <f t="shared" si="11"/>
        <v>43313</v>
      </c>
      <c r="H10" s="5">
        <f t="shared" si="0"/>
        <v>0</v>
      </c>
      <c r="I10" s="5">
        <f t="shared" si="1"/>
        <v>0</v>
      </c>
      <c r="J10" s="5">
        <f t="shared" si="6"/>
        <v>0</v>
      </c>
      <c r="K10" s="5">
        <f t="shared" si="7"/>
        <v>445533.20521951868</v>
      </c>
      <c r="L10" s="6">
        <f t="shared" si="2"/>
        <v>0</v>
      </c>
      <c r="M10" s="7">
        <f t="shared" si="3"/>
        <v>2400.3032191685634</v>
      </c>
      <c r="N10" s="7">
        <f t="shared" si="4"/>
        <v>4892.169426669001</v>
      </c>
      <c r="O10" s="7">
        <f t="shared" si="5"/>
        <v>0</v>
      </c>
      <c r="P10" s="7">
        <f t="shared" si="8"/>
        <v>0</v>
      </c>
      <c r="Q10" s="6">
        <f t="shared" si="9"/>
        <v>4892.169426669001</v>
      </c>
      <c r="R10" s="6">
        <f t="shared" si="10"/>
        <v>-285800.34257333103</v>
      </c>
    </row>
    <row r="11" spans="1:18" x14ac:dyDescent="0.25">
      <c r="A11" t="s">
        <v>27</v>
      </c>
      <c r="B11" s="10">
        <v>12</v>
      </c>
      <c r="C11" t="s">
        <v>28</v>
      </c>
      <c r="F11">
        <v>8</v>
      </c>
      <c r="G11" s="8">
        <f t="shared" si="11"/>
        <v>43344</v>
      </c>
      <c r="H11" s="5">
        <f t="shared" si="0"/>
        <v>0</v>
      </c>
      <c r="I11" s="5">
        <f t="shared" si="1"/>
        <v>0</v>
      </c>
      <c r="J11" s="5">
        <f t="shared" si="6"/>
        <v>0</v>
      </c>
      <c r="K11" s="5">
        <f t="shared" si="7"/>
        <v>447946.51008112443</v>
      </c>
      <c r="L11" s="6">
        <f t="shared" si="2"/>
        <v>0</v>
      </c>
      <c r="M11" s="7">
        <f t="shared" si="3"/>
        <v>2413.3048616057263</v>
      </c>
      <c r="N11" s="7">
        <f t="shared" si="4"/>
        <v>4892.169426669001</v>
      </c>
      <c r="O11" s="7">
        <f t="shared" si="5"/>
        <v>0</v>
      </c>
      <c r="P11" s="7">
        <f t="shared" si="8"/>
        <v>0</v>
      </c>
      <c r="Q11" s="6">
        <f t="shared" si="9"/>
        <v>4892.169426669001</v>
      </c>
      <c r="R11" s="6">
        <f t="shared" si="10"/>
        <v>-280908.17314666201</v>
      </c>
    </row>
    <row r="12" spans="1:18" x14ac:dyDescent="0.25">
      <c r="A12" t="s">
        <v>29</v>
      </c>
      <c r="B12" s="11">
        <f>K9+-R9</f>
        <v>733825.41400035017</v>
      </c>
      <c r="F12">
        <v>9</v>
      </c>
      <c r="G12" s="8">
        <f t="shared" si="11"/>
        <v>43374</v>
      </c>
      <c r="H12" s="5">
        <f t="shared" si="0"/>
        <v>0</v>
      </c>
      <c r="I12" s="5">
        <f t="shared" si="1"/>
        <v>0</v>
      </c>
      <c r="J12" s="5">
        <f t="shared" si="6"/>
        <v>0</v>
      </c>
      <c r="K12" s="5">
        <f t="shared" si="7"/>
        <v>450372.88701073051</v>
      </c>
      <c r="L12" s="6">
        <f t="shared" si="2"/>
        <v>0</v>
      </c>
      <c r="M12" s="7">
        <f t="shared" si="3"/>
        <v>2426.3769296060905</v>
      </c>
      <c r="N12" s="7">
        <f t="shared" si="4"/>
        <v>4892.169426669001</v>
      </c>
      <c r="O12" s="7">
        <f t="shared" si="5"/>
        <v>0</v>
      </c>
      <c r="P12" s="7">
        <f t="shared" si="8"/>
        <v>0</v>
      </c>
      <c r="Q12" s="6">
        <f t="shared" si="9"/>
        <v>4892.169426669001</v>
      </c>
      <c r="R12" s="6">
        <f t="shared" si="10"/>
        <v>-276016.00371999299</v>
      </c>
    </row>
    <row r="13" spans="1:18" x14ac:dyDescent="0.25">
      <c r="A13" t="s">
        <v>30</v>
      </c>
      <c r="B13" s="15">
        <f>LeaseRate*B12/12</f>
        <v>4892.169426669001</v>
      </c>
      <c r="F13">
        <v>10</v>
      </c>
      <c r="G13" s="8">
        <f t="shared" si="11"/>
        <v>43405</v>
      </c>
      <c r="H13" s="5">
        <f t="shared" si="0"/>
        <v>0</v>
      </c>
      <c r="I13" s="5">
        <f t="shared" si="1"/>
        <v>0</v>
      </c>
      <c r="J13" s="5">
        <f t="shared" si="6"/>
        <v>0</v>
      </c>
      <c r="K13" s="5">
        <f t="shared" si="7"/>
        <v>452812.40681537194</v>
      </c>
      <c r="L13" s="6">
        <f t="shared" si="2"/>
        <v>0</v>
      </c>
      <c r="M13" s="7">
        <f t="shared" si="3"/>
        <v>2439.5198046414571</v>
      </c>
      <c r="N13" s="7">
        <f t="shared" si="4"/>
        <v>4892.169426669001</v>
      </c>
      <c r="O13" s="7">
        <f t="shared" si="5"/>
        <v>0</v>
      </c>
      <c r="P13" s="7">
        <f t="shared" si="8"/>
        <v>0</v>
      </c>
      <c r="Q13" s="6">
        <f t="shared" si="9"/>
        <v>4892.169426669001</v>
      </c>
      <c r="R13" s="6">
        <f t="shared" si="10"/>
        <v>-271123.83429332398</v>
      </c>
    </row>
    <row r="14" spans="1:18" x14ac:dyDescent="0.25">
      <c r="A14" t="s">
        <v>31</v>
      </c>
      <c r="B14" s="15">
        <f>NetRent*6</f>
        <v>29353.016560014006</v>
      </c>
      <c r="F14">
        <v>11</v>
      </c>
      <c r="G14" s="8">
        <f t="shared" si="11"/>
        <v>43435</v>
      </c>
      <c r="H14" s="5">
        <f t="shared" si="0"/>
        <v>0</v>
      </c>
      <c r="I14" s="5">
        <f t="shared" si="1"/>
        <v>0</v>
      </c>
      <c r="J14" s="5">
        <f t="shared" si="6"/>
        <v>0</v>
      </c>
      <c r="K14" s="5">
        <f t="shared" si="7"/>
        <v>455265.14068562188</v>
      </c>
      <c r="L14" s="6">
        <f t="shared" si="2"/>
        <v>0</v>
      </c>
      <c r="M14" s="7">
        <f t="shared" si="3"/>
        <v>2452.7338702499314</v>
      </c>
      <c r="N14" s="7">
        <f t="shared" si="4"/>
        <v>4892.169426669001</v>
      </c>
      <c r="O14" s="7">
        <f t="shared" si="5"/>
        <v>0</v>
      </c>
      <c r="P14" s="7">
        <f t="shared" si="8"/>
        <v>0</v>
      </c>
      <c r="Q14" s="6">
        <f t="shared" si="9"/>
        <v>4892.169426669001</v>
      </c>
      <c r="R14" s="6">
        <f t="shared" si="10"/>
        <v>-266231.66486665496</v>
      </c>
    </row>
    <row r="15" spans="1:18" x14ac:dyDescent="0.25">
      <c r="B15" s="10"/>
      <c r="F15">
        <v>12</v>
      </c>
      <c r="G15" s="8">
        <f t="shared" si="11"/>
        <v>43466</v>
      </c>
      <c r="H15" s="5">
        <f t="shared" si="0"/>
        <v>0</v>
      </c>
      <c r="I15" s="5">
        <f t="shared" si="1"/>
        <v>0</v>
      </c>
      <c r="J15" s="5">
        <f t="shared" si="6"/>
        <v>0</v>
      </c>
      <c r="K15" s="5">
        <f t="shared" si="7"/>
        <v>457731.160197669</v>
      </c>
      <c r="L15" s="6">
        <f t="shared" si="2"/>
        <v>0</v>
      </c>
      <c r="M15" s="7">
        <f t="shared" si="3"/>
        <v>2466.0195120471185</v>
      </c>
      <c r="N15" s="7">
        <f t="shared" si="4"/>
        <v>4892.169426669001</v>
      </c>
      <c r="O15" s="7">
        <f t="shared" si="5"/>
        <v>0</v>
      </c>
      <c r="P15" s="7">
        <f t="shared" si="8"/>
        <v>0</v>
      </c>
      <c r="Q15" s="6">
        <f t="shared" si="9"/>
        <v>4892.169426669001</v>
      </c>
      <c r="R15" s="6">
        <f t="shared" si="10"/>
        <v>-261339.49543998597</v>
      </c>
    </row>
    <row r="16" spans="1:18" x14ac:dyDescent="0.25">
      <c r="A16" t="s">
        <v>32</v>
      </c>
      <c r="B16" s="10"/>
      <c r="F16">
        <v>13</v>
      </c>
      <c r="G16" s="8">
        <f t="shared" si="11"/>
        <v>43497</v>
      </c>
      <c r="H16" s="5">
        <f t="shared" si="0"/>
        <v>0</v>
      </c>
      <c r="I16" s="5">
        <f t="shared" si="1"/>
        <v>0</v>
      </c>
      <c r="J16" s="5">
        <f t="shared" si="6"/>
        <v>0</v>
      </c>
      <c r="K16" s="5">
        <f t="shared" si="7"/>
        <v>460210.53731540637</v>
      </c>
      <c r="L16" s="6">
        <f t="shared" si="2"/>
        <v>0</v>
      </c>
      <c r="M16" s="7">
        <f t="shared" si="3"/>
        <v>2479.3771177373737</v>
      </c>
      <c r="N16" s="7">
        <f t="shared" si="4"/>
        <v>4892.169426669001</v>
      </c>
      <c r="O16" s="7">
        <f t="shared" si="5"/>
        <v>0</v>
      </c>
      <c r="P16" s="7">
        <f t="shared" si="8"/>
        <v>0</v>
      </c>
      <c r="Q16" s="6">
        <f t="shared" si="9"/>
        <v>4892.169426669001</v>
      </c>
      <c r="R16" s="6">
        <f t="shared" si="10"/>
        <v>-256447.32601331698</v>
      </c>
    </row>
    <row r="17" spans="1:18" x14ac:dyDescent="0.25">
      <c r="A17" t="s">
        <v>33</v>
      </c>
      <c r="B17" s="14">
        <v>0.6</v>
      </c>
      <c r="F17">
        <v>14</v>
      </c>
      <c r="G17" s="8">
        <f t="shared" si="11"/>
        <v>43525</v>
      </c>
      <c r="H17" s="5">
        <f t="shared" si="0"/>
        <v>0</v>
      </c>
      <c r="I17" s="5">
        <f t="shared" si="1"/>
        <v>0</v>
      </c>
      <c r="J17" s="5">
        <f t="shared" si="6"/>
        <v>0</v>
      </c>
      <c r="K17" s="5">
        <f t="shared" si="7"/>
        <v>462703.34439253149</v>
      </c>
      <c r="L17" s="6">
        <f t="shared" si="2"/>
        <v>0</v>
      </c>
      <c r="M17" s="7">
        <f t="shared" si="3"/>
        <v>2492.8070771251182</v>
      </c>
      <c r="N17" s="7">
        <f t="shared" si="4"/>
        <v>4892.169426669001</v>
      </c>
      <c r="O17" s="7">
        <f t="shared" si="5"/>
        <v>0</v>
      </c>
      <c r="P17" s="7">
        <f t="shared" si="8"/>
        <v>0</v>
      </c>
      <c r="Q17" s="6">
        <f t="shared" si="9"/>
        <v>4892.169426669001</v>
      </c>
      <c r="R17" s="6">
        <f t="shared" si="10"/>
        <v>-251555.15658664799</v>
      </c>
    </row>
    <row r="18" spans="1:18" x14ac:dyDescent="0.25">
      <c r="A18" t="s">
        <v>34</v>
      </c>
      <c r="B18" s="16">
        <v>6.5000000000000002E-2</v>
      </c>
      <c r="F18">
        <v>15</v>
      </c>
      <c r="G18" s="8">
        <f t="shared" si="11"/>
        <v>43556</v>
      </c>
      <c r="H18" s="5">
        <f t="shared" si="0"/>
        <v>0</v>
      </c>
      <c r="I18" s="5">
        <f t="shared" si="1"/>
        <v>0</v>
      </c>
      <c r="J18" s="5">
        <f t="shared" si="6"/>
        <v>0</v>
      </c>
      <c r="K18" s="5">
        <f t="shared" si="7"/>
        <v>465209.65417465771</v>
      </c>
      <c r="L18" s="6">
        <f t="shared" si="2"/>
        <v>0</v>
      </c>
      <c r="M18" s="7">
        <f t="shared" si="3"/>
        <v>2506.3097821262122</v>
      </c>
      <c r="N18" s="7">
        <f t="shared" si="4"/>
        <v>4892.169426669001</v>
      </c>
      <c r="O18" s="7">
        <f t="shared" si="5"/>
        <v>0</v>
      </c>
      <c r="P18" s="7">
        <f t="shared" si="8"/>
        <v>0</v>
      </c>
      <c r="Q18" s="6">
        <f t="shared" si="9"/>
        <v>4892.169426669001</v>
      </c>
      <c r="R18" s="6">
        <f t="shared" si="10"/>
        <v>-246662.98715997901</v>
      </c>
    </row>
    <row r="19" spans="1:18" x14ac:dyDescent="0.25">
      <c r="F19">
        <v>16</v>
      </c>
      <c r="G19" s="8">
        <f t="shared" si="11"/>
        <v>43586</v>
      </c>
      <c r="H19" s="5">
        <f t="shared" si="0"/>
        <v>0</v>
      </c>
      <c r="I19" s="5">
        <f t="shared" si="1"/>
        <v>0</v>
      </c>
      <c r="J19" s="5">
        <f t="shared" si="6"/>
        <v>0</v>
      </c>
      <c r="K19" s="5">
        <f t="shared" si="7"/>
        <v>467729.53980143712</v>
      </c>
      <c r="L19" s="6">
        <f t="shared" si="2"/>
        <v>0</v>
      </c>
      <c r="M19" s="7">
        <f t="shared" si="3"/>
        <v>2519.8856267793958</v>
      </c>
      <c r="N19" s="7">
        <f t="shared" si="4"/>
        <v>4892.169426669001</v>
      </c>
      <c r="O19" s="7">
        <f t="shared" si="5"/>
        <v>0</v>
      </c>
      <c r="P19" s="7">
        <f t="shared" si="8"/>
        <v>0</v>
      </c>
      <c r="Q19" s="6">
        <f t="shared" si="9"/>
        <v>4892.169426669001</v>
      </c>
      <c r="R19" s="6">
        <f t="shared" si="10"/>
        <v>-241770.81773331002</v>
      </c>
    </row>
    <row r="20" spans="1:18" x14ac:dyDescent="0.25">
      <c r="A20" t="s">
        <v>35</v>
      </c>
      <c r="B20">
        <v>3</v>
      </c>
      <c r="C20" t="s">
        <v>28</v>
      </c>
      <c r="F20">
        <v>17</v>
      </c>
      <c r="G20" s="8">
        <f t="shared" si="11"/>
        <v>43617</v>
      </c>
      <c r="H20" s="5">
        <f t="shared" si="0"/>
        <v>0</v>
      </c>
      <c r="I20" s="5">
        <f t="shared" si="1"/>
        <v>0</v>
      </c>
      <c r="J20" s="5">
        <f t="shared" si="6"/>
        <v>0</v>
      </c>
      <c r="K20" s="5">
        <f t="shared" si="7"/>
        <v>470263.07480869489</v>
      </c>
      <c r="L20" s="6">
        <f t="shared" si="2"/>
        <v>0</v>
      </c>
      <c r="M20" s="7">
        <f t="shared" si="3"/>
        <v>2533.5350072577844</v>
      </c>
      <c r="N20" s="7">
        <f t="shared" si="4"/>
        <v>4892.169426669001</v>
      </c>
      <c r="O20" s="7">
        <f t="shared" si="5"/>
        <v>0</v>
      </c>
      <c r="P20" s="7">
        <f t="shared" si="8"/>
        <v>0</v>
      </c>
      <c r="Q20" s="6">
        <f t="shared" si="9"/>
        <v>4892.169426669001</v>
      </c>
      <c r="R20" s="6">
        <f t="shared" si="10"/>
        <v>-236878.64830664103</v>
      </c>
    </row>
    <row r="21" spans="1:18" x14ac:dyDescent="0.25">
      <c r="A21" t="s">
        <v>36</v>
      </c>
      <c r="B21">
        <f>BuildMonths+LeaseTerm+B20</f>
        <v>21</v>
      </c>
      <c r="F21">
        <v>18</v>
      </c>
      <c r="G21" s="8">
        <f t="shared" si="11"/>
        <v>43647</v>
      </c>
      <c r="H21" s="5">
        <f t="shared" si="0"/>
        <v>0</v>
      </c>
      <c r="I21" s="5">
        <f t="shared" si="1"/>
        <v>0</v>
      </c>
      <c r="J21" s="5">
        <f t="shared" si="6"/>
        <v>0</v>
      </c>
      <c r="K21" s="5">
        <f t="shared" si="7"/>
        <v>472810.33313057531</v>
      </c>
      <c r="L21" s="6">
        <f t="shared" si="2"/>
        <v>0</v>
      </c>
      <c r="M21" s="7">
        <f t="shared" si="3"/>
        <v>2547.2583218804307</v>
      </c>
      <c r="N21" s="7">
        <f t="shared" si="4"/>
        <v>4892.169426669001</v>
      </c>
      <c r="O21" s="7">
        <f t="shared" si="5"/>
        <v>0</v>
      </c>
      <c r="P21" s="7">
        <f t="shared" si="8"/>
        <v>0</v>
      </c>
      <c r="Q21" s="6">
        <f t="shared" si="9"/>
        <v>4892.169426669001</v>
      </c>
      <c r="R21" s="6">
        <f t="shared" si="10"/>
        <v>-231986.47887997204</v>
      </c>
    </row>
    <row r="22" spans="1:18" ht="15.75" thickBot="1" x14ac:dyDescent="0.3">
      <c r="F22">
        <v>19</v>
      </c>
      <c r="G22" s="8">
        <f t="shared" si="11"/>
        <v>43678</v>
      </c>
      <c r="H22" s="5">
        <f t="shared" si="0"/>
        <v>0</v>
      </c>
      <c r="I22" s="5">
        <f t="shared" si="1"/>
        <v>0</v>
      </c>
      <c r="J22" s="5">
        <f t="shared" si="6"/>
        <v>0</v>
      </c>
      <c r="K22" s="5">
        <f t="shared" si="7"/>
        <v>475371.38910169929</v>
      </c>
      <c r="L22" s="6">
        <f t="shared" si="2"/>
        <v>0</v>
      </c>
      <c r="M22" s="7">
        <f t="shared" si="3"/>
        <v>2561.0559711239498</v>
      </c>
      <c r="N22" s="7">
        <f t="shared" si="4"/>
        <v>4892.169426669001</v>
      </c>
      <c r="O22" s="7">
        <f t="shared" si="5"/>
        <v>0</v>
      </c>
      <c r="P22" s="7">
        <f t="shared" si="8"/>
        <v>0</v>
      </c>
      <c r="Q22" s="6">
        <f t="shared" si="9"/>
        <v>4892.169426669001</v>
      </c>
      <c r="R22" s="6">
        <f t="shared" si="10"/>
        <v>-227094.30945330305</v>
      </c>
    </row>
    <row r="23" spans="1:18" x14ac:dyDescent="0.25">
      <c r="A23" s="17" t="s">
        <v>37</v>
      </c>
      <c r="B23" s="18">
        <f>XIRR(Q3:Q25,G3:G25)</f>
        <v>0.37805854678153994</v>
      </c>
      <c r="F23">
        <v>20</v>
      </c>
      <c r="G23" s="8">
        <f t="shared" si="11"/>
        <v>43709</v>
      </c>
      <c r="H23" s="5">
        <f t="shared" si="0"/>
        <v>0</v>
      </c>
      <c r="I23" s="5">
        <f t="shared" si="1"/>
        <v>0</v>
      </c>
      <c r="J23" s="5">
        <f t="shared" si="6"/>
        <v>0</v>
      </c>
      <c r="K23" s="5">
        <f t="shared" si="7"/>
        <v>477946.31745933351</v>
      </c>
      <c r="L23" s="6">
        <f t="shared" si="2"/>
        <v>0</v>
      </c>
      <c r="M23" s="7">
        <f t="shared" si="3"/>
        <v>2574.9283576342045</v>
      </c>
      <c r="N23" s="7">
        <f t="shared" si="4"/>
        <v>4892.169426669001</v>
      </c>
      <c r="O23" s="7">
        <f t="shared" si="5"/>
        <v>0</v>
      </c>
      <c r="P23" s="7">
        <f t="shared" si="8"/>
        <v>0</v>
      </c>
      <c r="Q23" s="6">
        <f t="shared" si="9"/>
        <v>4892.169426669001</v>
      </c>
      <c r="R23" s="6">
        <f t="shared" si="10"/>
        <v>-222202.14002663406</v>
      </c>
    </row>
    <row r="24" spans="1:18" x14ac:dyDescent="0.25">
      <c r="A24" s="19" t="s">
        <v>38</v>
      </c>
      <c r="B24" s="20">
        <f>MIN(R2:R25)</f>
        <v>-290692.51200000005</v>
      </c>
      <c r="F24">
        <v>21</v>
      </c>
      <c r="G24" s="8">
        <f t="shared" si="11"/>
        <v>43739</v>
      </c>
      <c r="H24" s="5">
        <f t="shared" si="0"/>
        <v>0</v>
      </c>
      <c r="I24" s="5">
        <f t="shared" si="1"/>
        <v>0</v>
      </c>
      <c r="J24" s="5">
        <f t="shared" si="6"/>
        <v>0</v>
      </c>
      <c r="K24" s="5">
        <f t="shared" si="7"/>
        <v>0</v>
      </c>
      <c r="L24" s="6">
        <f t="shared" si="2"/>
        <v>0</v>
      </c>
      <c r="M24" s="7">
        <f t="shared" si="3"/>
        <v>2588.8758862380569</v>
      </c>
      <c r="N24" s="7">
        <f t="shared" si="4"/>
        <v>4892.169426669001</v>
      </c>
      <c r="O24" s="7">
        <f t="shared" si="5"/>
        <v>862177.53599999996</v>
      </c>
      <c r="P24" s="7">
        <f t="shared" si="8"/>
        <v>480535.19334557158</v>
      </c>
      <c r="Q24" s="6">
        <f t="shared" si="9"/>
        <v>386534.5120810974</v>
      </c>
      <c r="R24" s="6">
        <f t="shared" si="10"/>
        <v>164332.37205446334</v>
      </c>
    </row>
    <row r="25" spans="1:18" x14ac:dyDescent="0.25">
      <c r="A25" s="19" t="s">
        <v>39</v>
      </c>
      <c r="B25" s="21">
        <f>SUM(Q3:Q25)</f>
        <v>164332.37205446334</v>
      </c>
      <c r="F25">
        <v>22</v>
      </c>
      <c r="G25" s="8">
        <f t="shared" si="11"/>
        <v>43770</v>
      </c>
      <c r="H25" s="5">
        <f t="shared" si="0"/>
        <v>0</v>
      </c>
      <c r="I25" s="5">
        <f t="shared" si="1"/>
        <v>0</v>
      </c>
      <c r="J25" s="5">
        <f t="shared" si="6"/>
        <v>0</v>
      </c>
      <c r="K25" s="5">
        <f t="shared" si="7"/>
        <v>0</v>
      </c>
      <c r="L25" s="6">
        <f t="shared" si="2"/>
        <v>0</v>
      </c>
      <c r="M25" s="7">
        <f t="shared" si="3"/>
        <v>0</v>
      </c>
      <c r="N25" s="7">
        <f t="shared" si="4"/>
        <v>0</v>
      </c>
      <c r="O25" s="7">
        <f t="shared" si="5"/>
        <v>0</v>
      </c>
      <c r="P25" s="7">
        <f t="shared" si="8"/>
        <v>0</v>
      </c>
      <c r="Q25" s="6">
        <f t="shared" si="9"/>
        <v>0</v>
      </c>
      <c r="R25" s="6">
        <f t="shared" si="10"/>
        <v>164332.37205446334</v>
      </c>
    </row>
    <row r="26" spans="1:18" ht="15.75" thickBot="1" x14ac:dyDescent="0.3">
      <c r="A26" s="22" t="s">
        <v>40</v>
      </c>
      <c r="B26" s="23">
        <f>-B25/B24</f>
        <v>0.56531339910972078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Sheet1</vt:lpstr>
      <vt:lpstr>Sheet2</vt:lpstr>
      <vt:lpstr>BuildMonths</vt:lpstr>
      <vt:lpstr>GardnerCost</vt:lpstr>
      <vt:lpstr>IntRate</vt:lpstr>
      <vt:lpstr>LandCost</vt:lpstr>
      <vt:lpstr>LeaseRate</vt:lpstr>
      <vt:lpstr>LeaseTerm</vt:lpstr>
      <vt:lpstr>Leverage</vt:lpstr>
      <vt:lpstr>NetRent</vt:lpstr>
      <vt:lpstr>NormalCost</vt:lpstr>
      <vt:lpstr>SaleMonth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</dc:creator>
  <cp:lastModifiedBy>Dex</cp:lastModifiedBy>
  <dcterms:created xsi:type="dcterms:W3CDTF">2017-12-08T19:46:01Z</dcterms:created>
  <dcterms:modified xsi:type="dcterms:W3CDTF">2017-12-11T00:14:48Z</dcterms:modified>
</cp:coreProperties>
</file>