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DHAIRYASEN\STOCK MARKET AND INVESTMENTS\"/>
    </mc:Choice>
  </mc:AlternateContent>
  <xr:revisionPtr revIDLastSave="0" documentId="8_{22120485-8516-424F-A677-9950D8DB1BD6}" xr6:coauthVersionLast="47" xr6:coauthVersionMax="47" xr10:uidLastSave="{00000000-0000-0000-0000-000000000000}"/>
  <bookViews>
    <workbookView xWindow="-108" yWindow="-108" windowWidth="23256" windowHeight="12456" xr2:uid="{F6A752BA-AE41-49DC-A65D-3686DDE3F509}"/>
  </bookViews>
  <sheets>
    <sheet name="OVERALL" sheetId="1" r:id="rId1"/>
    <sheet name="MONTHLY SIMPLE" sheetId="2" r:id="rId2"/>
    <sheet name="MONTHLY COMPU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J16" i="1"/>
  <c r="J17" i="1"/>
  <c r="J18" i="1"/>
  <c r="J19" i="1"/>
  <c r="J15" i="1"/>
  <c r="J14" i="1"/>
  <c r="J13" i="1"/>
  <c r="J12" i="1"/>
  <c r="J11" i="1"/>
  <c r="J10" i="1"/>
  <c r="J9" i="1"/>
  <c r="J8" i="1"/>
  <c r="K19" i="1"/>
  <c r="K18" i="1"/>
  <c r="K17" i="1"/>
  <c r="K16" i="1"/>
  <c r="K15" i="1"/>
  <c r="K14" i="1"/>
  <c r="K13" i="1"/>
  <c r="K12" i="1"/>
  <c r="K11" i="1"/>
  <c r="K10" i="1"/>
  <c r="K9" i="1"/>
  <c r="K8" i="1"/>
  <c r="I19" i="1"/>
  <c r="I18" i="1"/>
  <c r="I17" i="1"/>
  <c r="I16" i="1"/>
  <c r="I15" i="1"/>
  <c r="I14" i="1"/>
  <c r="I13" i="1"/>
  <c r="I12" i="1"/>
  <c r="I11" i="1"/>
  <c r="I10" i="1"/>
  <c r="I9" i="1"/>
  <c r="I8" i="1"/>
  <c r="H19" i="1"/>
  <c r="H18" i="1"/>
  <c r="H17" i="1"/>
  <c r="H16" i="1"/>
  <c r="H15" i="1"/>
  <c r="H14" i="1"/>
  <c r="H13" i="1"/>
  <c r="H12" i="1"/>
  <c r="H11" i="1"/>
  <c r="H10" i="1"/>
  <c r="H9" i="1"/>
  <c r="H8" i="1"/>
  <c r="K2" i="1"/>
  <c r="K1" i="1"/>
  <c r="H5" i="1"/>
  <c r="H4" i="1"/>
  <c r="H3" i="1"/>
  <c r="H2" i="1"/>
  <c r="H1" i="1"/>
  <c r="I179" i="2"/>
  <c r="I216" i="2"/>
  <c r="C3" i="1"/>
  <c r="C2" i="1"/>
  <c r="D12" i="1"/>
  <c r="D11" i="1"/>
  <c r="D10" i="1"/>
  <c r="D9" i="1"/>
  <c r="E8" i="1"/>
  <c r="D8" i="1"/>
  <c r="C9" i="1" l="1"/>
  <c r="C8" i="1"/>
  <c r="C12" i="1"/>
  <c r="C11" i="1"/>
  <c r="C10" i="1"/>
  <c r="B9" i="1"/>
  <c r="B8" i="1"/>
  <c r="B12" i="1"/>
  <c r="B11" i="1"/>
  <c r="B10" i="1"/>
  <c r="I317" i="2" l="1"/>
  <c r="I352" i="2"/>
  <c r="I377" i="2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I376" i="3"/>
  <c r="K375" i="3"/>
  <c r="I375" i="3"/>
  <c r="K374" i="3"/>
  <c r="K373" i="3"/>
  <c r="I373" i="3"/>
  <c r="K372" i="3"/>
  <c r="I372" i="3"/>
  <c r="I371" i="3"/>
  <c r="I374" i="3" s="1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I351" i="3"/>
  <c r="K350" i="3"/>
  <c r="I350" i="3"/>
  <c r="K349" i="3"/>
  <c r="I349" i="3"/>
  <c r="K348" i="3"/>
  <c r="I348" i="3"/>
  <c r="I353" i="3" s="1"/>
  <c r="K347" i="3"/>
  <c r="K346" i="3"/>
  <c r="I346" i="3"/>
  <c r="I347" i="3" s="1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I316" i="3"/>
  <c r="K315" i="3"/>
  <c r="I315" i="3"/>
  <c r="K314" i="3"/>
  <c r="K313" i="3"/>
  <c r="I313" i="3"/>
  <c r="K312" i="3"/>
  <c r="I312" i="3"/>
  <c r="K311" i="3"/>
  <c r="I311" i="3"/>
  <c r="I314" i="3" s="1"/>
  <c r="I318" i="3" s="1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I286" i="3"/>
  <c r="K285" i="3"/>
  <c r="I285" i="3"/>
  <c r="K284" i="3"/>
  <c r="K283" i="3"/>
  <c r="I283" i="3"/>
  <c r="K282" i="3"/>
  <c r="K281" i="3"/>
  <c r="I281" i="3"/>
  <c r="I282" i="3" s="1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I250" i="3"/>
  <c r="K249" i="3"/>
  <c r="I249" i="3"/>
  <c r="K248" i="3"/>
  <c r="I248" i="3"/>
  <c r="I252" i="3" s="1"/>
  <c r="K247" i="3"/>
  <c r="I247" i="3"/>
  <c r="K246" i="3"/>
  <c r="K245" i="3"/>
  <c r="I245" i="3"/>
  <c r="I246" i="3" s="1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I215" i="3"/>
  <c r="K214" i="3"/>
  <c r="I214" i="3"/>
  <c r="K213" i="3"/>
  <c r="K212" i="3"/>
  <c r="I212" i="3"/>
  <c r="K211" i="3"/>
  <c r="I211" i="3"/>
  <c r="I210" i="3"/>
  <c r="I213" i="3" s="1"/>
  <c r="I217" i="3" s="1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I178" i="3"/>
  <c r="K177" i="3"/>
  <c r="I177" i="3"/>
  <c r="K176" i="3"/>
  <c r="I176" i="3"/>
  <c r="I180" i="3" s="1"/>
  <c r="K175" i="3"/>
  <c r="I175" i="3"/>
  <c r="K174" i="3"/>
  <c r="I174" i="3"/>
  <c r="I173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I144" i="3"/>
  <c r="K143" i="3"/>
  <c r="I143" i="3"/>
  <c r="K142" i="3"/>
  <c r="I142" i="3"/>
  <c r="K141" i="3"/>
  <c r="I141" i="3"/>
  <c r="I146" i="3" s="1"/>
  <c r="K140" i="3"/>
  <c r="I140" i="3"/>
  <c r="I139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I110" i="3"/>
  <c r="K109" i="3"/>
  <c r="I109" i="3"/>
  <c r="K108" i="3"/>
  <c r="K107" i="3"/>
  <c r="I107" i="3"/>
  <c r="I112" i="3" s="1"/>
  <c r="K106" i="3"/>
  <c r="I106" i="3"/>
  <c r="I105" i="3"/>
  <c r="I108" i="3" s="1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I71" i="3"/>
  <c r="K70" i="3"/>
  <c r="I70" i="3"/>
  <c r="K69" i="3"/>
  <c r="I69" i="3"/>
  <c r="K68" i="3"/>
  <c r="I68" i="3"/>
  <c r="I73" i="3" s="1"/>
  <c r="K67" i="3"/>
  <c r="I67" i="3"/>
  <c r="I66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I35" i="3"/>
  <c r="K34" i="3"/>
  <c r="I34" i="3"/>
  <c r="K33" i="3"/>
  <c r="I33" i="3"/>
  <c r="I37" i="3" s="1"/>
  <c r="K32" i="3"/>
  <c r="I32" i="3"/>
  <c r="K31" i="3"/>
  <c r="I31" i="3"/>
  <c r="I30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I7" i="3"/>
  <c r="K6" i="3"/>
  <c r="I6" i="3"/>
  <c r="K5" i="3"/>
  <c r="L5" i="3" s="1"/>
  <c r="I5" i="3"/>
  <c r="I9" i="3" s="1"/>
  <c r="K4" i="3"/>
  <c r="I4" i="3"/>
  <c r="K3" i="3"/>
  <c r="L3" i="3" s="1"/>
  <c r="L4" i="3" s="1"/>
  <c r="I3" i="3"/>
  <c r="I2" i="3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372" i="2"/>
  <c r="I250" i="2"/>
  <c r="I285" i="2"/>
  <c r="I286" i="2"/>
  <c r="I315" i="2"/>
  <c r="I316" i="2"/>
  <c r="I350" i="2"/>
  <c r="I351" i="2"/>
  <c r="I378" i="2"/>
  <c r="I376" i="2"/>
  <c r="I375" i="2"/>
  <c r="I374" i="2"/>
  <c r="I373" i="2"/>
  <c r="I372" i="2"/>
  <c r="I371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46" i="2"/>
  <c r="I349" i="2"/>
  <c r="I348" i="2"/>
  <c r="I347" i="2"/>
  <c r="I346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11" i="2"/>
  <c r="I318" i="2"/>
  <c r="I314" i="2"/>
  <c r="I313" i="2"/>
  <c r="I312" i="2"/>
  <c r="I31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281" i="2"/>
  <c r="I283" i="2"/>
  <c r="I282" i="2"/>
  <c r="I281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45" i="2"/>
  <c r="I249" i="2"/>
  <c r="I247" i="2"/>
  <c r="I245" i="2"/>
  <c r="I246" i="2" s="1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11" i="2"/>
  <c r="I215" i="2"/>
  <c r="I214" i="2"/>
  <c r="I212" i="2"/>
  <c r="I210" i="2"/>
  <c r="I213" i="2" s="1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174" i="2"/>
  <c r="I178" i="2"/>
  <c r="I177" i="2"/>
  <c r="I176" i="2"/>
  <c r="I175" i="2"/>
  <c r="I180" i="2" s="1"/>
  <c r="I174" i="2"/>
  <c r="I173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40" i="2"/>
  <c r="I144" i="2"/>
  <c r="I143" i="2"/>
  <c r="I146" i="2"/>
  <c r="I142" i="2"/>
  <c r="I141" i="2"/>
  <c r="I140" i="2"/>
  <c r="I139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06" i="2"/>
  <c r="I109" i="2"/>
  <c r="I110" i="2"/>
  <c r="I107" i="2"/>
  <c r="I105" i="2"/>
  <c r="I108" i="2" s="1"/>
  <c r="L6" i="3" l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I378" i="3"/>
  <c r="I284" i="3"/>
  <c r="I288" i="3" s="1"/>
  <c r="I353" i="2"/>
  <c r="I284" i="2"/>
  <c r="I288" i="2" s="1"/>
  <c r="I248" i="2"/>
  <c r="I252" i="2" s="1"/>
  <c r="I211" i="2"/>
  <c r="I217" i="2"/>
  <c r="I112" i="2"/>
  <c r="I106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67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3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3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I4" i="2"/>
  <c r="I37" i="2"/>
  <c r="I71" i="2"/>
  <c r="I70" i="2"/>
  <c r="I68" i="2"/>
  <c r="I73" i="2" s="1"/>
  <c r="I66" i="2"/>
  <c r="I69" i="2" s="1"/>
  <c r="I35" i="2"/>
  <c r="I34" i="2"/>
  <c r="I32" i="2"/>
  <c r="I30" i="2"/>
  <c r="I33" i="2" s="1"/>
  <c r="I8" i="3" l="1"/>
  <c r="L30" i="3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23" i="2"/>
  <c r="L24" i="2" s="1"/>
  <c r="L25" i="2" s="1"/>
  <c r="L26" i="2" s="1"/>
  <c r="L27" i="2" s="1"/>
  <c r="L28" i="2" s="1"/>
  <c r="I8" i="2" s="1"/>
  <c r="I67" i="2"/>
  <c r="I31" i="2"/>
  <c r="I7" i="2"/>
  <c r="I6" i="2"/>
  <c r="I2" i="2"/>
  <c r="I5" i="2" s="1"/>
  <c r="I9" i="2" s="1"/>
  <c r="C13" i="1"/>
  <c r="B3" i="1" s="1"/>
  <c r="B13" i="1"/>
  <c r="B2" i="1" s="1"/>
  <c r="L66" i="3" l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I36" i="3"/>
  <c r="L31" i="2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I36" i="2" s="1"/>
  <c r="I3" i="2"/>
  <c r="B4" i="1"/>
  <c r="E3" i="1" s="1"/>
  <c r="D3" i="1"/>
  <c r="E10" i="1"/>
  <c r="E11" i="1"/>
  <c r="D2" i="1"/>
  <c r="E9" i="1"/>
  <c r="E12" i="1"/>
  <c r="D13" i="1"/>
  <c r="C4" i="1"/>
  <c r="E2" i="1" l="1"/>
  <c r="L105" i="3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I72" i="3"/>
  <c r="L67" i="2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D4" i="1"/>
  <c r="L1" i="1"/>
  <c r="L2" i="1"/>
  <c r="I111" i="3" l="1"/>
  <c r="L139" i="3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I72" i="2"/>
  <c r="L106" i="2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73" i="3" l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I145" i="3"/>
  <c r="I111" i="2"/>
  <c r="L140" i="2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I251" i="3" l="1"/>
  <c r="L280" i="3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I145" i="2"/>
  <c r="L174" i="2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I287" i="3" l="1"/>
  <c r="L310" i="3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I251" i="2"/>
  <c r="L281" i="2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I287" i="2" l="1"/>
  <c r="L311" i="2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</calcChain>
</file>

<file path=xl/sharedStrings.xml><?xml version="1.0" encoding="utf-8"?>
<sst xmlns="http://schemas.openxmlformats.org/spreadsheetml/2006/main" count="1946" uniqueCount="61">
  <si>
    <t>OUTCOME</t>
  </si>
  <si>
    <t>O-COUNT</t>
  </si>
  <si>
    <t>SPOT PTS TOTAL</t>
  </si>
  <si>
    <t>AVG PER TRADE</t>
  </si>
  <si>
    <t>PREMIUM PTS</t>
  </si>
  <si>
    <t>1ST HALF</t>
  </si>
  <si>
    <t>STOPLOSS</t>
  </si>
  <si>
    <t>AMOUNT</t>
  </si>
  <si>
    <t>2ND HALF</t>
  </si>
  <si>
    <t>TARGET</t>
  </si>
  <si>
    <t>BROKERAGE</t>
  </si>
  <si>
    <t>GRAND TOTAL</t>
  </si>
  <si>
    <t>NET AMOUNT</t>
  </si>
  <si>
    <t>PROFIT %</t>
  </si>
  <si>
    <t>DAY</t>
  </si>
  <si>
    <t>GRANDTOTAL</t>
  </si>
  <si>
    <t>MONTHS</t>
  </si>
  <si>
    <t>WIN %</t>
  </si>
  <si>
    <t>R:R</t>
  </si>
  <si>
    <t>W/L RATIO</t>
  </si>
  <si>
    <t>CAP (G/L)</t>
  </si>
  <si>
    <t>THU</t>
  </si>
  <si>
    <t>JAN</t>
  </si>
  <si>
    <t>FRI</t>
  </si>
  <si>
    <t>FEB</t>
  </si>
  <si>
    <t>MON</t>
  </si>
  <si>
    <t>MAR</t>
  </si>
  <si>
    <t>TUE</t>
  </si>
  <si>
    <t>APR</t>
  </si>
  <si>
    <t>WED</t>
  </si>
  <si>
    <t>MAY</t>
  </si>
  <si>
    <t>JUN</t>
  </si>
  <si>
    <t>JUL</t>
  </si>
  <si>
    <t>AUG</t>
  </si>
  <si>
    <t>SEP</t>
  </si>
  <si>
    <t>OCT</t>
  </si>
  <si>
    <t>NOV</t>
  </si>
  <si>
    <t>DEC</t>
  </si>
  <si>
    <t>TRADE</t>
  </si>
  <si>
    <t>WIN RATE</t>
  </si>
  <si>
    <t>PNL</t>
  </si>
  <si>
    <t>SL PTS TOTAL</t>
  </si>
  <si>
    <t>TARGET PTS TOTAL</t>
  </si>
  <si>
    <t>CAPITAL GAIN</t>
  </si>
  <si>
    <t>NET PNL</t>
  </si>
  <si>
    <t>JANUARY</t>
  </si>
  <si>
    <t>DATE</t>
  </si>
  <si>
    <t>TIME</t>
  </si>
  <si>
    <t>SPOT PTS</t>
  </si>
  <si>
    <t>RANGE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</si>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</sst>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"/>
    <numFmt numFmtId="165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6" borderId="3" xfId="0" applyFill="1" applyBorder="1" applyAlignment="1">
      <alignment horizontal="center"/>
    </xf>
    <xf numFmtId="20" fontId="0" fillId="6" borderId="4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0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9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 style="medium">
          <color indexed="64"/>
        </bottom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7E4D7C-FE7A-4898-9D74-E9539F94F61B}" name="Table1" displayName="Table1" ref="A2:F28" totalsRowShown="0" headerRowDxfId="191" dataDxfId="190" tableBorderDxfId="189">
  <autoFilter ref="A2:F28" xr:uid="{647E4D7C-FE7A-4898-9D74-E9539F94F61B}"/>
  <tableColumns count="6">
    <tableColumn id="1" xr3:uid="{D4572A9A-9EE6-4819-BFD8-64AA082FEDE5}" name="DATE" dataDxfId="188"/>
    <tableColumn id="2" xr3:uid="{0A0A66E8-2AB2-4C3C-923F-4A10579A22FC}" name="TIME" dataDxfId="187"/>
    <tableColumn id="3" xr3:uid="{CFF426D6-5B8A-4E2E-829B-E6BE427A5D31}" name="OUTCOME" dataDxfId="186"/>
    <tableColumn id="4" xr3:uid="{82800065-5E4E-48BE-BCD9-2420D936CCCD}" name="SPOT PTS" dataDxfId="185"/>
    <tableColumn id="5" xr3:uid="{1A9F5C87-8AB2-46B1-ADF1-DA49641953F7}" name="DAY" dataDxfId="184"/>
    <tableColumn id="6" xr3:uid="{C33A6222-0BDC-4AEF-9D7C-452BEC65D303}" name="RANGE" dataDxfId="18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4844E9-39C4-4B95-8882-E076D130B607}" name="Table10" displayName="Table10" ref="A310:F343" totalsRowShown="0" headerRowDxfId="121" dataDxfId="120">
  <autoFilter ref="A310:F343" xr:uid="{D14844E9-39C4-4B95-8882-E076D130B607}"/>
  <tableColumns count="6">
    <tableColumn id="1" xr3:uid="{FB2A256A-E974-4E34-8CDE-11A656DCC03A}" name="DATE" dataDxfId="119"/>
    <tableColumn id="2" xr3:uid="{83B6851E-6AAE-4C4A-B78C-F9CEFDE71ADD}" name="TIME" dataDxfId="118"/>
    <tableColumn id="3" xr3:uid="{D55B8EDA-1F32-47FD-AA55-C6D4B5D6A93C}" name="OUTCOME" dataDxfId="117"/>
    <tableColumn id="4" xr3:uid="{2A5A3921-00AB-4696-A0D3-72A7C3D73AD7}" name="SPOT PTS" dataDxfId="116"/>
    <tableColumn id="5" xr3:uid="{A86F7062-5BC9-406B-93A9-0D7CC3A98C9B}" name="DAY" dataDxfId="115"/>
    <tableColumn id="6" xr3:uid="{0A398D07-4EDE-4A1B-B0D9-659A58E3717B}" name="RANGE" dataDxfId="11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048CE6-9478-4EA3-A50B-4421AF0253FC}" name="Table11" displayName="Table11" ref="A345:F369" totalsRowShown="0" headerRowDxfId="113" dataDxfId="112">
  <autoFilter ref="A345:F369" xr:uid="{28048CE6-9478-4EA3-A50B-4421AF0253FC}"/>
  <tableColumns count="6">
    <tableColumn id="1" xr3:uid="{30938123-CC4D-4394-BA9B-9FB5089CE075}" name="DATE" dataDxfId="111"/>
    <tableColumn id="2" xr3:uid="{7E781325-E4A2-4275-AF0A-A3D875774E5E}" name="TIME" dataDxfId="110"/>
    <tableColumn id="3" xr3:uid="{C7B74378-5625-4CEA-B684-A620E6C10704}" name="OUTCOME" dataDxfId="109"/>
    <tableColumn id="4" xr3:uid="{013F0814-6136-4191-855A-7939E5F80B3E}" name="SPOT PTS" dataDxfId="108"/>
    <tableColumn id="5" xr3:uid="{5DE65812-92B1-4E04-BE94-6A647B2BD25E}" name="DAY" dataDxfId="107"/>
    <tableColumn id="6" xr3:uid="{4E556427-5B08-4FAF-967C-8A9C5E96A19E}" name="RANGE" dataDxfId="10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782A2E9-D7DA-4C6F-BB73-FAF000B118F4}" name="Table12" displayName="Table12" ref="A371:F410" totalsRowShown="0" headerRowDxfId="105" dataDxfId="104">
  <autoFilter ref="A371:F410" xr:uid="{E782A2E9-D7DA-4C6F-BB73-FAF000B118F4}"/>
  <tableColumns count="6">
    <tableColumn id="1" xr3:uid="{16ED6BE1-11D8-4E19-B0FE-D7E7E7B6D089}" name="DATE" dataDxfId="103"/>
    <tableColumn id="2" xr3:uid="{507EAE19-2FFD-4646-915E-C423C378E5BE}" name="TIME" dataDxfId="102"/>
    <tableColumn id="3" xr3:uid="{92348B0B-222E-4D23-BEA8-36BED8FA556E}" name="OUTCOME" dataDxfId="101"/>
    <tableColumn id="4" xr3:uid="{2F7590F4-42EE-4F50-B283-F79B8A54E380}" name="SPOT PTS" dataDxfId="100"/>
    <tableColumn id="5" xr3:uid="{77EAB6EB-E000-4B6E-9B84-AB7B5B559171}" name="DAY" dataDxfId="99"/>
    <tableColumn id="6" xr3:uid="{FDDE2328-81C4-41F0-A4F5-429D3C3CD61A}" name="RANGE" dataDxfId="9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76408A-1BF3-42BA-8DAD-F9F5820A4FC7}" name="Table114" displayName="Table114" ref="A2:F28" totalsRowShown="0" headerRowDxfId="93" dataDxfId="92" tableBorderDxfId="91">
  <autoFilter ref="A2:F28" xr:uid="{E876408A-1BF3-42BA-8DAD-F9F5820A4FC7}"/>
  <tableColumns count="6">
    <tableColumn id="1" xr3:uid="{725CF1B0-BD32-4C97-AA88-B5288060F584}" name="DATE" dataDxfId="90"/>
    <tableColumn id="2" xr3:uid="{A1449290-C8AE-4854-AE6A-F2BD9406DFD9}" name="TIME" dataDxfId="89"/>
    <tableColumn id="3" xr3:uid="{780B9911-8F70-46F7-83F0-7858DD044CD3}" name="OUTCOME" dataDxfId="88"/>
    <tableColumn id="4" xr3:uid="{5E070C56-3BEF-4B95-A036-47F83C3C32E4}" name="SPOT PTS" dataDxfId="87"/>
    <tableColumn id="5" xr3:uid="{53038C8A-07B4-4A2B-96C5-75FB9DA84077}" name="DAY" dataDxfId="86"/>
    <tableColumn id="6" xr3:uid="{6FAA311C-50C4-4219-BBDF-04679D80BBD7}" name="RANGE" dataDxfId="8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BDFD1B-2F5B-4A5B-8E64-AD92653C6335}" name="Table215" displayName="Table215" ref="A30:F64" totalsRowShown="0" headerRowDxfId="84" dataDxfId="83">
  <autoFilter ref="A30:F64" xr:uid="{29BDFD1B-2F5B-4A5B-8E64-AD92653C6335}"/>
  <tableColumns count="6">
    <tableColumn id="1" xr3:uid="{4AFD945E-3417-453C-B300-01860836DA6A}" name="DATE" dataDxfId="82"/>
    <tableColumn id="2" xr3:uid="{A89311C3-3CF3-4070-B57F-10F9D0C383AA}" name="TIME" dataDxfId="81"/>
    <tableColumn id="3" xr3:uid="{DA286290-7C2C-4A7E-AB1C-099715A33EAA}" name="OUTCOME" dataDxfId="80"/>
    <tableColumn id="4" xr3:uid="{18D4BC93-8C72-468C-9D0C-D20B811F9FC4}" name="SPOT PTS" dataDxfId="79"/>
    <tableColumn id="5" xr3:uid="{A848E264-3D55-4752-9162-E62E1B1745FF}" name="DAY" dataDxfId="78"/>
    <tableColumn id="6" xr3:uid="{E29C36FA-8149-497B-90DA-C22BEBC0BE3F}" name="RANGE" dataDxfId="7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9CDB1C3-8C0C-4D27-BEA5-0D3AA3704B4C}" name="Table316" displayName="Table316" ref="A66:F103" totalsRowShown="0" headerRowDxfId="76" dataDxfId="75" tableBorderDxfId="74">
  <autoFilter ref="A66:F103" xr:uid="{E9CDB1C3-8C0C-4D27-BEA5-0D3AA3704B4C}"/>
  <tableColumns count="6">
    <tableColumn id="1" xr3:uid="{D00CA7F0-0374-4B4E-926D-0EC66386AF90}" name="DATE" dataDxfId="73"/>
    <tableColumn id="2" xr3:uid="{E5A98771-B611-45F3-9DD4-F53AD11B9EBA}" name="TIME" dataDxfId="72"/>
    <tableColumn id="3" xr3:uid="{C1996955-92E1-417A-BB7B-50BF0673F53D}" name="OUTCOME" dataDxfId="71"/>
    <tableColumn id="4" xr3:uid="{CC403189-41BD-456E-AA81-6709E60A753F}" name="SPOT PTS" dataDxfId="70"/>
    <tableColumn id="5" xr3:uid="{1F6A5DE8-1369-44CD-AF28-A194C5896A65}" name="DAY" dataDxfId="69"/>
    <tableColumn id="6" xr3:uid="{7C4D5316-0DAD-4009-98F9-3F0822D5B12E}" name="RANGE" dataDxfId="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0DFDA5B-305E-4DEB-95CB-728612B2BDBA}" name="Table417" displayName="Table417" ref="A105:F137" totalsRowShown="0" headerRowDxfId="67" dataDxfId="66">
  <autoFilter ref="A105:F137" xr:uid="{D0DFDA5B-305E-4DEB-95CB-728612B2BDBA}"/>
  <tableColumns count="6">
    <tableColumn id="1" xr3:uid="{FBB4330A-AA50-4186-97FE-96DD7B17A4CF}" name="DATE" dataDxfId="65"/>
    <tableColumn id="2" xr3:uid="{80975A04-DFEF-4459-BDDB-4BA69B1E20E2}" name="TIME" dataDxfId="64"/>
    <tableColumn id="3" xr3:uid="{4D4C712F-6B44-4441-897E-1D15C83E9DDE}" name="OUTCOME" dataDxfId="63"/>
    <tableColumn id="4" xr3:uid="{326C7153-A7CB-4443-94E3-C5FBAF3F5011}" name="SPOT PTS" dataDxfId="62"/>
    <tableColumn id="5" xr3:uid="{B6BB98EB-EC34-4217-97A5-466E1C61ED52}" name="DAY" dataDxfId="61"/>
    <tableColumn id="6" xr3:uid="{52AC5B84-75AD-4485-94E5-A80CDB621548}" name="RANGE" dataDxfId="6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0135848-2678-4F26-B6EE-34F35F3A2C9D}" name="Table518" displayName="Table518" ref="A139:F171" totalsRowShown="0" headerRowDxfId="59" dataDxfId="58">
  <autoFilter ref="A139:F171" xr:uid="{F0135848-2678-4F26-B6EE-34F35F3A2C9D}"/>
  <tableColumns count="6">
    <tableColumn id="1" xr3:uid="{42E5F9BB-2C22-4A76-9E76-E98A78C1E203}" name="DATE" dataDxfId="57"/>
    <tableColumn id="2" xr3:uid="{9697C7CC-B386-4AF2-AA43-AEF958D49EBC}" name="TIME" dataDxfId="56"/>
    <tableColumn id="3" xr3:uid="{3C5475BE-E0DA-4081-AA32-7BF8DD324647}" name="OUTCOME" dataDxfId="55"/>
    <tableColumn id="4" xr3:uid="{8DDDBAD2-3359-4960-8B84-78613D5EBD22}" name="SPOT PTS" dataDxfId="54"/>
    <tableColumn id="5" xr3:uid="{2D0FE168-BBE3-48A2-833E-6B94390E3A3F}" name="DAY" dataDxfId="53"/>
    <tableColumn id="6" xr3:uid="{E342AA01-7D72-436B-A5E8-17EC497592DC}" name="RANGE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3407532-714E-4664-B44A-77492279C595}" name="Table619" displayName="Table619" ref="A173:F208" totalsRowShown="0" headerRowDxfId="51" tableBorderDxfId="50">
  <autoFilter ref="A173:F208" xr:uid="{53407532-714E-4664-B44A-77492279C595}"/>
  <tableColumns count="6">
    <tableColumn id="1" xr3:uid="{6A6E5C30-CD98-4201-9B92-4D24A040D822}" name="DATE" dataDxfId="49"/>
    <tableColumn id="2" xr3:uid="{2410E8BE-5975-48C2-A809-DA7589672E0F}" name="TIME"/>
    <tableColumn id="3" xr3:uid="{8A6D1012-A4A9-49E1-A282-4B1887FBEE87}" name="OUTCOME"/>
    <tableColumn id="4" xr3:uid="{382AAC56-6407-4590-A0E7-2F0DEACE1A8F}" name="SPOT PTS"/>
    <tableColumn id="5" xr3:uid="{2DEF86EE-A9B7-44CB-A8C6-1E2E1C9586A9}" name="DAY"/>
    <tableColumn id="6" xr3:uid="{EF75BB8D-6FA5-4367-8A7F-8E709ADA1B92}" name="RANGE" dataDxfId="4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3CF6BA4-47BD-4122-BFAD-752672497777}" name="Table720" displayName="Table720" ref="A210:F242" totalsRowShown="0" headerRowDxfId="47" dataDxfId="46">
  <autoFilter ref="A210:F242" xr:uid="{33CF6BA4-47BD-4122-BFAD-752672497777}"/>
  <tableColumns count="6">
    <tableColumn id="1" xr3:uid="{3487F8BD-29F3-45F0-867F-F4CDCF8E3CA0}" name="DATE" dataDxfId="45"/>
    <tableColumn id="2" xr3:uid="{45CB316D-E9DE-47A2-8EBD-E3264BA435FA}" name="TIME" dataDxfId="44"/>
    <tableColumn id="3" xr3:uid="{2E6C4689-6654-4460-9419-ECA96D802093}" name="OUTCOME" dataDxfId="43"/>
    <tableColumn id="4" xr3:uid="{735F9911-3264-43BE-8603-C27930E9341F}" name="SPOT PTS" dataDxfId="42"/>
    <tableColumn id="5" xr3:uid="{C26FECD5-AECF-434E-83AB-647F8970BE76}" name="DAY" dataDxfId="41"/>
    <tableColumn id="6" xr3:uid="{48E56B5B-D624-4AA8-9427-2D566D3A939E}" name="RANGE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54F4FB-3A55-42C3-8225-F938E2E4406A}" name="Table2" displayName="Table2" ref="A30:F64" totalsRowShown="0" headerRowDxfId="182" dataDxfId="181">
  <autoFilter ref="A30:F64" xr:uid="{4B54F4FB-3A55-42C3-8225-F938E2E4406A}"/>
  <tableColumns count="6">
    <tableColumn id="1" xr3:uid="{0A4F973F-DF24-4BB5-AA34-B0D75906F39A}" name="DATE" dataDxfId="180"/>
    <tableColumn id="2" xr3:uid="{E2EDCA10-C1D6-447D-9B1C-1754B26D3606}" name="TIME" dataDxfId="179"/>
    <tableColumn id="3" xr3:uid="{0EFAAD74-55E4-45F0-86F0-F36FF2B8A2DF}" name="OUTCOME" dataDxfId="178"/>
    <tableColumn id="4" xr3:uid="{B042B8BF-D0EB-4376-B9D2-3BDDD543064E}" name="SPOT PTS" dataDxfId="177"/>
    <tableColumn id="5" xr3:uid="{B0DFDF3A-3F62-4AC8-8020-B63725B2A7E2}" name="DAY" dataDxfId="176"/>
    <tableColumn id="6" xr3:uid="{AEC1B907-63CD-4E96-8C75-8AD86E66E5E1}" name="RANGE" dataDxfId="1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6E8CB7-1B0B-431C-A6BD-A7D9B1EC6553}" name="Table821" displayName="Table821" ref="A244:F278" totalsRowShown="0" headerRowDxfId="39" dataDxfId="38">
  <autoFilter ref="A244:F278" xr:uid="{EA6E8CB7-1B0B-431C-A6BD-A7D9B1EC6553}"/>
  <tableColumns count="6">
    <tableColumn id="1" xr3:uid="{D4D8785D-D292-418A-A3C7-05459B110515}" name="DATE" dataDxfId="37"/>
    <tableColumn id="2" xr3:uid="{4CA49C91-567C-4C1B-A335-33F153F1FA59}" name="TIME" dataDxfId="36"/>
    <tableColumn id="3" xr3:uid="{9E080165-3C95-4ECA-8D66-34B427B9BB9B}" name="OUTCOME" dataDxfId="35"/>
    <tableColumn id="4" xr3:uid="{64610370-7FBC-455B-8765-7531B0ED8478}" name="SPOT PTS" dataDxfId="34"/>
    <tableColumn id="5" xr3:uid="{2896B735-4AE7-4F94-AFF7-EAB944E150F9}" name="DAY" dataDxfId="33"/>
    <tableColumn id="6" xr3:uid="{F5B8BA2B-4167-4BDB-B56D-8F29D70CB6E4}" name="RANGE" dataDxfId="3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85125EA-956D-47A6-9FA9-ABC320060D1D}" name="Table922" displayName="Table922" ref="A280:F308" totalsRowShown="0" headerRowDxfId="31" dataDxfId="30">
  <autoFilter ref="A280:F308" xr:uid="{E85125EA-956D-47A6-9FA9-ABC320060D1D}"/>
  <tableColumns count="6">
    <tableColumn id="1" xr3:uid="{D1EC9255-791D-45BA-AB63-1B4D0DB68DA0}" name="DATE" dataDxfId="29"/>
    <tableColumn id="2" xr3:uid="{2F441475-4AAF-450D-9F2C-BD06741A69EA}" name="TIME" dataDxfId="28"/>
    <tableColumn id="3" xr3:uid="{0AD97FE7-32F2-4983-B470-3C7A6AA1D17F}" name="OUTCOME" dataDxfId="27"/>
    <tableColumn id="4" xr3:uid="{6088E324-DEC2-4EE1-A332-44AA111FF5FC}" name="SPOT PTS" dataDxfId="26"/>
    <tableColumn id="5" xr3:uid="{49E90B75-77BE-4830-9EBA-EA3733A6D833}" name="DAY" dataDxfId="25"/>
    <tableColumn id="6" xr3:uid="{E675D98D-EBCC-4668-A750-02E169A9B14C}" name="RANGE" dataDxfId="2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4452F11-FB34-4E53-A188-914151F4F07A}" name="Table1023" displayName="Table1023" ref="A310:F343" totalsRowShown="0" headerRowDxfId="23" dataDxfId="22">
  <autoFilter ref="A310:F343" xr:uid="{54452F11-FB34-4E53-A188-914151F4F07A}"/>
  <tableColumns count="6">
    <tableColumn id="1" xr3:uid="{ACD16609-308A-425C-B9AC-B4984F2ECB7B}" name="DATE" dataDxfId="21"/>
    <tableColumn id="2" xr3:uid="{28F2B94D-16C8-4BAB-B344-46E519A15AD8}" name="TIME" dataDxfId="20"/>
    <tableColumn id="3" xr3:uid="{76DECC3C-EFF1-4E1E-B1DD-6336DFCDDE8E}" name="OUTCOME" dataDxfId="19"/>
    <tableColumn id="4" xr3:uid="{24321FFE-B784-4DF7-9264-AB9E2EA2673A}" name="SPOT PTS" dataDxfId="18"/>
    <tableColumn id="5" xr3:uid="{5791A2D2-E1FA-4B9B-9E06-120549B414F8}" name="DAY" dataDxfId="17"/>
    <tableColumn id="6" xr3:uid="{1A1AE0BF-B8DE-4B89-B897-7AC35999D343}" name="RANGE" dataDxfId="1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3066588-7FA3-4604-9778-24955FC796AF}" name="Table1124" displayName="Table1124" ref="A345:F369" totalsRowShown="0" headerRowDxfId="15" dataDxfId="14">
  <autoFilter ref="A345:F369" xr:uid="{B3066588-7FA3-4604-9778-24955FC796AF}"/>
  <tableColumns count="6">
    <tableColumn id="1" xr3:uid="{CA46C669-FEAD-4E7E-9D26-6FC1B51EC10E}" name="DATE" dataDxfId="13"/>
    <tableColumn id="2" xr3:uid="{19DEC75A-8640-4FEE-A4F3-6156292987DB}" name="TIME" dataDxfId="12"/>
    <tableColumn id="3" xr3:uid="{B8A1B4A3-F116-4832-875A-3AD729BF37C3}" name="OUTCOME" dataDxfId="11"/>
    <tableColumn id="4" xr3:uid="{2A792013-4990-40D8-8D66-797F4A49614B}" name="SPOT PTS" dataDxfId="10"/>
    <tableColumn id="5" xr3:uid="{DCB84C8C-5D90-4BF5-B1CD-2073F89D8D38}" name="DAY" dataDxfId="9"/>
    <tableColumn id="6" xr3:uid="{97ADEC7E-E1DD-4140-BAB7-A4F49949AEA0}" name="RANGE" dataDxfId="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CAB13-71BB-4611-B1CF-D93B140390FB}" name="Table1225" displayName="Table1225" ref="A371:F410" totalsRowShown="0" headerRowDxfId="7" dataDxfId="6">
  <autoFilter ref="A371:F410" xr:uid="{035CAB13-71BB-4611-B1CF-D93B140390FB}"/>
  <tableColumns count="6">
    <tableColumn id="1" xr3:uid="{60BC582C-D46D-48F1-B338-E088100C9D7F}" name="DATE" dataDxfId="5"/>
    <tableColumn id="2" xr3:uid="{A29A6EEA-447F-4365-A9FB-EC7BA7AEF2BE}" name="TIME" dataDxfId="4"/>
    <tableColumn id="3" xr3:uid="{08E44545-D92C-41C7-B052-ACB326427800}" name="OUTCOME" dataDxfId="3"/>
    <tableColumn id="4" xr3:uid="{1001F005-20CE-4D08-86FE-4CE24832EB7D}" name="SPOT PTS" dataDxfId="2"/>
    <tableColumn id="5" xr3:uid="{A650C3B0-2436-4D28-BFCF-11E97EEC0CF9}" name="DAY" dataDxfId="1"/>
    <tableColumn id="6" xr3:uid="{AAFEA72A-FDF9-4C8D-9F77-B6F934099FA9}" name="RANG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BA8309-7FD6-4641-B18D-751355BD7641}" name="Table3" displayName="Table3" ref="A66:F103" totalsRowShown="0" headerRowDxfId="174" dataDxfId="173" tableBorderDxfId="172">
  <autoFilter ref="A66:F103" xr:uid="{C7BA8309-7FD6-4641-B18D-751355BD7641}"/>
  <tableColumns count="6">
    <tableColumn id="1" xr3:uid="{DE71C9F0-AA5B-4A03-A356-7BB9944262C1}" name="DATE" dataDxfId="171"/>
    <tableColumn id="2" xr3:uid="{0D43C222-1952-436F-8D06-38D7D363C9E4}" name="TIME" dataDxfId="170"/>
    <tableColumn id="3" xr3:uid="{B56C68E4-3C83-4537-8665-9239F29838EA}" name="OUTCOME" dataDxfId="169"/>
    <tableColumn id="4" xr3:uid="{9A475799-05A0-4F04-81AF-8012CD62473F}" name="SPOT PTS" dataDxfId="168"/>
    <tableColumn id="5" xr3:uid="{110E4CB1-E7C3-41EA-A16E-EBA56BC9A80C}" name="DAY" dataDxfId="167"/>
    <tableColumn id="6" xr3:uid="{D4A77008-39A2-4D1B-B9F7-BDC325C417CE}" name="RANGE" dataDxfId="1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5FEFB2-D751-45C9-81E1-9EBA890D662F}" name="Table4" displayName="Table4" ref="A105:F137" totalsRowShown="0" headerRowDxfId="165" dataDxfId="164">
  <autoFilter ref="A105:F137" xr:uid="{9F5FEFB2-D751-45C9-81E1-9EBA890D662F}"/>
  <tableColumns count="6">
    <tableColumn id="1" xr3:uid="{39B2E049-716C-4E4E-91D1-6916715C80F1}" name="DATE" dataDxfId="163"/>
    <tableColumn id="2" xr3:uid="{BF3C53E9-5AFA-42FA-83B1-C13DABF693CB}" name="TIME" dataDxfId="162"/>
    <tableColumn id="3" xr3:uid="{4B4463A1-8254-4728-A969-A7AE6B636D7F}" name="OUTCOME" dataDxfId="161"/>
    <tableColumn id="4" xr3:uid="{2C4DAA42-DE9B-4E6D-B988-2978F470EF3B}" name="SPOT PTS" dataDxfId="160"/>
    <tableColumn id="5" xr3:uid="{A4D7EAB9-E519-4D95-9B4E-5BB5F4C05281}" name="DAY" dataDxfId="159"/>
    <tableColumn id="6" xr3:uid="{FC0A76F5-7063-4FF1-9078-97DA57A51C23}" name="RANGE" dataDxfId="1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A9387B-70F6-4958-9EBD-D5BBE6C5CAAC}" name="Table5" displayName="Table5" ref="A139:F171" totalsRowShown="0" headerRowDxfId="157" dataDxfId="156">
  <autoFilter ref="A139:F171" xr:uid="{D7A9387B-70F6-4958-9EBD-D5BBE6C5CAAC}"/>
  <tableColumns count="6">
    <tableColumn id="1" xr3:uid="{F014C6C9-0081-4BB9-ABBD-72B4ADDA0A4C}" name="DATE" dataDxfId="155"/>
    <tableColumn id="2" xr3:uid="{80034FF1-72A1-41BE-98D0-D47ADCED1CD9}" name="TIME" dataDxfId="154"/>
    <tableColumn id="3" xr3:uid="{3F1222A7-517C-4F8E-A9A4-584C4726EE84}" name="OUTCOME" dataDxfId="153"/>
    <tableColumn id="4" xr3:uid="{1A014378-BA70-4F39-A967-AA7AFFBA16CA}" name="SPOT PTS" dataDxfId="152"/>
    <tableColumn id="5" xr3:uid="{0523DC0D-C254-4E63-B8AF-BE0705133E1B}" name="DAY" dataDxfId="151"/>
    <tableColumn id="6" xr3:uid="{45F3F021-6E92-4C32-943A-8560CB49142E}" name="RANGE" dataDxfId="1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7551BF-A7B0-473C-AFDE-4616FE8BE2E8}" name="Table6" displayName="Table6" ref="A173:F208" totalsRowShown="0" headerRowDxfId="149" tableBorderDxfId="148">
  <autoFilter ref="A173:F208" xr:uid="{FA7551BF-A7B0-473C-AFDE-4616FE8BE2E8}"/>
  <tableColumns count="6">
    <tableColumn id="1" xr3:uid="{A3CC1DFF-5575-4188-AD1D-7FD8C1388991}" name="DATE" dataDxfId="147"/>
    <tableColumn id="2" xr3:uid="{EC5DB257-E1EF-49F6-B49B-FA3048A149DB}" name="TIME"/>
    <tableColumn id="3" xr3:uid="{2EC789D9-5F55-48CA-B9D7-C486D1F383F1}" name="OUTCOME"/>
    <tableColumn id="4" xr3:uid="{34935DA0-FD03-4889-BEB9-DE29DDFD8348}" name="SPOT PTS"/>
    <tableColumn id="5" xr3:uid="{3A46BF7B-B5A9-4BC8-AEEB-544114D69914}" name="DAY"/>
    <tableColumn id="6" xr3:uid="{CF1C1374-F30F-4E8B-B422-A3C6D6EDB88B}" name="RANGE" dataDxfId="1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4848A3-1E62-48ED-ACA0-654C699F79A6}" name="Table7" displayName="Table7" ref="A210:F242" totalsRowShown="0" headerRowDxfId="145" dataDxfId="144">
  <autoFilter ref="A210:F242" xr:uid="{F74848A3-1E62-48ED-ACA0-654C699F79A6}"/>
  <tableColumns count="6">
    <tableColumn id="1" xr3:uid="{3DECDF82-8CE4-412C-811C-D7C2606B9D1C}" name="DATE" dataDxfId="143"/>
    <tableColumn id="2" xr3:uid="{5893EAC0-1930-435C-9571-66DF559E7AF4}" name="TIME" dataDxfId="142"/>
    <tableColumn id="3" xr3:uid="{305A31E6-B44E-4FB5-896D-A0A51B3F4058}" name="OUTCOME" dataDxfId="141"/>
    <tableColumn id="4" xr3:uid="{AB2BBEEB-85B1-4F29-AA92-7955D893DC1E}" name="SPOT PTS" dataDxfId="140"/>
    <tableColumn id="5" xr3:uid="{B13948F6-75B7-4A67-8C72-A2F58B09E5FE}" name="DAY" dataDxfId="139"/>
    <tableColumn id="6" xr3:uid="{D42C3E92-A637-44A8-8F8E-10E195AEC2C0}" name="RANGE" dataDxfId="1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1C95EB4-1A0F-4AB9-911D-0F7E301E7CF4}" name="Table8" displayName="Table8" ref="A244:F278" totalsRowShown="0" headerRowDxfId="137" dataDxfId="136">
  <autoFilter ref="A244:F278" xr:uid="{11C95EB4-1A0F-4AB9-911D-0F7E301E7CF4}"/>
  <tableColumns count="6">
    <tableColumn id="1" xr3:uid="{D6DC2ADC-7D88-4E37-A243-5794217D1059}" name="DATE" dataDxfId="135"/>
    <tableColumn id="2" xr3:uid="{CCAE62DD-B258-4CED-AF63-3D7D79A5DAE5}" name="TIME" dataDxfId="134"/>
    <tableColumn id="3" xr3:uid="{EF4931D5-A0C3-4734-BBDF-8A0810545A5B}" name="OUTCOME" dataDxfId="133"/>
    <tableColumn id="4" xr3:uid="{25D55726-587E-4E12-8AC3-6F3A98383DCD}" name="SPOT PTS" dataDxfId="132"/>
    <tableColumn id="5" xr3:uid="{7B7391A8-1FA1-455A-A03C-63C453D352D2}" name="DAY" dataDxfId="131"/>
    <tableColumn id="6" xr3:uid="{829CD149-E9A5-4F93-8BF3-BB0807CEE3EB}" name="RANGE" dataDxfId="1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39F523-8E3D-46F8-ACCE-44E3C21148AF}" name="Table9" displayName="Table9" ref="A280:F308" totalsRowShown="0" headerRowDxfId="129" dataDxfId="128">
  <autoFilter ref="A280:F308" xr:uid="{7C39F523-8E3D-46F8-ACCE-44E3C21148AF}"/>
  <tableColumns count="6">
    <tableColumn id="1" xr3:uid="{A689BD08-CD17-4190-9552-2C30480A443A}" name="DATE" dataDxfId="127"/>
    <tableColumn id="2" xr3:uid="{B9DC22BE-0962-4F7F-AD01-ACF9170A5DB9}" name="TIME" dataDxfId="126"/>
    <tableColumn id="3" xr3:uid="{80EBC628-E5BE-4573-97BC-8340D87100E6}" name="OUTCOME" dataDxfId="125"/>
    <tableColumn id="4" xr3:uid="{46C5B0D0-81EC-42B5-81D4-7CB1F8C608BA}" name="SPOT PTS" dataDxfId="124"/>
    <tableColumn id="5" xr3:uid="{4B921E42-DB67-4C7D-90F6-B5F103AAEE75}" name="DAY" dataDxfId="123"/>
    <tableColumn id="6" xr3:uid="{02A98FB1-2F1C-42B0-A60D-5C3EB8909604}" name="RANGE" dataDxfId="1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F064-E947-4E35-B9AE-A1416ECDE110}">
  <dimension ref="A1:L19"/>
  <sheetViews>
    <sheetView tabSelected="1" zoomScale="130" zoomScaleNormal="130" workbookViewId="0">
      <selection activeCell="C17" sqref="C17"/>
    </sheetView>
  </sheetViews>
  <sheetFormatPr defaultColWidth="8.88671875" defaultRowHeight="14.4" x14ac:dyDescent="0.3"/>
  <cols>
    <col min="1" max="1" width="13" style="1" bestFit="1" customWidth="1"/>
    <col min="2" max="2" width="9.109375" style="1" bestFit="1" customWidth="1"/>
    <col min="3" max="3" width="14.6640625" style="1" bestFit="1" customWidth="1"/>
    <col min="4" max="4" width="14.33203125" style="1" bestFit="1" customWidth="1"/>
    <col min="5" max="6" width="8.88671875" style="1"/>
    <col min="7" max="7" width="12.6640625" style="1" bestFit="1" customWidth="1"/>
    <col min="8" max="8" width="12.88671875" style="1" bestFit="1" customWidth="1"/>
    <col min="9" max="10" width="8.88671875" style="1"/>
    <col min="11" max="11" width="11.33203125" style="1" bestFit="1" customWidth="1"/>
    <col min="12" max="16384" width="8.88671875" style="1"/>
  </cols>
  <sheetData>
    <row r="1" spans="1:12" x14ac:dyDescent="0.3">
      <c r="A1" s="11" t="s">
        <v>0</v>
      </c>
      <c r="B1" s="11" t="s">
        <v>1</v>
      </c>
      <c r="C1" s="11" t="s">
        <v>2</v>
      </c>
      <c r="D1" s="11" t="s">
        <v>3</v>
      </c>
      <c r="G1" s="11" t="s">
        <v>4</v>
      </c>
      <c r="H1" s="2">
        <f>C4/2</f>
        <v>6864.5</v>
      </c>
      <c r="J1" s="11" t="s">
        <v>5</v>
      </c>
      <c r="K1" s="2">
        <f>SUM((COUNTIF(Table1[RANGE],1)),(COUNTIF(Table2[RANGE],1)),(COUNTIF(Table3[RANGE],1)),(COUNTIF(Table4[RANGE],1)),(COUNTIF(Table5[RANGE],1)),(COUNTIF(Table6[RANGE],1)),(COUNTIF(Table7[RANGE],1)),(COUNTIF(Table8[RANGE],1)),(COUNTIF(Table9[RANGE],1)),(COUNTIF(Table10[RANGE],1)),(COUNTIF(Table11[RANGE],1)),(COUNTIF(Table12[RANGE],1)))</f>
        <v>288</v>
      </c>
      <c r="L1" s="3">
        <f>K1/B4</f>
        <v>0.74611398963730569</v>
      </c>
    </row>
    <row r="2" spans="1:12" x14ac:dyDescent="0.3">
      <c r="A2" s="2" t="s">
        <v>6</v>
      </c>
      <c r="B2" s="2">
        <f>B13</f>
        <v>232</v>
      </c>
      <c r="C2" s="2">
        <f>SUM('MONTHLY SIMPLE'!I6,'MONTHLY SIMPLE'!I34,'MONTHLY SIMPLE'!I70,'MONTHLY SIMPLE'!I109,'MONTHLY SIMPLE'!I143,'MONTHLY SIMPLE'!I177,'MONTHLY SIMPLE'!I214,'MONTHLY SIMPLE'!I249,'MONTHLY SIMPLE'!I285,'MONTHLY SIMPLE'!I315,'MONTHLY SIMPLE'!I350,'MONTHLY SIMPLE'!I375)</f>
        <v>-12041</v>
      </c>
      <c r="D2" s="2">
        <f>((C2/2)/B2)*15</f>
        <v>-389.25646551724139</v>
      </c>
      <c r="E2" s="3">
        <f>B2/B4</f>
        <v>0.60103626943005184</v>
      </c>
      <c r="G2" s="11" t="s">
        <v>7</v>
      </c>
      <c r="H2" s="4">
        <f>H1*15</f>
        <v>102967.5</v>
      </c>
      <c r="J2" s="11" t="s">
        <v>8</v>
      </c>
      <c r="K2" s="2">
        <f>SUM((COUNTIF(Table1[RANGE],2)),(COUNTIF(Table2[RANGE],2)),(COUNTIF(Table3[RANGE],2)),(COUNTIF(Table4[RANGE],2)),(COUNTIF(Table5[RANGE],2)),(COUNTIF(Table6[RANGE],2)),(COUNTIF(Table7[RANGE],2)),(COUNTIF(Table8[RANGE],2)),(COUNTIF(Table9[RANGE],2)),(COUNTIF(Table10[RANGE],2)),(COUNTIF(Table11[RANGE],2)),(COUNTIF(Table12[RANGE],2)))</f>
        <v>98</v>
      </c>
      <c r="L2" s="3">
        <f>K2/B4</f>
        <v>0.25388601036269431</v>
      </c>
    </row>
    <row r="3" spans="1:12" x14ac:dyDescent="0.3">
      <c r="A3" s="2" t="s">
        <v>9</v>
      </c>
      <c r="B3" s="2">
        <f>C13</f>
        <v>154</v>
      </c>
      <c r="C3" s="2">
        <f>SUM('MONTHLY SIMPLE'!I376,'MONTHLY SIMPLE'!I351,'MONTHLY SIMPLE'!I316,'MONTHLY SIMPLE'!I286,'MONTHLY SIMPLE'!I250,'MONTHLY SIMPLE'!I215,'MONTHLY SIMPLE'!I178,'MONTHLY SIMPLE'!I144,'MONTHLY SIMPLE'!I110,'MONTHLY SIMPLE'!I71,'MONTHLY SIMPLE'!I35,'MONTHLY SIMPLE'!I7)</f>
        <v>25770</v>
      </c>
      <c r="D3" s="2">
        <f>((C3/2)/B3)*15</f>
        <v>1255.0324675324675</v>
      </c>
      <c r="E3" s="3">
        <f>B3/B4</f>
        <v>0.39896373056994816</v>
      </c>
      <c r="G3" s="11" t="s">
        <v>10</v>
      </c>
      <c r="H3" s="4">
        <f>B4*65</f>
        <v>25090</v>
      </c>
    </row>
    <row r="4" spans="1:12" x14ac:dyDescent="0.3">
      <c r="A4" s="11" t="s">
        <v>11</v>
      </c>
      <c r="B4" s="11">
        <f>B3+B2</f>
        <v>386</v>
      </c>
      <c r="C4" s="11">
        <f>C3+C2</f>
        <v>13729</v>
      </c>
      <c r="D4" s="5">
        <f>B4/12</f>
        <v>32.166666666666664</v>
      </c>
      <c r="G4" s="11" t="s">
        <v>12</v>
      </c>
      <c r="H4" s="4">
        <f>H2-H3</f>
        <v>77877.5</v>
      </c>
    </row>
    <row r="5" spans="1:12" x14ac:dyDescent="0.3">
      <c r="G5" s="11" t="s">
        <v>13</v>
      </c>
      <c r="H5" s="6">
        <f>(H4-10000)/10000</f>
        <v>6.78775</v>
      </c>
    </row>
    <row r="7" spans="1:12" x14ac:dyDescent="0.3">
      <c r="A7" s="11" t="s">
        <v>14</v>
      </c>
      <c r="B7" s="11" t="s">
        <v>6</v>
      </c>
      <c r="C7" s="11" t="s">
        <v>9</v>
      </c>
      <c r="D7" s="11" t="s">
        <v>15</v>
      </c>
      <c r="G7" s="11" t="s">
        <v>16</v>
      </c>
      <c r="H7" s="11" t="s">
        <v>17</v>
      </c>
      <c r="I7" s="11" t="s">
        <v>18</v>
      </c>
      <c r="J7" s="11" t="s">
        <v>19</v>
      </c>
      <c r="K7" s="11" t="s">
        <v>20</v>
      </c>
    </row>
    <row r="8" spans="1:12" x14ac:dyDescent="0.3">
      <c r="A8" s="2" t="s">
        <v>21</v>
      </c>
      <c r="B8" s="2">
        <f>SUM(COUNTIFS(Table1[OUTCOME],"STOPLOSS",Table1[DAY],"THU"),COUNTIFS(Table2[OUTCOME],"STOPLOSS",Table2[DAY],"THU"),COUNTIFS(Table3[OUTCOME],"STOPLOSS",Table3[DAY],"THU"),COUNTIFS(Table4[OUTCOME],"STOPLOSS",Table4[DAY],"THU"),COUNTIFS(Table5[OUTCOME],"STOPLOSS",Table5[DAY],"THU"),COUNTIFS(Table6[OUTCOME],"STOPLOSS",Table6[DAY],"THU"),COUNTIFS(Table7[OUTCOME],"STOPLOSS",Table7[DAY],"THU"),COUNTIFS(Table8[OUTCOME],"STOPLOSS",Table8[DAY],"THU"),COUNTIFS(Table9[OUTCOME],"STOPLOSS",Table9[DAY],"THU"),COUNTIFS(Table10[OUTCOME],"STOPLOSS",Table10[DAY],"THU"),COUNTIFS(Table11[OUTCOME],"STOPLOSS",Table11[DAY],"THU"),COUNTIFS(Table12[OUTCOME],"STOPLOSS",Table12[DAY],"THU"))</f>
        <v>38</v>
      </c>
      <c r="C8" s="2">
        <f>SUM(COUNTIFS(Table1[OUTCOME],"TARGET",Table1[DAY],"THU"),COUNTIFS(Table2[OUTCOME],"TARGET",Table2[DAY],"THU"),COUNTIFS(Table3[OUTCOME],"TARGET",Table3[DAY],"THU"),COUNTIFS(Table4[OUTCOME],"TARGET",Table4[DAY],"THU"),COUNTIFS(Table5[OUTCOME],"TARGET",Table5[DAY],"THU"),COUNTIFS(Table6[OUTCOME],"TARGET",Table6[DAY],"THU"),COUNTIFS(Table7[OUTCOME],"TARGET",Table7[DAY],"THU"),COUNTIFS(Table8[OUTCOME],"TARGET",Table8[DAY],"THU"),COUNTIFS(Table9[OUTCOME],"TARGET",Table9[DAY],"THU"),COUNTIFS(Table10[OUTCOME],"TARGET",Table10[DAY],"THU"),COUNTIFS(Table11[OUTCOME],"TARGET",Table11[DAY],"THU"),COUNTIFS(Table12[OUTCOME],"TARGET",Table12[DAY],"THU"))</f>
        <v>29</v>
      </c>
      <c r="D8" s="2">
        <f>C8+B8</f>
        <v>67</v>
      </c>
      <c r="E8" s="3">
        <f>C8/D8</f>
        <v>0.43283582089552236</v>
      </c>
      <c r="G8" s="12" t="s">
        <v>22</v>
      </c>
      <c r="H8" s="3">
        <f>'MONTHLY SIMPLE'!I3</f>
        <v>0.46153846153846156</v>
      </c>
      <c r="I8" s="7">
        <f>'MONTHLY SIMPLE'!I7/762</f>
        <v>2.7073490813648293</v>
      </c>
      <c r="J8" s="5">
        <f>((COUNTIF(Table1[OUTCOME],"TARGET"))/(COUNTIF(Table1[OUTCOME],"STOPLOSS")))</f>
        <v>0.8571428571428571</v>
      </c>
      <c r="K8" s="4">
        <f>'MONTHLY SIMPLE'!I9</f>
        <v>8067.5</v>
      </c>
    </row>
    <row r="9" spans="1:12" x14ac:dyDescent="0.3">
      <c r="A9" s="2" t="s">
        <v>23</v>
      </c>
      <c r="B9" s="2">
        <f>SUM(COUNTIFS(Table1[OUTCOME],"STOPLOSS",Table1[DAY],"FRI"),COUNTIFS(Table2[OUTCOME],"STOPLOSS",Table2[DAY],"FRI"),COUNTIFS(Table3[OUTCOME],"STOPLOSS",Table3[DAY],"FRI"),COUNTIFS(Table4[OUTCOME],"STOPLOSS",Table4[DAY],"FRI"),COUNTIFS(Table5[OUTCOME],"STOPLOSS",Table5[DAY],"FRI"),COUNTIFS(Table6[OUTCOME],"STOPLOSS",Table6[DAY],"FRI"),COUNTIFS(Table7[OUTCOME],"STOPLOSS",Table7[DAY],"FRI"),COUNTIFS(Table8[OUTCOME],"STOPLOSS",Table8[DAY],"FRI"),COUNTIFS(Table9[OUTCOME],"STOPLOSS",Table9[DAY],"FRI"),COUNTIFS(Table10[OUTCOME],"STOPLOSS",Table10[DAY],"FRI"),COUNTIFS(Table11[OUTCOME],"STOPLOSS",Table11[DAY],"FRI"),COUNTIFS(Table12[OUTCOME],"STOPLOSS",Table12[DAY],"FRI"))</f>
        <v>36</v>
      </c>
      <c r="C9" s="2">
        <f>SUM(COUNTIFS(Table1[OUTCOME],"TARGET",Table1[DAY],"FRI"),COUNTIFS(Table2[OUTCOME],"TARGET",Table2[DAY],"FRI"),COUNTIFS(Table3[OUTCOME],"TARGET",Table3[DAY],"FRI"),COUNTIFS(Table4[OUTCOME],"TARGET",Table4[DAY],"FRI"),COUNTIFS(Table5[OUTCOME],"TARGET",Table5[DAY],"FRI"),COUNTIFS(Table6[OUTCOME],"TARGET",Table6[DAY],"FRI"),COUNTIFS(Table7[OUTCOME],"TARGET",Table7[DAY],"FRI"),COUNTIFS(Table8[OUTCOME],"TARGET",Table8[DAY],"FRI"),COUNTIFS(Table9[OUTCOME],"TARGET",Table9[DAY],"FRI"),COUNTIFS(Table10[OUTCOME],"TARGET",Table10[DAY],"FRI"),COUNTIFS(Table11[OUTCOME],"TARGET",Table11[DAY],"FRI"),COUNTIFS(Table12[OUTCOME],"TARGET",Table12[DAY],"FRI"))</f>
        <v>32</v>
      </c>
      <c r="D9" s="2">
        <f>C9+B9</f>
        <v>68</v>
      </c>
      <c r="E9" s="3">
        <f t="shared" ref="E9:E12" si="0">C9/D9</f>
        <v>0.47058823529411764</v>
      </c>
      <c r="G9" s="12" t="s">
        <v>24</v>
      </c>
      <c r="H9" s="8">
        <f>'MONTHLY SIMPLE'!I31</f>
        <v>0.41176470588235292</v>
      </c>
      <c r="I9" s="7">
        <f>'MONTHLY SIMPLE'!I35/1377</f>
        <v>2.3129992737835874</v>
      </c>
      <c r="J9" s="5">
        <f>((COUNTIF(Table2[OUTCOME],"TARGET"))/(COUNTIF(Table2[OUTCOME],"STOPLOSS")))</f>
        <v>0.7</v>
      </c>
      <c r="K9" s="4">
        <f>'MONTHLY SIMPLE'!I37</f>
        <v>11350</v>
      </c>
    </row>
    <row r="10" spans="1:12" x14ac:dyDescent="0.3">
      <c r="A10" s="2" t="s">
        <v>25</v>
      </c>
      <c r="B10" s="1">
        <f>SUM(COUNTIFS(Table1[OUTCOME],"STOPLOSS",Table1[DAY],"MON"),COUNTIFS(Table2[OUTCOME],"STOPLOSS",Table2[DAY],"MON"),COUNTIFS(Table3[OUTCOME],"STOPLOSS",Table3[DAY],"MON"),COUNTIFS(Table4[OUTCOME],"STOPLOSS",Table4[DAY],"MON"),COUNTIFS(Table5[OUTCOME],"STOPLOSS",Table5[DAY],"MON"),COUNTIFS(Table6[OUTCOME],"STOPLOSS",Table6[DAY],"MON"),COUNTIFS(Table7[OUTCOME],"STOPLOSS",Table7[DAY],"MON"),COUNTIFS(Table8[OUTCOME],"STOPLOSS",Table8[DAY],"MON"),COUNTIFS(Table9[OUTCOME],"STOPLOSS",Table9[DAY],"MON"),COUNTIFS(Table10[OUTCOME],"STOPLOSS",Table10[DAY],"MON"),COUNTIFS(Table11[OUTCOME],"STOPLOSS",Table11[DAY],"MON"),COUNTIFS(Table12[OUTCOME],"STOPLOSS",Table12[DAY],"MON"))</f>
        <v>57</v>
      </c>
      <c r="C10" s="2">
        <f>SUM(COUNTIFS(Table1[OUTCOME],"TARGET",Table1[DAY],"MON"),COUNTIFS(Table2[OUTCOME],"TARGET",Table2[DAY],"MON"),COUNTIFS(Table3[OUTCOME],"TARGET",Table3[DAY],"MON"),COUNTIFS(Table4[OUTCOME],"TARGET",Table4[DAY],"MON"),COUNTIFS(Table5[OUTCOME],"TARGET",Table5[DAY],"MON"),COUNTIFS(Table6[OUTCOME],"TARGET",Table6[DAY],"MON"),COUNTIFS(Table7[OUTCOME],"TARGET",Table7[DAY],"MON"),COUNTIFS(Table8[OUTCOME],"TARGET",Table8[DAY],"MON"),COUNTIFS(Table9[OUTCOME],"TARGET",Table9[DAY],"MON"),COUNTIFS(Table10[OUTCOME],"TARGET",Table10[DAY],"MON"),COUNTIFS(Table11[OUTCOME],"TARGET",Table11[DAY],"MON"),COUNTIFS(Table12[OUTCOME],"TARGET",Table12[DAY],"MON"))</f>
        <v>27</v>
      </c>
      <c r="D10" s="2">
        <f>C10+B10</f>
        <v>84</v>
      </c>
      <c r="E10" s="3">
        <f t="shared" si="0"/>
        <v>0.32142857142857145</v>
      </c>
      <c r="G10" s="12" t="s">
        <v>26</v>
      </c>
      <c r="H10" s="8">
        <f>'MONTHLY SIMPLE'!I67</f>
        <v>0.48648648648648651</v>
      </c>
      <c r="I10" s="7">
        <f>'MONTHLY SIMPLE'!I71/1219</f>
        <v>2.9926168990976212</v>
      </c>
      <c r="J10" s="5">
        <f>((COUNTIF(Table3[OUTCOME],"TARGET"))/(COUNTIF(Table3[OUTCOME],"STOPLOSS")))</f>
        <v>0.94736842105263153</v>
      </c>
      <c r="K10" s="4">
        <f>'MONTHLY SIMPLE'!I73</f>
        <v>15812.5</v>
      </c>
    </row>
    <row r="11" spans="1:12" x14ac:dyDescent="0.3">
      <c r="A11" s="2" t="s">
        <v>27</v>
      </c>
      <c r="B11" s="2">
        <f>SUM(COUNTIFS(Table1[OUTCOME],"STOPLOSS",Table1[DAY],"TUE"),COUNTIFS(Table2[OUTCOME],"STOPLOSS",Table2[DAY],"TUE"),COUNTIFS(Table3[OUTCOME],"STOPLOSS",Table3[DAY],"TUE"),COUNTIFS(Table4[OUTCOME],"STOPLOSS",Table4[DAY],"TUE"),COUNTIFS(Table5[OUTCOME],"STOPLOSS",Table5[DAY],"TUE"),COUNTIFS(Table6[OUTCOME],"STOPLOSS",Table6[DAY],"TUE"),COUNTIFS(Table7[OUTCOME],"STOPLOSS",Table7[DAY],"TUE"),COUNTIFS(Table8[OUTCOME],"STOPLOSS",Table8[DAY],"TUE"),COUNTIFS(Table9[OUTCOME],"STOPLOSS",Table9[DAY],"TUE"),COUNTIFS(Table10[OUTCOME],"STOPLOSS",Table10[DAY],"TUE"),COUNTIFS(Table11[OUTCOME],"STOPLOSS",Table11[DAY],"TUE"),COUNTIFS(Table12[OUTCOME],"STOPLOSS",Table12[DAY],"TUE"))</f>
        <v>55</v>
      </c>
      <c r="C11" s="2">
        <f>SUM(COUNTIFS(Table1[OUTCOME],"TARGET",Table1[DAY],"TUE"),COUNTIFS(Table2[OUTCOME],"TARGET",Table2[DAY],"TUE"),COUNTIFS(Table3[OUTCOME],"TARGET",Table3[DAY],"TUE"),COUNTIFS(Table4[OUTCOME],"TARGET",Table4[DAY],"TUE"),COUNTIFS(Table5[OUTCOME],"TARGET",Table5[DAY],"TUE"),COUNTIFS(Table6[OUTCOME],"TARGET",Table6[DAY],"TUE"),COUNTIFS(Table7[OUTCOME],"TARGET",Table7[DAY],"TUE"),COUNTIFS(Table8[OUTCOME],"TARGET",Table8[DAY],"TUE"),COUNTIFS(Table9[OUTCOME],"TARGET",Table9[DAY],"TUE"),COUNTIFS(Table10[OUTCOME],"TARGET",Table10[DAY],"TUE"),COUNTIFS(Table11[OUTCOME],"TARGET",Table11[DAY],"TUE"),COUNTIFS(Table12[OUTCOME],"TARGET",Table12[DAY],"TUE"))</f>
        <v>33</v>
      </c>
      <c r="D11" s="2">
        <f>C11+B11</f>
        <v>88</v>
      </c>
      <c r="E11" s="3">
        <f t="shared" si="0"/>
        <v>0.375</v>
      </c>
      <c r="G11" s="12" t="s">
        <v>28</v>
      </c>
      <c r="H11" s="8">
        <f>'MONTHLY SIMPLE'!I106</f>
        <v>0.375</v>
      </c>
      <c r="I11" s="7">
        <f>'MONTHLY SIMPLE'!I110/1221</f>
        <v>1.80999180999181</v>
      </c>
      <c r="J11" s="5">
        <f>((COUNTIF(Table4[OUTCOME],"TARGET"))/(COUNTIF(Table4[OUTCOME],"STOPLOSS")))</f>
        <v>0.6</v>
      </c>
      <c r="K11" s="4">
        <f>'MONTHLY SIMPLE'!I112</f>
        <v>5337.5</v>
      </c>
    </row>
    <row r="12" spans="1:12" x14ac:dyDescent="0.3">
      <c r="A12" s="2" t="s">
        <v>29</v>
      </c>
      <c r="B12" s="2">
        <f>SUM(COUNTIFS(Table1[OUTCOME],"STOPLOSS",Table1[DAY],"WED"),COUNTIFS(Table2[OUTCOME],"STOPLOSS",Table2[DAY],"WED"),COUNTIFS(Table3[OUTCOME],"STOPLOSS",Table3[DAY],"WED"),COUNTIFS(Table4[OUTCOME],"STOPLOSS",Table4[DAY],"WED"),COUNTIFS(Table5[OUTCOME],"STOPLOSS",Table5[DAY],"WED"),COUNTIFS(Table6[OUTCOME],"STOPLOSS",Table6[DAY],"WED"),COUNTIFS(Table7[OUTCOME],"STOPLOSS",Table7[DAY],"WED"),COUNTIFS(Table8[OUTCOME],"STOPLOSS",Table8[DAY],"WED"),COUNTIFS(Table9[OUTCOME],"STOPLOSS",Table9[DAY],"WED"),COUNTIFS(Table10[OUTCOME],"STOPLOSS",Table10[DAY],"WED"),COUNTIFS(Table11[OUTCOME],"STOPLOSS",Table11[DAY],"WED"),COUNTIFS(Table12[OUTCOME],"STOPLOSS",Table12[DAY],"WED"))</f>
        <v>46</v>
      </c>
      <c r="C12" s="2">
        <f>SUM(COUNTIFS(Table1[OUTCOME],"TARGET",Table1[DAY],"WED"),COUNTIFS(Table2[OUTCOME],"TARGET",Table2[DAY],"WED"),COUNTIFS(Table3[OUTCOME],"TARGET",Table3[DAY],"WED"),COUNTIFS(Table4[OUTCOME],"TARGET",Table4[DAY],"WED"),COUNTIFS(Table5[OUTCOME],"TARGET",Table5[DAY],"WED"),COUNTIFS(Table6[OUTCOME],"TARGET",Table6[DAY],"WED"),COUNTIFS(Table7[OUTCOME],"TARGET",Table7[DAY],"WED"),COUNTIFS(Table8[OUTCOME],"TARGET",Table8[DAY],"WED"),COUNTIFS(Table9[OUTCOME],"TARGET",Table9[DAY],"WED"),COUNTIFS(Table10[OUTCOME],"TARGET",Table10[DAY],"WED"),COUNTIFS(Table11[OUTCOME],"TARGET",Table11[DAY],"WED"),COUNTIFS(Table12[OUTCOME],"TARGET",Table12[DAY],"WED"))</f>
        <v>33</v>
      </c>
      <c r="D12" s="2">
        <f>C12+B12</f>
        <v>79</v>
      </c>
      <c r="E12" s="3">
        <f t="shared" si="0"/>
        <v>0.41772151898734178</v>
      </c>
      <c r="G12" s="12" t="s">
        <v>30</v>
      </c>
      <c r="H12" s="8">
        <f>'MONTHLY SIMPLE'!I140</f>
        <v>0.40625</v>
      </c>
      <c r="I12" s="7">
        <f>'MONTHLY SIMPLE'!I144/1008</f>
        <v>1.8819444444444444</v>
      </c>
      <c r="J12" s="5">
        <f>((COUNTIF(Table5[OUTCOME],"TARGET"))/(COUNTIF(Table5[OUTCOME],"STOPLOSS")))</f>
        <v>0.68421052631578949</v>
      </c>
      <c r="K12" s="4">
        <f>'MONTHLY SIMPLE'!I146</f>
        <v>4587.5</v>
      </c>
    </row>
    <row r="13" spans="1:12" x14ac:dyDescent="0.3">
      <c r="A13" s="11" t="s">
        <v>15</v>
      </c>
      <c r="B13" s="11">
        <f>SUM(B8:B12)</f>
        <v>232</v>
      </c>
      <c r="C13" s="11">
        <f t="shared" ref="C13:D13" si="1">SUM(C8:C12)</f>
        <v>154</v>
      </c>
      <c r="D13" s="11">
        <f t="shared" si="1"/>
        <v>386</v>
      </c>
      <c r="E13"/>
      <c r="G13" s="12" t="s">
        <v>31</v>
      </c>
      <c r="H13" s="8">
        <f>'MONTHLY SIMPLE'!I174</f>
        <v>0.25714285714285712</v>
      </c>
      <c r="I13" s="7">
        <f>'MONTHLY SIMPLE'!I178/1065</f>
        <v>0.98215962441314553</v>
      </c>
      <c r="J13" s="5">
        <f>((COUNTIF(Table6[OUTCOME],"TARGET"))/(COUNTIF(Table6[OUTCOME],"STOPLOSS")))</f>
        <v>0.34615384615384615</v>
      </c>
      <c r="K13" s="4">
        <f>'MONTHLY SIMPLE'!I180</f>
        <v>-2417.5</v>
      </c>
    </row>
    <row r="14" spans="1:12" ht="15" thickBot="1" x14ac:dyDescent="0.35">
      <c r="G14" s="12" t="s">
        <v>32</v>
      </c>
      <c r="H14" s="8">
        <f>'MONTHLY SIMPLE'!I211</f>
        <v>0.5</v>
      </c>
      <c r="I14" s="7">
        <f>'MONTHLY SIMPLE'!I215/606</f>
        <v>2.8531353135313533</v>
      </c>
      <c r="J14" s="5">
        <f>((COUNTIF(Table7[OUTCOME],"TARGET"))/(COUNTIF(Table7[OUTCOME],"STOPLOSS")))</f>
        <v>1</v>
      </c>
      <c r="K14" s="4">
        <f>'MONTHLY SIMPLE'!I217</f>
        <v>6342.5</v>
      </c>
    </row>
    <row r="15" spans="1:12" ht="15" thickBot="1" x14ac:dyDescent="0.35">
      <c r="A15" s="24" t="s">
        <v>60</v>
      </c>
      <c r="B15" s="26">
        <f>((0.399*1255.03)-(0.601*389.25))-65</f>
        <v>201.81772000000001</v>
      </c>
      <c r="C15" s="41">
        <f>B15/8000</f>
        <v>2.5227215000000001E-2</v>
      </c>
      <c r="D15" s="42">
        <f>100/2.52</f>
        <v>39.682539682539684</v>
      </c>
      <c r="G15" s="12" t="s">
        <v>33</v>
      </c>
      <c r="H15" s="8">
        <f>'MONTHLY SIMPLE'!I246</f>
        <v>0.41176470588235292</v>
      </c>
      <c r="I15" s="7">
        <f>'MONTHLY SIMPLE'!I250/914</f>
        <v>2.12363238512035</v>
      </c>
      <c r="J15" s="5">
        <f>((COUNTIF(Table8[OUTCOME],"TARGET"))/(COUNTIF(Table8[OUTCOME],"STOPLOSS")))</f>
        <v>0.7</v>
      </c>
      <c r="K15" s="4">
        <f>'MONTHLY SIMPLE'!I252</f>
        <v>5492.5</v>
      </c>
    </row>
    <row r="16" spans="1:12" x14ac:dyDescent="0.3">
      <c r="G16" s="12" t="s">
        <v>34</v>
      </c>
      <c r="H16" s="8">
        <f>'MONTHLY SIMPLE'!I282</f>
        <v>0.35714285714285715</v>
      </c>
      <c r="I16" s="7">
        <f>'MONTHLY SIMPLE'!I286/707</f>
        <v>2.2814710042432815</v>
      </c>
      <c r="J16" s="5">
        <f>((COUNTIF(Table9[OUTCOME],"TARGET"))/(COUNTIF(Table9[OUTCOME],"STOPLOSS")))</f>
        <v>0.55555555555555558</v>
      </c>
      <c r="K16" s="4">
        <f>'MONTHLY SIMPLE'!I288</f>
        <v>4975</v>
      </c>
    </row>
    <row r="17" spans="7:11" x14ac:dyDescent="0.3">
      <c r="G17" s="12" t="s">
        <v>35</v>
      </c>
      <c r="H17" s="8">
        <f>'MONTHLY SIMPLE'!I312</f>
        <v>0.45454545454545453</v>
      </c>
      <c r="I17" s="7">
        <f>'MONTHLY SIMPLE'!I316/984</f>
        <v>3.0020325203252032</v>
      </c>
      <c r="J17" s="5">
        <f>((COUNTIF(Table10[OUTCOME],"TARGET"))/(COUNTIF(Table10[OUTCOME],"STOPLOSS")))</f>
        <v>0.83333333333333337</v>
      </c>
      <c r="K17" s="4">
        <f>'MONTHLY SIMPLE'!I318</f>
        <v>12630</v>
      </c>
    </row>
    <row r="18" spans="7:11" x14ac:dyDescent="0.3">
      <c r="G18" s="12" t="s">
        <v>36</v>
      </c>
      <c r="H18" s="8">
        <f>'MONTHLY SIMPLE'!I347</f>
        <v>0.45833333333333331</v>
      </c>
      <c r="I18" s="7">
        <f>'MONTHLY SIMPLE'!I351/754</f>
        <v>2.3952254641909816</v>
      </c>
      <c r="J18" s="5">
        <f>((COUNTIF(Table11[OUTCOME],"TARGET"))/(COUNTIF(Table11[OUTCOME],"STOPLOSS")))</f>
        <v>0.84615384615384615</v>
      </c>
      <c r="K18" s="4">
        <f>'MONTHLY SIMPLE'!I353</f>
        <v>6330</v>
      </c>
    </row>
    <row r="19" spans="7:11" x14ac:dyDescent="0.3">
      <c r="G19" s="12" t="s">
        <v>37</v>
      </c>
      <c r="H19" s="8">
        <f>'MONTHLY SIMPLE'!I372</f>
        <v>0.25641025641025639</v>
      </c>
      <c r="I19" s="7">
        <f>'MONTHLY SIMPLE'!I376/1424</f>
        <v>1.178370786516854</v>
      </c>
      <c r="J19" s="5">
        <f>((COUNTIF(Table12[OUTCOME],"TARGET"))/(COUNTIF(Table12[OUTCOME],"STOPLOSS")))</f>
        <v>0.34482758620689657</v>
      </c>
      <c r="K19" s="4">
        <f>'MONTHLY SIMPLE'!I378</f>
        <v>-630</v>
      </c>
    </row>
  </sheetData>
  <conditionalFormatting sqref="B8:B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BC7F-E890-4B6B-9613-7F072C4D3732}">
  <dimension ref="A1:L410"/>
  <sheetViews>
    <sheetView topLeftCell="A388" zoomScaleNormal="100" workbookViewId="0">
      <selection activeCell="I180" sqref="I180"/>
    </sheetView>
  </sheetViews>
  <sheetFormatPr defaultColWidth="16.88671875" defaultRowHeight="19.95" customHeight="1" x14ac:dyDescent="0.3"/>
  <cols>
    <col min="1" max="6" width="15.109375" style="1" customWidth="1"/>
    <col min="7" max="7" width="14.33203125" style="1" customWidth="1"/>
    <col min="8" max="8" width="23.33203125" style="1" bestFit="1" customWidth="1"/>
    <col min="9" max="9" width="13.5546875" style="1" customWidth="1"/>
    <col min="10" max="10" width="13.109375" style="1" customWidth="1"/>
    <col min="11" max="12" width="16.88671875" style="28"/>
    <col min="13" max="16384" width="16.88671875" style="1"/>
  </cols>
  <sheetData>
    <row r="1" spans="1:12" ht="19.95" customHeight="1" x14ac:dyDescent="0.3">
      <c r="A1" s="40" t="s">
        <v>45</v>
      </c>
      <c r="B1" s="40"/>
      <c r="C1" s="40"/>
      <c r="D1" s="40"/>
      <c r="E1" s="40"/>
      <c r="F1" s="40"/>
    </row>
    <row r="2" spans="1:12" ht="19.95" customHeight="1" thickBot="1" x14ac:dyDescent="0.35">
      <c r="A2" s="10" t="s">
        <v>46</v>
      </c>
      <c r="B2" s="10" t="s">
        <v>47</v>
      </c>
      <c r="C2" s="10" t="s">
        <v>0</v>
      </c>
      <c r="D2" s="10" t="s">
        <v>48</v>
      </c>
      <c r="E2" s="10" t="s">
        <v>14</v>
      </c>
      <c r="F2" s="10" t="s">
        <v>49</v>
      </c>
      <c r="H2" s="2" t="s">
        <v>38</v>
      </c>
      <c r="I2" s="2">
        <f>COUNT(Table1[DATE])</f>
        <v>26</v>
      </c>
      <c r="L2" s="28">
        <v>10000</v>
      </c>
    </row>
    <row r="3" spans="1:12" ht="19.95" customHeight="1" x14ac:dyDescent="0.3">
      <c r="A3" s="13">
        <v>1</v>
      </c>
      <c r="B3" s="14">
        <v>0.3923611111111111</v>
      </c>
      <c r="C3" s="15" t="s">
        <v>6</v>
      </c>
      <c r="D3" s="15">
        <v>-63</v>
      </c>
      <c r="E3" s="15" t="s">
        <v>23</v>
      </c>
      <c r="F3" s="16">
        <v>1</v>
      </c>
      <c r="H3" s="2" t="s">
        <v>39</v>
      </c>
      <c r="I3" s="3">
        <f>((COUNTIF(Table1[OUTCOME],"TARGET"))/I2)</f>
        <v>0.46153846153846156</v>
      </c>
      <c r="K3" s="28">
        <f>(Table1[[#This Row],[SPOT PTS]]/2)*15-65</f>
        <v>-537.5</v>
      </c>
      <c r="L3" s="28">
        <f>K3+L2</f>
        <v>9462.5</v>
      </c>
    </row>
    <row r="4" spans="1:12" ht="19.95" customHeight="1" thickBot="1" x14ac:dyDescent="0.35">
      <c r="A4" s="17">
        <v>1</v>
      </c>
      <c r="B4" s="18">
        <v>0.40972222222222227</v>
      </c>
      <c r="C4" s="19" t="s">
        <v>9</v>
      </c>
      <c r="D4" s="19">
        <v>51</v>
      </c>
      <c r="E4" s="19" t="s">
        <v>23</v>
      </c>
      <c r="F4" s="20">
        <v>1</v>
      </c>
      <c r="H4" s="2" t="s">
        <v>40</v>
      </c>
      <c r="I4" s="2">
        <f>SUM(Table1[SPOT PTS])</f>
        <v>1301</v>
      </c>
      <c r="K4" s="28">
        <f>(Table1[[#This Row],[SPOT PTS]]/2)*15-65</f>
        <v>317.5</v>
      </c>
      <c r="L4" s="28">
        <f t="shared" ref="L4:L28" si="0">K4+L3</f>
        <v>9780</v>
      </c>
    </row>
    <row r="5" spans="1:12" ht="19.95" customHeight="1" x14ac:dyDescent="0.3">
      <c r="A5" s="13">
        <v>4</v>
      </c>
      <c r="B5" s="14">
        <v>0.3923611111111111</v>
      </c>
      <c r="C5" s="15" t="s">
        <v>6</v>
      </c>
      <c r="D5" s="15">
        <v>-46</v>
      </c>
      <c r="E5" s="15" t="s">
        <v>25</v>
      </c>
      <c r="F5" s="16">
        <v>1</v>
      </c>
      <c r="H5" s="2" t="s">
        <v>10</v>
      </c>
      <c r="I5" s="2">
        <f>65*I2</f>
        <v>1690</v>
      </c>
      <c r="K5" s="28">
        <f>(Table1[[#This Row],[SPOT PTS]]/2)*15-65</f>
        <v>-410</v>
      </c>
      <c r="L5" s="28">
        <f t="shared" si="0"/>
        <v>9370</v>
      </c>
    </row>
    <row r="6" spans="1:12" ht="19.95" customHeight="1" thickBot="1" x14ac:dyDescent="0.35">
      <c r="A6" s="17">
        <v>4</v>
      </c>
      <c r="B6" s="18">
        <v>0.41666666666666669</v>
      </c>
      <c r="C6" s="19" t="s">
        <v>9</v>
      </c>
      <c r="D6" s="19">
        <v>145</v>
      </c>
      <c r="E6" s="19" t="s">
        <v>25</v>
      </c>
      <c r="F6" s="20">
        <v>1</v>
      </c>
      <c r="H6" s="2" t="s">
        <v>41</v>
      </c>
      <c r="I6" s="2">
        <f>SUMIF(Table1[OUTCOME],"STOPLOSS",Table1[SPOT PTS])</f>
        <v>-762</v>
      </c>
      <c r="K6" s="28">
        <f>(Table1[[#This Row],[SPOT PTS]]/2)*15-65</f>
        <v>1022.5</v>
      </c>
      <c r="L6" s="28">
        <f t="shared" si="0"/>
        <v>10392.5</v>
      </c>
    </row>
    <row r="7" spans="1:12" ht="19.95" customHeight="1" x14ac:dyDescent="0.3">
      <c r="A7" s="13">
        <v>5</v>
      </c>
      <c r="B7" s="14">
        <v>0.4826388888888889</v>
      </c>
      <c r="C7" s="15" t="s">
        <v>6</v>
      </c>
      <c r="D7" s="15">
        <v>-45</v>
      </c>
      <c r="E7" s="15" t="s">
        <v>27</v>
      </c>
      <c r="F7" s="16">
        <v>1</v>
      </c>
      <c r="H7" s="2" t="s">
        <v>42</v>
      </c>
      <c r="I7" s="2">
        <f>SUMIF(Table1[OUTCOME],"TARGET",Table1[SPOT PTS])</f>
        <v>2063</v>
      </c>
      <c r="K7" s="28">
        <f>(Table1[[#This Row],[SPOT PTS]]/2)*15-65</f>
        <v>-402.5</v>
      </c>
      <c r="L7" s="28">
        <f t="shared" si="0"/>
        <v>9990</v>
      </c>
    </row>
    <row r="8" spans="1:12" ht="19.95" customHeight="1" thickBot="1" x14ac:dyDescent="0.35">
      <c r="A8" s="17">
        <v>5</v>
      </c>
      <c r="B8" s="18">
        <v>0.53125</v>
      </c>
      <c r="C8" s="19" t="s">
        <v>9</v>
      </c>
      <c r="D8" s="19">
        <v>62</v>
      </c>
      <c r="E8" s="19" t="s">
        <v>27</v>
      </c>
      <c r="F8" s="20">
        <v>2</v>
      </c>
      <c r="H8" s="2" t="s">
        <v>43</v>
      </c>
      <c r="I8" s="6">
        <f>(L28-L2)/L2</f>
        <v>0.80674999999999997</v>
      </c>
      <c r="K8" s="28">
        <f>(Table1[[#This Row],[SPOT PTS]]/2)*15-65</f>
        <v>400</v>
      </c>
      <c r="L8" s="28">
        <f t="shared" si="0"/>
        <v>10390</v>
      </c>
    </row>
    <row r="9" spans="1:12" ht="19.95" customHeight="1" x14ac:dyDescent="0.3">
      <c r="A9" s="13">
        <v>6</v>
      </c>
      <c r="B9" s="14">
        <v>0.3923611111111111</v>
      </c>
      <c r="C9" s="15" t="s">
        <v>6</v>
      </c>
      <c r="D9" s="15">
        <v>-58</v>
      </c>
      <c r="E9" s="15" t="s">
        <v>29</v>
      </c>
      <c r="F9" s="16">
        <v>1</v>
      </c>
      <c r="H9" s="2" t="s">
        <v>44</v>
      </c>
      <c r="I9" s="9">
        <f>((I4/2)*15)-I5</f>
        <v>8067.5</v>
      </c>
      <c r="K9" s="28">
        <f>(Table1[[#This Row],[SPOT PTS]]/2)*15-65</f>
        <v>-500</v>
      </c>
      <c r="L9" s="28">
        <f t="shared" si="0"/>
        <v>9890</v>
      </c>
    </row>
    <row r="10" spans="1:12" ht="19.95" customHeight="1" thickBot="1" x14ac:dyDescent="0.35">
      <c r="A10" s="17">
        <v>6</v>
      </c>
      <c r="B10" s="18">
        <v>0.4513888888888889</v>
      </c>
      <c r="C10" s="19" t="s">
        <v>6</v>
      </c>
      <c r="D10" s="19">
        <v>-38</v>
      </c>
      <c r="E10" s="19" t="s">
        <v>29</v>
      </c>
      <c r="F10" s="20">
        <v>1</v>
      </c>
      <c r="K10" s="28">
        <f>(Table1[[#This Row],[SPOT PTS]]/2)*15-65</f>
        <v>-350</v>
      </c>
      <c r="L10" s="28">
        <f t="shared" si="0"/>
        <v>9540</v>
      </c>
    </row>
    <row r="11" spans="1:12" ht="19.95" customHeight="1" thickBot="1" x14ac:dyDescent="0.35">
      <c r="A11" s="24">
        <v>7</v>
      </c>
      <c r="B11" s="25">
        <v>0.39930555555555558</v>
      </c>
      <c r="C11" s="26" t="s">
        <v>6</v>
      </c>
      <c r="D11" s="26">
        <v>-56</v>
      </c>
      <c r="E11" s="26" t="s">
        <v>21</v>
      </c>
      <c r="F11" s="27">
        <v>1</v>
      </c>
      <c r="K11" s="28">
        <f>(Table1[[#This Row],[SPOT PTS]]/2)*15-65</f>
        <v>-485</v>
      </c>
      <c r="L11" s="28">
        <f t="shared" si="0"/>
        <v>9055</v>
      </c>
    </row>
    <row r="12" spans="1:12" ht="19.95" customHeight="1" thickBot="1" x14ac:dyDescent="0.35">
      <c r="A12" s="24">
        <v>8</v>
      </c>
      <c r="B12" s="25">
        <v>0.3888888888888889</v>
      </c>
      <c r="C12" s="26" t="s">
        <v>6</v>
      </c>
      <c r="D12" s="26">
        <v>-80</v>
      </c>
      <c r="E12" s="26" t="s">
        <v>23</v>
      </c>
      <c r="F12" s="27">
        <v>1</v>
      </c>
      <c r="K12" s="28">
        <f>(Table1[[#This Row],[SPOT PTS]]/2)*15-65</f>
        <v>-665</v>
      </c>
      <c r="L12" s="28">
        <f t="shared" si="0"/>
        <v>8390</v>
      </c>
    </row>
    <row r="13" spans="1:12" ht="19.95" customHeight="1" thickBot="1" x14ac:dyDescent="0.35">
      <c r="A13" s="24">
        <v>11</v>
      </c>
      <c r="B13" s="25">
        <v>0.39930555555555558</v>
      </c>
      <c r="C13" s="26" t="s">
        <v>9</v>
      </c>
      <c r="D13" s="26">
        <v>203</v>
      </c>
      <c r="E13" s="26" t="s">
        <v>25</v>
      </c>
      <c r="F13" s="27">
        <v>1</v>
      </c>
      <c r="K13" s="28">
        <f>(Table1[[#This Row],[SPOT PTS]]/2)*15-65</f>
        <v>1457.5</v>
      </c>
      <c r="L13" s="28">
        <f t="shared" si="0"/>
        <v>9847.5</v>
      </c>
    </row>
    <row r="14" spans="1:12" ht="19.95" customHeight="1" thickBot="1" x14ac:dyDescent="0.35">
      <c r="A14" s="24">
        <v>13</v>
      </c>
      <c r="B14" s="25">
        <v>0.40625</v>
      </c>
      <c r="C14" s="26" t="s">
        <v>9</v>
      </c>
      <c r="D14" s="26">
        <v>145</v>
      </c>
      <c r="E14" s="26" t="s">
        <v>29</v>
      </c>
      <c r="F14" s="27">
        <v>1</v>
      </c>
      <c r="K14" s="28">
        <f>(Table1[[#This Row],[SPOT PTS]]/2)*15-65</f>
        <v>1022.5</v>
      </c>
      <c r="L14" s="28">
        <f t="shared" si="0"/>
        <v>10870</v>
      </c>
    </row>
    <row r="15" spans="1:12" ht="19.95" customHeight="1" thickBot="1" x14ac:dyDescent="0.35">
      <c r="A15" s="21">
        <v>14</v>
      </c>
      <c r="B15" s="22">
        <v>0.39583333333333331</v>
      </c>
      <c r="C15" s="1" t="s">
        <v>6</v>
      </c>
      <c r="D15" s="1">
        <v>-80</v>
      </c>
      <c r="E15" s="1" t="s">
        <v>21</v>
      </c>
      <c r="F15" s="23">
        <v>1</v>
      </c>
      <c r="K15" s="28">
        <f>(Table1[[#This Row],[SPOT PTS]]/2)*15-65</f>
        <v>-665</v>
      </c>
      <c r="L15" s="28">
        <f t="shared" si="0"/>
        <v>10205</v>
      </c>
    </row>
    <row r="16" spans="1:12" ht="19.95" customHeight="1" thickBot="1" x14ac:dyDescent="0.35">
      <c r="A16" s="24">
        <v>15</v>
      </c>
      <c r="B16" s="25">
        <v>0.5</v>
      </c>
      <c r="C16" s="26" t="s">
        <v>6</v>
      </c>
      <c r="D16" s="26">
        <v>-27</v>
      </c>
      <c r="E16" s="26" t="s">
        <v>23</v>
      </c>
      <c r="F16" s="27">
        <v>1</v>
      </c>
      <c r="K16" s="28">
        <f>(Table1[[#This Row],[SPOT PTS]]/2)*15-65</f>
        <v>-267.5</v>
      </c>
      <c r="L16" s="28">
        <f t="shared" si="0"/>
        <v>9937.5</v>
      </c>
    </row>
    <row r="17" spans="1:12" ht="19.95" customHeight="1" thickBot="1" x14ac:dyDescent="0.35">
      <c r="A17" s="24">
        <v>18</v>
      </c>
      <c r="B17" s="25">
        <v>0.3923611111111111</v>
      </c>
      <c r="C17" s="26" t="s">
        <v>9</v>
      </c>
      <c r="D17" s="26">
        <v>275</v>
      </c>
      <c r="E17" s="26" t="s">
        <v>25</v>
      </c>
      <c r="F17" s="27">
        <v>1</v>
      </c>
      <c r="K17" s="28">
        <f>(Table1[[#This Row],[SPOT PTS]]/2)*15-65</f>
        <v>1997.5</v>
      </c>
      <c r="L17" s="28">
        <f t="shared" si="0"/>
        <v>11935</v>
      </c>
    </row>
    <row r="18" spans="1:12" ht="19.95" customHeight="1" x14ac:dyDescent="0.3">
      <c r="A18" s="13">
        <v>19</v>
      </c>
      <c r="B18" s="14">
        <v>0.3888888888888889</v>
      </c>
      <c r="C18" s="15" t="s">
        <v>6</v>
      </c>
      <c r="D18" s="15">
        <v>-112</v>
      </c>
      <c r="E18" s="15" t="s">
        <v>27</v>
      </c>
      <c r="F18" s="16">
        <v>1</v>
      </c>
      <c r="K18" s="28">
        <f>(Table1[[#This Row],[SPOT PTS]]/2)*15-65</f>
        <v>-905</v>
      </c>
      <c r="L18" s="28">
        <f t="shared" si="0"/>
        <v>11030</v>
      </c>
    </row>
    <row r="19" spans="1:12" ht="19.95" customHeight="1" x14ac:dyDescent="0.3">
      <c r="A19" s="21">
        <v>19</v>
      </c>
      <c r="B19" s="22">
        <v>0.44097222222222227</v>
      </c>
      <c r="C19" s="1" t="s">
        <v>6</v>
      </c>
      <c r="D19" s="1">
        <v>-42</v>
      </c>
      <c r="E19" s="1" t="s">
        <v>27</v>
      </c>
      <c r="F19" s="23">
        <v>1</v>
      </c>
      <c r="K19" s="28">
        <f>(Table1[[#This Row],[SPOT PTS]]/2)*15-65</f>
        <v>-380</v>
      </c>
      <c r="L19" s="28">
        <f t="shared" si="0"/>
        <v>10650</v>
      </c>
    </row>
    <row r="20" spans="1:12" ht="19.95" customHeight="1" thickBot="1" x14ac:dyDescent="0.35">
      <c r="A20" s="17">
        <v>19</v>
      </c>
      <c r="B20" s="18">
        <v>8.3333333333333329E-2</v>
      </c>
      <c r="C20" s="19" t="s">
        <v>6</v>
      </c>
      <c r="D20" s="19">
        <v>-47</v>
      </c>
      <c r="E20" s="19" t="s">
        <v>27</v>
      </c>
      <c r="F20" s="20">
        <v>2</v>
      </c>
      <c r="K20" s="28">
        <f>(Table1[[#This Row],[SPOT PTS]]/2)*15-65</f>
        <v>-417.5</v>
      </c>
      <c r="L20" s="28">
        <f t="shared" si="0"/>
        <v>10232.5</v>
      </c>
    </row>
    <row r="21" spans="1:12" ht="19.95" customHeight="1" x14ac:dyDescent="0.3">
      <c r="A21" s="13">
        <v>20</v>
      </c>
      <c r="B21" s="14">
        <v>0.43402777777777773</v>
      </c>
      <c r="C21" s="15" t="s">
        <v>6</v>
      </c>
      <c r="D21" s="15">
        <v>-45</v>
      </c>
      <c r="E21" s="15" t="s">
        <v>29</v>
      </c>
      <c r="F21" s="16">
        <v>1</v>
      </c>
      <c r="K21" s="28">
        <f>(Table1[[#This Row],[SPOT PTS]]/2)*15-65</f>
        <v>-402.5</v>
      </c>
      <c r="L21" s="28">
        <f t="shared" si="0"/>
        <v>9830</v>
      </c>
    </row>
    <row r="22" spans="1:12" ht="19.95" customHeight="1" thickBot="1" x14ac:dyDescent="0.35">
      <c r="A22" s="17">
        <v>20</v>
      </c>
      <c r="B22" s="18">
        <v>0.45833333333333331</v>
      </c>
      <c r="C22" s="19" t="s">
        <v>6</v>
      </c>
      <c r="D22" s="19">
        <v>-23</v>
      </c>
      <c r="E22" s="19" t="s">
        <v>29</v>
      </c>
      <c r="F22" s="20">
        <v>1</v>
      </c>
      <c r="K22" s="28">
        <f>(Table1[[#This Row],[SPOT PTS]]/2)*15-65</f>
        <v>-237.5</v>
      </c>
      <c r="L22" s="28">
        <f t="shared" si="0"/>
        <v>9592.5</v>
      </c>
    </row>
    <row r="23" spans="1:12" ht="19.95" customHeight="1" thickBot="1" x14ac:dyDescent="0.35">
      <c r="A23" s="24">
        <v>21</v>
      </c>
      <c r="B23" s="25">
        <v>0.52777777777777779</v>
      </c>
      <c r="C23" s="26" t="s">
        <v>9</v>
      </c>
      <c r="D23" s="26">
        <v>73</v>
      </c>
      <c r="E23" s="26" t="s">
        <v>21</v>
      </c>
      <c r="F23" s="27">
        <v>2</v>
      </c>
      <c r="K23" s="28">
        <f>(Table1[[#This Row],[SPOT PTS]]/2)*15-65</f>
        <v>482.5</v>
      </c>
      <c r="L23" s="28">
        <f t="shared" si="0"/>
        <v>10075</v>
      </c>
    </row>
    <row r="24" spans="1:12" ht="19.95" customHeight="1" thickBot="1" x14ac:dyDescent="0.35">
      <c r="A24" s="13">
        <v>22</v>
      </c>
      <c r="B24" s="14">
        <v>0.1076388888888889</v>
      </c>
      <c r="C24" s="15" t="s">
        <v>9</v>
      </c>
      <c r="D24" s="15">
        <v>97</v>
      </c>
      <c r="E24" s="15" t="s">
        <v>23</v>
      </c>
      <c r="F24" s="16">
        <v>2</v>
      </c>
      <c r="K24" s="28">
        <f>(Table1[[#This Row],[SPOT PTS]]/2)*15-65</f>
        <v>662.5</v>
      </c>
      <c r="L24" s="28">
        <f t="shared" si="0"/>
        <v>10737.5</v>
      </c>
    </row>
    <row r="25" spans="1:12" ht="19.95" customHeight="1" thickBot="1" x14ac:dyDescent="0.35">
      <c r="A25" s="24">
        <v>25</v>
      </c>
      <c r="B25" s="25">
        <v>0.3923611111111111</v>
      </c>
      <c r="C25" s="26" t="s">
        <v>9</v>
      </c>
      <c r="D25" s="26">
        <v>284</v>
      </c>
      <c r="E25" s="26" t="s">
        <v>25</v>
      </c>
      <c r="F25" s="27">
        <v>1</v>
      </c>
      <c r="K25" s="28">
        <f>(Table1[[#This Row],[SPOT PTS]]/2)*15-65</f>
        <v>2065</v>
      </c>
      <c r="L25" s="28">
        <f t="shared" si="0"/>
        <v>12802.5</v>
      </c>
    </row>
    <row r="26" spans="1:12" ht="19.95" customHeight="1" thickBot="1" x14ac:dyDescent="0.35">
      <c r="A26" s="24">
        <v>27</v>
      </c>
      <c r="B26" s="25">
        <v>0.47916666666666669</v>
      </c>
      <c r="C26" s="26" t="s">
        <v>9</v>
      </c>
      <c r="D26" s="26">
        <v>275</v>
      </c>
      <c r="E26" s="26" t="s">
        <v>29</v>
      </c>
      <c r="F26" s="27">
        <v>1</v>
      </c>
      <c r="K26" s="28">
        <f>(Table1[[#This Row],[SPOT PTS]]/2)*15-65</f>
        <v>1997.5</v>
      </c>
      <c r="L26" s="28">
        <f t="shared" si="0"/>
        <v>14800</v>
      </c>
    </row>
    <row r="27" spans="1:12" ht="19.95" customHeight="1" thickBot="1" x14ac:dyDescent="0.35">
      <c r="A27" s="21">
        <v>28</v>
      </c>
      <c r="B27" s="22">
        <v>0.43402777777777773</v>
      </c>
      <c r="C27" s="1" t="s">
        <v>9</v>
      </c>
      <c r="D27" s="1">
        <v>215</v>
      </c>
      <c r="E27" s="1" t="s">
        <v>21</v>
      </c>
      <c r="F27" s="23">
        <v>1</v>
      </c>
      <c r="K27" s="28">
        <f>(Table1[[#This Row],[SPOT PTS]]/2)*15-65</f>
        <v>1547.5</v>
      </c>
      <c r="L27" s="28">
        <f t="shared" si="0"/>
        <v>16347.5</v>
      </c>
    </row>
    <row r="28" spans="1:12" ht="19.95" customHeight="1" thickBot="1" x14ac:dyDescent="0.35">
      <c r="A28" s="24">
        <v>29</v>
      </c>
      <c r="B28" s="25">
        <v>0.3923611111111111</v>
      </c>
      <c r="C28" s="26" t="s">
        <v>9</v>
      </c>
      <c r="D28" s="26">
        <v>238</v>
      </c>
      <c r="E28" s="26" t="s">
        <v>23</v>
      </c>
      <c r="F28" s="27">
        <v>1</v>
      </c>
      <c r="K28" s="28">
        <f>(Table1[[#This Row],[SPOT PTS]]/2)*15-65</f>
        <v>1720</v>
      </c>
      <c r="L28" s="28">
        <f t="shared" si="0"/>
        <v>18067.5</v>
      </c>
    </row>
    <row r="29" spans="1:12" ht="19.95" customHeight="1" x14ac:dyDescent="0.3">
      <c r="A29" s="40" t="s">
        <v>50</v>
      </c>
      <c r="B29" s="40"/>
      <c r="C29" s="40"/>
      <c r="D29" s="40"/>
      <c r="E29" s="40"/>
      <c r="F29" s="40"/>
    </row>
    <row r="30" spans="1:12" ht="19.95" customHeight="1" thickBot="1" x14ac:dyDescent="0.35">
      <c r="A30" s="10" t="s">
        <v>46</v>
      </c>
      <c r="B30" s="10" t="s">
        <v>47</v>
      </c>
      <c r="C30" s="10" t="s">
        <v>0</v>
      </c>
      <c r="D30" s="10" t="s">
        <v>48</v>
      </c>
      <c r="E30" s="10" t="s">
        <v>14</v>
      </c>
      <c r="F30" s="10" t="s">
        <v>49</v>
      </c>
      <c r="H30" s="2" t="s">
        <v>38</v>
      </c>
      <c r="I30" s="2">
        <f>COUNT(Table2[DATE])</f>
        <v>34</v>
      </c>
      <c r="L30" s="28">
        <v>10000</v>
      </c>
    </row>
    <row r="31" spans="1:12" ht="19.95" customHeight="1" x14ac:dyDescent="0.3">
      <c r="A31" s="13">
        <v>1</v>
      </c>
      <c r="B31" s="14">
        <v>0.39583333333333331</v>
      </c>
      <c r="C31" s="15" t="s">
        <v>6</v>
      </c>
      <c r="D31" s="15">
        <v>-78</v>
      </c>
      <c r="E31" s="15" t="s">
        <v>25</v>
      </c>
      <c r="F31" s="16">
        <v>1</v>
      </c>
      <c r="H31" s="2" t="s">
        <v>39</v>
      </c>
      <c r="I31" s="3">
        <f>((COUNTIF(Table2[OUTCOME],"TARGET"))/I30)</f>
        <v>0.41176470588235292</v>
      </c>
      <c r="K31" s="28">
        <f>(Table2[[#This Row],[SPOT PTS]]/2)*15-65</f>
        <v>-650</v>
      </c>
      <c r="L31" s="28">
        <f>K31+L30</f>
        <v>9350</v>
      </c>
    </row>
    <row r="32" spans="1:12" ht="19.95" customHeight="1" thickBot="1" x14ac:dyDescent="0.35">
      <c r="A32" s="17">
        <v>1</v>
      </c>
      <c r="B32" s="18">
        <v>0.49652777777777773</v>
      </c>
      <c r="C32" s="19" t="s">
        <v>9</v>
      </c>
      <c r="D32" s="19">
        <v>245</v>
      </c>
      <c r="E32" s="19" t="s">
        <v>25</v>
      </c>
      <c r="F32" s="20">
        <v>1</v>
      </c>
      <c r="H32" s="2" t="s">
        <v>40</v>
      </c>
      <c r="I32" s="2">
        <f>SUM(Table2[SPOT PTS])</f>
        <v>1808</v>
      </c>
      <c r="K32" s="28">
        <f>(Table2[[#This Row],[SPOT PTS]]/2)*15-65</f>
        <v>1772.5</v>
      </c>
      <c r="L32" s="28">
        <f t="shared" ref="L32:L64" si="1">K32+L31</f>
        <v>11122.5</v>
      </c>
    </row>
    <row r="33" spans="1:12" ht="19.95" customHeight="1" x14ac:dyDescent="0.3">
      <c r="A33" s="13">
        <v>2</v>
      </c>
      <c r="B33" s="22">
        <v>0.40625</v>
      </c>
      <c r="C33" s="15" t="s">
        <v>6</v>
      </c>
      <c r="D33" s="15">
        <v>-77</v>
      </c>
      <c r="E33" s="15" t="s">
        <v>27</v>
      </c>
      <c r="F33" s="16">
        <v>1</v>
      </c>
      <c r="H33" s="2" t="s">
        <v>10</v>
      </c>
      <c r="I33" s="2">
        <f>65*I30</f>
        <v>2210</v>
      </c>
      <c r="K33" s="28">
        <f>(Table2[[#This Row],[SPOT PTS]]/2)*15-65</f>
        <v>-642.5</v>
      </c>
      <c r="L33" s="28">
        <f t="shared" si="1"/>
        <v>10480</v>
      </c>
    </row>
    <row r="34" spans="1:12" ht="19.95" customHeight="1" thickBot="1" x14ac:dyDescent="0.35">
      <c r="A34" s="17">
        <v>2</v>
      </c>
      <c r="B34" s="22">
        <v>0.4201388888888889</v>
      </c>
      <c r="C34" s="19" t="s">
        <v>9</v>
      </c>
      <c r="D34" s="19">
        <v>303</v>
      </c>
      <c r="E34" s="19" t="s">
        <v>27</v>
      </c>
      <c r="F34" s="20">
        <v>1</v>
      </c>
      <c r="H34" s="2" t="s">
        <v>41</v>
      </c>
      <c r="I34" s="2">
        <f>SUMIF(Table2[OUTCOME],"STOPLOSS",Table2[SPOT PTS])</f>
        <v>-1377</v>
      </c>
      <c r="K34" s="28">
        <f>(Table2[[#This Row],[SPOT PTS]]/2)*15-65</f>
        <v>2207.5</v>
      </c>
      <c r="L34" s="28">
        <f t="shared" si="1"/>
        <v>12687.5</v>
      </c>
    </row>
    <row r="35" spans="1:12" ht="19.95" customHeight="1" x14ac:dyDescent="0.3">
      <c r="A35" s="13">
        <v>3</v>
      </c>
      <c r="B35" s="14">
        <v>0.40625</v>
      </c>
      <c r="C35" s="15" t="s">
        <v>6</v>
      </c>
      <c r="D35" s="15">
        <v>-80</v>
      </c>
      <c r="E35" s="15" t="s">
        <v>29</v>
      </c>
      <c r="F35" s="16">
        <v>1</v>
      </c>
      <c r="H35" s="2" t="s">
        <v>42</v>
      </c>
      <c r="I35" s="2">
        <f>SUMIF(Table2[OUTCOME],"TARGET",Table2[SPOT PTS])</f>
        <v>3185</v>
      </c>
      <c r="K35" s="28">
        <f>(Table2[[#This Row],[SPOT PTS]]/2)*15-65</f>
        <v>-665</v>
      </c>
      <c r="L35" s="28">
        <f t="shared" si="1"/>
        <v>12022.5</v>
      </c>
    </row>
    <row r="36" spans="1:12" ht="19.95" customHeight="1" x14ac:dyDescent="0.3">
      <c r="A36" s="21">
        <v>3</v>
      </c>
      <c r="B36" s="22">
        <v>0.44444444444444442</v>
      </c>
      <c r="C36" s="1" t="s">
        <v>6</v>
      </c>
      <c r="D36" s="1">
        <v>-80</v>
      </c>
      <c r="E36" s="1" t="s">
        <v>29</v>
      </c>
      <c r="F36" s="23">
        <v>1</v>
      </c>
      <c r="H36" s="2" t="s">
        <v>43</v>
      </c>
      <c r="I36" s="6">
        <f>(L64-L30)/L30</f>
        <v>1.135</v>
      </c>
      <c r="K36" s="28">
        <f>(Table2[[#This Row],[SPOT PTS]]/2)*15-65</f>
        <v>-665</v>
      </c>
      <c r="L36" s="28">
        <f t="shared" si="1"/>
        <v>11357.5</v>
      </c>
    </row>
    <row r="37" spans="1:12" ht="19.95" customHeight="1" thickBot="1" x14ac:dyDescent="0.35">
      <c r="A37" s="17">
        <v>3</v>
      </c>
      <c r="B37" s="18">
        <v>0.1111111111111111</v>
      </c>
      <c r="C37" s="19" t="s">
        <v>9</v>
      </c>
      <c r="D37" s="19">
        <v>118</v>
      </c>
      <c r="E37" s="19" t="s">
        <v>29</v>
      </c>
      <c r="F37" s="20">
        <v>2</v>
      </c>
      <c r="H37" s="2" t="s">
        <v>44</v>
      </c>
      <c r="I37" s="9">
        <f>((I32/2)*15)-I33</f>
        <v>11350</v>
      </c>
      <c r="K37" s="28">
        <f>(Table2[[#This Row],[SPOT PTS]]/2)*15-65</f>
        <v>820</v>
      </c>
      <c r="L37" s="28">
        <f t="shared" si="1"/>
        <v>12177.5</v>
      </c>
    </row>
    <row r="38" spans="1:12" ht="19.95" customHeight="1" x14ac:dyDescent="0.3">
      <c r="A38" s="13">
        <v>4</v>
      </c>
      <c r="B38" s="14">
        <v>0.47916666666666669</v>
      </c>
      <c r="C38" s="15" t="s">
        <v>6</v>
      </c>
      <c r="D38" s="15">
        <v>-41</v>
      </c>
      <c r="E38" s="15" t="s">
        <v>21</v>
      </c>
      <c r="F38" s="16">
        <v>1</v>
      </c>
      <c r="G38" s="29"/>
      <c r="K38" s="28">
        <f>(Table2[[#This Row],[SPOT PTS]]/2)*15-65</f>
        <v>-372.5</v>
      </c>
      <c r="L38" s="28">
        <f t="shared" si="1"/>
        <v>11805</v>
      </c>
    </row>
    <row r="39" spans="1:12" ht="19.95" customHeight="1" x14ac:dyDescent="0.3">
      <c r="A39" s="21">
        <v>4</v>
      </c>
      <c r="B39" s="22">
        <v>0.50694444444444442</v>
      </c>
      <c r="C39" s="1" t="s">
        <v>6</v>
      </c>
      <c r="D39" s="1">
        <v>-40</v>
      </c>
      <c r="E39" s="1" t="s">
        <v>21</v>
      </c>
      <c r="F39" s="23">
        <v>2</v>
      </c>
      <c r="K39" s="28">
        <f>(Table2[[#This Row],[SPOT PTS]]/2)*15-65</f>
        <v>-365</v>
      </c>
      <c r="L39" s="28">
        <f t="shared" si="1"/>
        <v>11440</v>
      </c>
    </row>
    <row r="40" spans="1:12" ht="19.95" customHeight="1" thickBot="1" x14ac:dyDescent="0.35">
      <c r="A40" s="17">
        <v>4</v>
      </c>
      <c r="B40" s="18">
        <v>0.52777777777777779</v>
      </c>
      <c r="C40" s="19" t="s">
        <v>6</v>
      </c>
      <c r="D40" s="19">
        <v>-70</v>
      </c>
      <c r="E40" s="19" t="s">
        <v>21</v>
      </c>
      <c r="F40" s="20">
        <v>2</v>
      </c>
      <c r="K40" s="28">
        <f>(Table2[[#This Row],[SPOT PTS]]/2)*15-65</f>
        <v>-590</v>
      </c>
      <c r="L40" s="28">
        <f t="shared" si="1"/>
        <v>10850</v>
      </c>
    </row>
    <row r="41" spans="1:12" ht="19.95" customHeight="1" x14ac:dyDescent="0.3">
      <c r="A41" s="13">
        <v>5</v>
      </c>
      <c r="B41" s="14">
        <v>0.40972222222222227</v>
      </c>
      <c r="C41" s="15" t="s">
        <v>6</v>
      </c>
      <c r="D41" s="15">
        <v>-80</v>
      </c>
      <c r="E41" s="15" t="s">
        <v>23</v>
      </c>
      <c r="F41" s="16">
        <v>1</v>
      </c>
      <c r="K41" s="28">
        <f>(Table2[[#This Row],[SPOT PTS]]/2)*15-65</f>
        <v>-665</v>
      </c>
      <c r="L41" s="28">
        <f t="shared" si="1"/>
        <v>10185</v>
      </c>
    </row>
    <row r="42" spans="1:12" ht="19.95" customHeight="1" thickBot="1" x14ac:dyDescent="0.35">
      <c r="A42" s="17">
        <v>5</v>
      </c>
      <c r="B42" s="18">
        <v>0.4236111111111111</v>
      </c>
      <c r="C42" s="19" t="s">
        <v>6</v>
      </c>
      <c r="D42" s="19">
        <v>-80</v>
      </c>
      <c r="E42" s="19" t="s">
        <v>23</v>
      </c>
      <c r="F42" s="20">
        <v>1</v>
      </c>
      <c r="K42" s="28">
        <f>(Table2[[#This Row],[SPOT PTS]]/2)*15-65</f>
        <v>-665</v>
      </c>
      <c r="L42" s="28">
        <f t="shared" si="1"/>
        <v>9520</v>
      </c>
    </row>
    <row r="43" spans="1:12" ht="19.95" customHeight="1" x14ac:dyDescent="0.3">
      <c r="A43" s="13">
        <v>8</v>
      </c>
      <c r="B43" s="14">
        <v>0.39583333333333331</v>
      </c>
      <c r="C43" s="15" t="s">
        <v>6</v>
      </c>
      <c r="D43" s="15">
        <v>-70</v>
      </c>
      <c r="E43" s="15" t="s">
        <v>25</v>
      </c>
      <c r="F43" s="16">
        <v>1</v>
      </c>
      <c r="K43" s="28">
        <f>(Table2[[#This Row],[SPOT PTS]]/2)*15-65</f>
        <v>-590</v>
      </c>
      <c r="L43" s="28">
        <f t="shared" si="1"/>
        <v>8930</v>
      </c>
    </row>
    <row r="44" spans="1:12" ht="19.95" customHeight="1" x14ac:dyDescent="0.3">
      <c r="A44" s="21">
        <v>8</v>
      </c>
      <c r="B44" s="22">
        <v>0.42708333333333331</v>
      </c>
      <c r="C44" s="1" t="s">
        <v>6</v>
      </c>
      <c r="D44" s="1">
        <v>-76</v>
      </c>
      <c r="E44" s="1" t="s">
        <v>25</v>
      </c>
      <c r="F44" s="23">
        <v>1</v>
      </c>
      <c r="K44" s="28">
        <f>(Table2[[#This Row],[SPOT PTS]]/2)*15-65</f>
        <v>-635</v>
      </c>
      <c r="L44" s="28">
        <f t="shared" si="1"/>
        <v>8295</v>
      </c>
    </row>
    <row r="45" spans="1:12" ht="19.95" customHeight="1" thickBot="1" x14ac:dyDescent="0.35">
      <c r="A45" s="17">
        <v>8</v>
      </c>
      <c r="B45" s="18">
        <v>8.6805555555555566E-2</v>
      </c>
      <c r="C45" s="19" t="s">
        <v>9</v>
      </c>
      <c r="D45" s="19">
        <v>169</v>
      </c>
      <c r="E45" s="19" t="s">
        <v>25</v>
      </c>
      <c r="F45" s="20">
        <v>2</v>
      </c>
      <c r="K45" s="28">
        <f>(Table2[[#This Row],[SPOT PTS]]/2)*15-65</f>
        <v>1202.5</v>
      </c>
      <c r="L45" s="28">
        <f t="shared" si="1"/>
        <v>9497.5</v>
      </c>
    </row>
    <row r="46" spans="1:12" ht="19.95" customHeight="1" x14ac:dyDescent="0.3">
      <c r="A46" s="13">
        <v>9</v>
      </c>
      <c r="B46" s="14">
        <v>0.44444444444444442</v>
      </c>
      <c r="C46" s="15" t="s">
        <v>6</v>
      </c>
      <c r="D46" s="15">
        <v>-80</v>
      </c>
      <c r="E46" s="15" t="s">
        <v>27</v>
      </c>
      <c r="F46" s="16">
        <v>1</v>
      </c>
      <c r="K46" s="28">
        <f>(Table2[[#This Row],[SPOT PTS]]/2)*15-65</f>
        <v>-665</v>
      </c>
      <c r="L46" s="28">
        <f t="shared" si="1"/>
        <v>8832.5</v>
      </c>
    </row>
    <row r="47" spans="1:12" ht="19.95" customHeight="1" thickBot="1" x14ac:dyDescent="0.35">
      <c r="A47" s="17">
        <v>9</v>
      </c>
      <c r="B47" s="18">
        <v>0.47569444444444442</v>
      </c>
      <c r="C47" s="19" t="s">
        <v>9</v>
      </c>
      <c r="D47" s="19">
        <v>131</v>
      </c>
      <c r="E47" s="19" t="s">
        <v>27</v>
      </c>
      <c r="F47" s="20">
        <v>1</v>
      </c>
      <c r="K47" s="28">
        <f>(Table2[[#This Row],[SPOT PTS]]/2)*15-65</f>
        <v>917.5</v>
      </c>
      <c r="L47" s="28">
        <f t="shared" si="1"/>
        <v>9750</v>
      </c>
    </row>
    <row r="48" spans="1:12" ht="19.95" customHeight="1" thickBot="1" x14ac:dyDescent="0.35">
      <c r="A48" s="24">
        <v>10</v>
      </c>
      <c r="B48" s="25">
        <v>0.47916666666666669</v>
      </c>
      <c r="C48" s="26" t="s">
        <v>6</v>
      </c>
      <c r="D48" s="26">
        <v>-50</v>
      </c>
      <c r="E48" s="26" t="s">
        <v>29</v>
      </c>
      <c r="F48" s="27">
        <v>1</v>
      </c>
      <c r="K48" s="28">
        <f>(Table2[[#This Row],[SPOT PTS]]/2)*15-65</f>
        <v>-440</v>
      </c>
      <c r="L48" s="28">
        <f t="shared" si="1"/>
        <v>9310</v>
      </c>
    </row>
    <row r="49" spans="1:12" ht="19.95" customHeight="1" thickBot="1" x14ac:dyDescent="0.35">
      <c r="A49" s="24">
        <v>11</v>
      </c>
      <c r="B49" s="25">
        <v>0.41319444444444442</v>
      </c>
      <c r="C49" s="26" t="s">
        <v>9</v>
      </c>
      <c r="D49" s="26">
        <v>193</v>
      </c>
      <c r="E49" s="26" t="s">
        <v>21</v>
      </c>
      <c r="F49" s="27">
        <v>1</v>
      </c>
      <c r="K49" s="28">
        <f>(Table2[[#This Row],[SPOT PTS]]/2)*15-65</f>
        <v>1382.5</v>
      </c>
      <c r="L49" s="28">
        <f t="shared" si="1"/>
        <v>10692.5</v>
      </c>
    </row>
    <row r="50" spans="1:12" ht="19.95" customHeight="1" x14ac:dyDescent="0.3">
      <c r="A50" s="13">
        <v>12</v>
      </c>
      <c r="B50" s="14">
        <v>0.42708333333333331</v>
      </c>
      <c r="C50" s="15" t="s">
        <v>6</v>
      </c>
      <c r="D50" s="15">
        <v>-55</v>
      </c>
      <c r="E50" s="15" t="s">
        <v>23</v>
      </c>
      <c r="F50" s="16">
        <v>1</v>
      </c>
      <c r="K50" s="28">
        <f>(Table2[[#This Row],[SPOT PTS]]/2)*15-65</f>
        <v>-477.5</v>
      </c>
      <c r="L50" s="28">
        <f t="shared" si="1"/>
        <v>10215</v>
      </c>
    </row>
    <row r="51" spans="1:12" ht="19.95" customHeight="1" thickBot="1" x14ac:dyDescent="0.35">
      <c r="A51" s="17">
        <v>12</v>
      </c>
      <c r="B51" s="18">
        <v>0.46180555555555558</v>
      </c>
      <c r="C51" s="19" t="s">
        <v>9</v>
      </c>
      <c r="D51" s="19">
        <v>191</v>
      </c>
      <c r="E51" s="19" t="s">
        <v>23</v>
      </c>
      <c r="F51" s="20">
        <v>1</v>
      </c>
      <c r="K51" s="28">
        <f>(Table2[[#This Row],[SPOT PTS]]/2)*15-65</f>
        <v>1367.5</v>
      </c>
      <c r="L51" s="28">
        <f t="shared" si="1"/>
        <v>11582.5</v>
      </c>
    </row>
    <row r="52" spans="1:12" ht="19.95" customHeight="1" x14ac:dyDescent="0.3">
      <c r="A52" s="13">
        <v>15</v>
      </c>
      <c r="B52" s="14">
        <v>0.39930555555555558</v>
      </c>
      <c r="C52" s="15" t="s">
        <v>6</v>
      </c>
      <c r="D52" s="15">
        <v>-80</v>
      </c>
      <c r="E52" s="15" t="s">
        <v>25</v>
      </c>
      <c r="F52" s="16">
        <v>1</v>
      </c>
      <c r="K52" s="28">
        <f>(Table2[[#This Row],[SPOT PTS]]/2)*15-65</f>
        <v>-665</v>
      </c>
      <c r="L52" s="28">
        <f t="shared" si="1"/>
        <v>10917.5</v>
      </c>
    </row>
    <row r="53" spans="1:12" ht="19.95" customHeight="1" x14ac:dyDescent="0.3">
      <c r="A53" s="21">
        <v>15</v>
      </c>
      <c r="B53" s="22">
        <v>0.47222222222222227</v>
      </c>
      <c r="C53" s="1" t="s">
        <v>6</v>
      </c>
      <c r="D53" s="1">
        <v>-39</v>
      </c>
      <c r="E53" s="1" t="s">
        <v>25</v>
      </c>
      <c r="F53" s="23">
        <v>1</v>
      </c>
      <c r="K53" s="28">
        <f>(Table2[[#This Row],[SPOT PTS]]/2)*15-65</f>
        <v>-357.5</v>
      </c>
      <c r="L53" s="28">
        <f t="shared" si="1"/>
        <v>10560</v>
      </c>
    </row>
    <row r="54" spans="1:12" ht="19.95" customHeight="1" thickBot="1" x14ac:dyDescent="0.35">
      <c r="A54" s="17">
        <v>15</v>
      </c>
      <c r="B54" s="18">
        <v>9.375E-2</v>
      </c>
      <c r="C54" s="19" t="s">
        <v>6</v>
      </c>
      <c r="D54" s="19">
        <v>-80</v>
      </c>
      <c r="E54" s="19" t="s">
        <v>25</v>
      </c>
      <c r="F54" s="20">
        <v>2</v>
      </c>
      <c r="K54" s="28">
        <f>(Table2[[#This Row],[SPOT PTS]]/2)*15-65</f>
        <v>-665</v>
      </c>
      <c r="L54" s="28">
        <f t="shared" si="1"/>
        <v>9895</v>
      </c>
    </row>
    <row r="55" spans="1:12" ht="19.95" customHeight="1" thickBot="1" x14ac:dyDescent="0.35">
      <c r="A55" s="24">
        <v>16</v>
      </c>
      <c r="B55" s="25">
        <v>0.39930555555555558</v>
      </c>
      <c r="C55" s="26" t="s">
        <v>9</v>
      </c>
      <c r="D55" s="26">
        <v>290</v>
      </c>
      <c r="E55" s="26" t="s">
        <v>27</v>
      </c>
      <c r="F55" s="27">
        <v>1</v>
      </c>
      <c r="K55" s="28">
        <f>(Table2[[#This Row],[SPOT PTS]]/2)*15-65</f>
        <v>2110</v>
      </c>
      <c r="L55" s="28">
        <f t="shared" si="1"/>
        <v>12005</v>
      </c>
    </row>
    <row r="56" spans="1:12" ht="19.95" customHeight="1" thickBot="1" x14ac:dyDescent="0.35">
      <c r="A56" s="24">
        <v>17</v>
      </c>
      <c r="B56" s="25">
        <v>0.46875</v>
      </c>
      <c r="C56" s="26" t="s">
        <v>9</v>
      </c>
      <c r="D56" s="26">
        <v>253</v>
      </c>
      <c r="E56" s="26" t="s">
        <v>29</v>
      </c>
      <c r="F56" s="27">
        <v>1</v>
      </c>
      <c r="K56" s="28">
        <f>(Table2[[#This Row],[SPOT PTS]]/2)*15-65</f>
        <v>1832.5</v>
      </c>
      <c r="L56" s="28">
        <f t="shared" si="1"/>
        <v>13837.5</v>
      </c>
    </row>
    <row r="57" spans="1:12" ht="19.95" customHeight="1" thickBot="1" x14ac:dyDescent="0.35">
      <c r="A57" s="24">
        <v>18</v>
      </c>
      <c r="B57" s="25">
        <v>0.10069444444444443</v>
      </c>
      <c r="C57" s="26" t="s">
        <v>6</v>
      </c>
      <c r="D57" s="26">
        <v>-66</v>
      </c>
      <c r="E57" s="26" t="s">
        <v>21</v>
      </c>
      <c r="F57" s="27">
        <v>2</v>
      </c>
      <c r="K57" s="28">
        <f>(Table2[[#This Row],[SPOT PTS]]/2)*15-65</f>
        <v>-560</v>
      </c>
      <c r="L57" s="28">
        <f t="shared" si="1"/>
        <v>13277.5</v>
      </c>
    </row>
    <row r="58" spans="1:12" ht="19.95" customHeight="1" thickBot="1" x14ac:dyDescent="0.35">
      <c r="A58" s="24">
        <v>19</v>
      </c>
      <c r="B58" s="25">
        <v>0.44791666666666669</v>
      </c>
      <c r="C58" s="26" t="s">
        <v>9</v>
      </c>
      <c r="D58" s="26">
        <v>288</v>
      </c>
      <c r="E58" s="26" t="s">
        <v>23</v>
      </c>
      <c r="F58" s="27">
        <v>1</v>
      </c>
      <c r="K58" s="28">
        <f>(Table2[[#This Row],[SPOT PTS]]/2)*15-65</f>
        <v>2095</v>
      </c>
      <c r="L58" s="28">
        <f t="shared" si="1"/>
        <v>15372.5</v>
      </c>
    </row>
    <row r="59" spans="1:12" ht="19.95" customHeight="1" thickBot="1" x14ac:dyDescent="0.35">
      <c r="A59" s="24">
        <v>22</v>
      </c>
      <c r="B59" s="25">
        <v>0.40277777777777773</v>
      </c>
      <c r="C59" s="26" t="s">
        <v>9</v>
      </c>
      <c r="D59" s="26">
        <v>264</v>
      </c>
      <c r="E59" s="26" t="s">
        <v>25</v>
      </c>
      <c r="F59" s="27">
        <v>1</v>
      </c>
      <c r="K59" s="28">
        <f>(Table2[[#This Row],[SPOT PTS]]/2)*15-65</f>
        <v>1915</v>
      </c>
      <c r="L59" s="28">
        <f t="shared" si="1"/>
        <v>17287.5</v>
      </c>
    </row>
    <row r="60" spans="1:12" ht="19.95" customHeight="1" x14ac:dyDescent="0.3">
      <c r="A60" s="13">
        <v>23</v>
      </c>
      <c r="B60" s="14">
        <v>0.39930555555555558</v>
      </c>
      <c r="C60" s="15" t="s">
        <v>6</v>
      </c>
      <c r="D60" s="15">
        <v>-80</v>
      </c>
      <c r="E60" s="15" t="s">
        <v>27</v>
      </c>
      <c r="F60" s="16">
        <v>1</v>
      </c>
      <c r="K60" s="28">
        <f>(Table2[[#This Row],[SPOT PTS]]/2)*15-65</f>
        <v>-665</v>
      </c>
      <c r="L60" s="28">
        <f t="shared" si="1"/>
        <v>16622.5</v>
      </c>
    </row>
    <row r="61" spans="1:12" ht="19.95" customHeight="1" thickBot="1" x14ac:dyDescent="0.35">
      <c r="A61" s="17">
        <v>23</v>
      </c>
      <c r="B61" s="18">
        <v>0.44791666666666669</v>
      </c>
      <c r="C61" s="19" t="s">
        <v>9</v>
      </c>
      <c r="D61" s="19">
        <v>180</v>
      </c>
      <c r="E61" s="19" t="s">
        <v>27</v>
      </c>
      <c r="F61" s="20">
        <v>1</v>
      </c>
      <c r="K61" s="28">
        <f>(Table2[[#This Row],[SPOT PTS]]/2)*15-65</f>
        <v>1285</v>
      </c>
      <c r="L61" s="28">
        <f t="shared" si="1"/>
        <v>17907.5</v>
      </c>
    </row>
    <row r="62" spans="1:12" ht="19.95" customHeight="1" thickBot="1" x14ac:dyDescent="0.35">
      <c r="A62" s="24">
        <v>24</v>
      </c>
      <c r="B62" s="25">
        <v>0.40277777777777773</v>
      </c>
      <c r="C62" s="26" t="s">
        <v>6</v>
      </c>
      <c r="D62" s="26">
        <v>-75</v>
      </c>
      <c r="E62" s="26" t="s">
        <v>29</v>
      </c>
      <c r="F62" s="27">
        <v>1</v>
      </c>
      <c r="K62" s="28">
        <f>(Table2[[#This Row],[SPOT PTS]]/2)*15-65</f>
        <v>-627.5</v>
      </c>
      <c r="L62" s="28">
        <f t="shared" si="1"/>
        <v>17280</v>
      </c>
    </row>
    <row r="63" spans="1:12" ht="19.95" customHeight="1" thickBot="1" x14ac:dyDescent="0.35">
      <c r="A63" s="24">
        <v>25</v>
      </c>
      <c r="B63" s="25">
        <v>0.40972222222222227</v>
      </c>
      <c r="C63" s="26" t="s">
        <v>9</v>
      </c>
      <c r="D63" s="26">
        <v>256</v>
      </c>
      <c r="E63" s="26" t="s">
        <v>21</v>
      </c>
      <c r="F63" s="27">
        <v>1</v>
      </c>
      <c r="K63" s="28">
        <f>(Table2[[#This Row],[SPOT PTS]]/2)*15-65</f>
        <v>1855</v>
      </c>
      <c r="L63" s="28">
        <f t="shared" si="1"/>
        <v>19135</v>
      </c>
    </row>
    <row r="64" spans="1:12" ht="19.95" customHeight="1" thickBot="1" x14ac:dyDescent="0.35">
      <c r="A64" s="24">
        <v>26</v>
      </c>
      <c r="B64" s="25">
        <v>0.11805555555555557</v>
      </c>
      <c r="C64" s="26" t="s">
        <v>9</v>
      </c>
      <c r="D64" s="26">
        <v>304</v>
      </c>
      <c r="E64" s="26" t="s">
        <v>23</v>
      </c>
      <c r="F64" s="27">
        <v>2</v>
      </c>
      <c r="K64" s="28">
        <f>(Table2[[#This Row],[SPOT PTS]]/2)*15-65</f>
        <v>2215</v>
      </c>
      <c r="L64" s="28">
        <f t="shared" si="1"/>
        <v>21350</v>
      </c>
    </row>
    <row r="65" spans="1:12" ht="19.95" customHeight="1" x14ac:dyDescent="0.3">
      <c r="A65" s="40" t="s">
        <v>51</v>
      </c>
      <c r="B65" s="40"/>
      <c r="C65" s="40"/>
      <c r="D65" s="40"/>
      <c r="E65" s="40"/>
      <c r="F65" s="40"/>
    </row>
    <row r="66" spans="1:12" ht="19.95" customHeight="1" thickBot="1" x14ac:dyDescent="0.35">
      <c r="A66" s="10" t="s">
        <v>46</v>
      </c>
      <c r="B66" s="10" t="s">
        <v>47</v>
      </c>
      <c r="C66" s="10" t="s">
        <v>0</v>
      </c>
      <c r="D66" s="10" t="s">
        <v>48</v>
      </c>
      <c r="E66" s="10" t="s">
        <v>14</v>
      </c>
      <c r="F66" s="10" t="s">
        <v>49</v>
      </c>
      <c r="H66" s="2" t="s">
        <v>38</v>
      </c>
      <c r="I66" s="2">
        <f>COUNT(Table3[DATE])</f>
        <v>37</v>
      </c>
      <c r="L66" s="28">
        <v>10000</v>
      </c>
    </row>
    <row r="67" spans="1:12" ht="19.95" customHeight="1" x14ac:dyDescent="0.3">
      <c r="A67" s="13">
        <v>1</v>
      </c>
      <c r="B67" s="14">
        <v>0.3923611111111111</v>
      </c>
      <c r="C67" s="15" t="s">
        <v>6</v>
      </c>
      <c r="D67" s="15">
        <v>-80</v>
      </c>
      <c r="E67" s="15" t="s">
        <v>25</v>
      </c>
      <c r="F67" s="16">
        <v>1</v>
      </c>
      <c r="H67" s="2" t="s">
        <v>39</v>
      </c>
      <c r="I67" s="3">
        <f>((COUNTIF(Table3[OUTCOME],"TARGET"))/I66)</f>
        <v>0.48648648648648651</v>
      </c>
      <c r="K67" s="28">
        <f>(Table3[[#This Row],[SPOT PTS]]/2)*15-65</f>
        <v>-665</v>
      </c>
      <c r="L67" s="28">
        <f>K67+L66</f>
        <v>9335</v>
      </c>
    </row>
    <row r="68" spans="1:12" ht="19.95" customHeight="1" x14ac:dyDescent="0.3">
      <c r="A68" s="21">
        <v>1</v>
      </c>
      <c r="B68" s="22">
        <v>0.41319444444444442</v>
      </c>
      <c r="C68" s="1" t="s">
        <v>6</v>
      </c>
      <c r="D68" s="1">
        <v>-80</v>
      </c>
      <c r="E68" s="1" t="s">
        <v>25</v>
      </c>
      <c r="F68" s="23">
        <v>1</v>
      </c>
      <c r="H68" s="2" t="s">
        <v>40</v>
      </c>
      <c r="I68" s="2">
        <f>SUM(Table3[SPOT PTS])</f>
        <v>2429</v>
      </c>
      <c r="K68" s="28">
        <f>(Table3[[#This Row],[SPOT PTS]]/2)*15-65</f>
        <v>-665</v>
      </c>
      <c r="L68" s="28">
        <f t="shared" ref="L68:L103" si="2">K68+L67</f>
        <v>8670</v>
      </c>
    </row>
    <row r="69" spans="1:12" ht="19.95" customHeight="1" thickBot="1" x14ac:dyDescent="0.35">
      <c r="A69" s="17">
        <v>1</v>
      </c>
      <c r="B69" s="18">
        <v>0.44097222222222227</v>
      </c>
      <c r="C69" s="19" t="s">
        <v>9</v>
      </c>
      <c r="D69" s="19">
        <v>267</v>
      </c>
      <c r="E69" s="19" t="s">
        <v>25</v>
      </c>
      <c r="F69" s="20">
        <v>1</v>
      </c>
      <c r="H69" s="2" t="s">
        <v>10</v>
      </c>
      <c r="I69" s="2">
        <f>65*I66</f>
        <v>2405</v>
      </c>
      <c r="K69" s="28">
        <f>(Table3[[#This Row],[SPOT PTS]]/2)*15-65</f>
        <v>1937.5</v>
      </c>
      <c r="L69" s="28">
        <f t="shared" si="2"/>
        <v>10607.5</v>
      </c>
    </row>
    <row r="70" spans="1:12" ht="19.95" customHeight="1" thickBot="1" x14ac:dyDescent="0.35">
      <c r="A70" s="24">
        <v>2</v>
      </c>
      <c r="B70" s="25">
        <v>0.39930555555555558</v>
      </c>
      <c r="C70" s="26" t="s">
        <v>9</v>
      </c>
      <c r="D70" s="26">
        <v>241</v>
      </c>
      <c r="E70" s="26" t="s">
        <v>27</v>
      </c>
      <c r="F70" s="27">
        <v>1</v>
      </c>
      <c r="H70" s="2" t="s">
        <v>41</v>
      </c>
      <c r="I70" s="2">
        <f>SUMIF(Table3[OUTCOME],"STOPLOSS",Table3[SPOT PTS])</f>
        <v>-1219</v>
      </c>
      <c r="K70" s="28">
        <f>(Table3[[#This Row],[SPOT PTS]]/2)*15-65</f>
        <v>1742.5</v>
      </c>
      <c r="L70" s="28">
        <f t="shared" si="2"/>
        <v>12350</v>
      </c>
    </row>
    <row r="71" spans="1:12" ht="19.95" customHeight="1" thickBot="1" x14ac:dyDescent="0.35">
      <c r="A71" s="24">
        <v>3</v>
      </c>
      <c r="B71" s="25">
        <v>0.3923611111111111</v>
      </c>
      <c r="C71" s="26" t="s">
        <v>6</v>
      </c>
      <c r="D71" s="26">
        <v>-80</v>
      </c>
      <c r="E71" s="26" t="s">
        <v>29</v>
      </c>
      <c r="F71" s="27">
        <v>1</v>
      </c>
      <c r="H71" s="2" t="s">
        <v>42</v>
      </c>
      <c r="I71" s="2">
        <f>SUMIF(Table3[OUTCOME],"TARGET",Table3[SPOT PTS])</f>
        <v>3648</v>
      </c>
      <c r="K71" s="28">
        <f>(Table3[[#This Row],[SPOT PTS]]/2)*15-65</f>
        <v>-665</v>
      </c>
      <c r="L71" s="28">
        <f t="shared" si="2"/>
        <v>11685</v>
      </c>
    </row>
    <row r="72" spans="1:12" ht="19.95" customHeight="1" x14ac:dyDescent="0.3">
      <c r="A72" s="13">
        <v>4</v>
      </c>
      <c r="B72" s="14">
        <v>0.44444444444444442</v>
      </c>
      <c r="C72" s="15" t="s">
        <v>6</v>
      </c>
      <c r="D72" s="15">
        <v>-35</v>
      </c>
      <c r="E72" s="15" t="s">
        <v>21</v>
      </c>
      <c r="F72" s="16">
        <v>1</v>
      </c>
      <c r="H72" s="2" t="s">
        <v>43</v>
      </c>
      <c r="I72" s="6">
        <f>(L103-L66)/L66</f>
        <v>1.58125</v>
      </c>
      <c r="K72" s="28">
        <f>(Table3[[#This Row],[SPOT PTS]]/2)*15-65</f>
        <v>-327.5</v>
      </c>
      <c r="L72" s="28">
        <f t="shared" si="2"/>
        <v>11357.5</v>
      </c>
    </row>
    <row r="73" spans="1:12" ht="19.95" customHeight="1" x14ac:dyDescent="0.3">
      <c r="A73" s="21">
        <v>4</v>
      </c>
      <c r="B73" s="22">
        <v>0.47569444444444442</v>
      </c>
      <c r="C73" s="1" t="s">
        <v>6</v>
      </c>
      <c r="D73" s="1">
        <v>-66</v>
      </c>
      <c r="E73" s="1" t="s">
        <v>21</v>
      </c>
      <c r="F73" s="23">
        <v>1</v>
      </c>
      <c r="H73" s="2" t="s">
        <v>44</v>
      </c>
      <c r="I73" s="9">
        <f>((I68/2)*15)-I69</f>
        <v>15812.5</v>
      </c>
      <c r="K73" s="28">
        <f>(Table3[[#This Row],[SPOT PTS]]/2)*15-65</f>
        <v>-560</v>
      </c>
      <c r="L73" s="28">
        <f t="shared" si="2"/>
        <v>10797.5</v>
      </c>
    </row>
    <row r="74" spans="1:12" ht="19.95" customHeight="1" thickBot="1" x14ac:dyDescent="0.35">
      <c r="A74" s="17">
        <v>4</v>
      </c>
      <c r="B74" s="18">
        <v>0.49652777777777773</v>
      </c>
      <c r="C74" s="19" t="s">
        <v>6</v>
      </c>
      <c r="D74" s="19">
        <v>-43</v>
      </c>
      <c r="E74" s="19" t="s">
        <v>21</v>
      </c>
      <c r="F74" s="20">
        <v>1</v>
      </c>
      <c r="K74" s="28">
        <f>(Table3[[#This Row],[SPOT PTS]]/2)*15-65</f>
        <v>-387.5</v>
      </c>
      <c r="L74" s="28">
        <f t="shared" si="2"/>
        <v>10410</v>
      </c>
    </row>
    <row r="75" spans="1:12" ht="19.95" customHeight="1" thickBot="1" x14ac:dyDescent="0.35">
      <c r="A75" s="24">
        <v>5</v>
      </c>
      <c r="B75" s="25">
        <v>0.42708333333333331</v>
      </c>
      <c r="C75" s="26" t="s">
        <v>9</v>
      </c>
      <c r="D75" s="26">
        <v>241</v>
      </c>
      <c r="E75" s="26" t="s">
        <v>23</v>
      </c>
      <c r="F75" s="27">
        <v>1</v>
      </c>
      <c r="K75" s="28">
        <f>(Table3[[#This Row],[SPOT PTS]]/2)*15-65</f>
        <v>1742.5</v>
      </c>
      <c r="L75" s="28">
        <f t="shared" si="2"/>
        <v>12152.5</v>
      </c>
    </row>
    <row r="76" spans="1:12" ht="19.95" customHeight="1" x14ac:dyDescent="0.3">
      <c r="A76" s="13">
        <v>8</v>
      </c>
      <c r="B76" s="14">
        <v>0.4201388888888889</v>
      </c>
      <c r="C76" s="15" t="s">
        <v>6</v>
      </c>
      <c r="D76" s="15">
        <v>-43</v>
      </c>
      <c r="E76" s="15" t="s">
        <v>25</v>
      </c>
      <c r="F76" s="16">
        <v>1</v>
      </c>
      <c r="K76" s="28">
        <f>(Table3[[#This Row],[SPOT PTS]]/2)*15-65</f>
        <v>-387.5</v>
      </c>
      <c r="L76" s="28">
        <f t="shared" si="2"/>
        <v>11765</v>
      </c>
    </row>
    <row r="77" spans="1:12" ht="19.95" customHeight="1" thickBot="1" x14ac:dyDescent="0.35">
      <c r="A77" s="17">
        <v>8</v>
      </c>
      <c r="B77" s="18">
        <v>5.5555555555555552E-2</v>
      </c>
      <c r="C77" s="19" t="s">
        <v>9</v>
      </c>
      <c r="D77" s="19">
        <v>166</v>
      </c>
      <c r="E77" s="19" t="s">
        <v>25</v>
      </c>
      <c r="F77" s="20">
        <v>2</v>
      </c>
      <c r="K77" s="28">
        <f>(Table3[[#This Row],[SPOT PTS]]/2)*15-65</f>
        <v>1180</v>
      </c>
      <c r="L77" s="28">
        <f t="shared" si="2"/>
        <v>12945</v>
      </c>
    </row>
    <row r="78" spans="1:12" ht="19.95" customHeight="1" x14ac:dyDescent="0.3">
      <c r="A78" s="13">
        <v>9</v>
      </c>
      <c r="B78" s="14">
        <v>0.3923611111111111</v>
      </c>
      <c r="C78" s="15" t="s">
        <v>6</v>
      </c>
      <c r="D78" s="15">
        <v>-65</v>
      </c>
      <c r="E78" s="15" t="s">
        <v>27</v>
      </c>
      <c r="F78" s="16">
        <v>1</v>
      </c>
      <c r="K78" s="28">
        <f>(Table3[[#This Row],[SPOT PTS]]/2)*15-65</f>
        <v>-552.5</v>
      </c>
      <c r="L78" s="28">
        <f t="shared" si="2"/>
        <v>12392.5</v>
      </c>
    </row>
    <row r="79" spans="1:12" ht="19.95" customHeight="1" x14ac:dyDescent="0.3">
      <c r="A79" s="21">
        <v>9</v>
      </c>
      <c r="B79" s="22">
        <v>0.4236111111111111</v>
      </c>
      <c r="C79" s="1" t="s">
        <v>6</v>
      </c>
      <c r="D79" s="1">
        <v>-51</v>
      </c>
      <c r="E79" s="1" t="s">
        <v>27</v>
      </c>
      <c r="F79" s="23">
        <v>1</v>
      </c>
      <c r="K79" s="28">
        <f>(Table3[[#This Row],[SPOT PTS]]/2)*15-65</f>
        <v>-447.5</v>
      </c>
      <c r="L79" s="28">
        <f t="shared" si="2"/>
        <v>11945</v>
      </c>
    </row>
    <row r="80" spans="1:12" ht="19.95" customHeight="1" thickBot="1" x14ac:dyDescent="0.35">
      <c r="A80" s="17">
        <v>9</v>
      </c>
      <c r="B80" s="18">
        <v>6.9444444444444434E-2</v>
      </c>
      <c r="C80" s="19" t="s">
        <v>9</v>
      </c>
      <c r="D80" s="19">
        <v>145</v>
      </c>
      <c r="E80" s="19" t="s">
        <v>27</v>
      </c>
      <c r="F80" s="20">
        <v>2</v>
      </c>
      <c r="K80" s="28">
        <f>(Table3[[#This Row],[SPOT PTS]]/2)*15-65</f>
        <v>1022.5</v>
      </c>
      <c r="L80" s="28">
        <f t="shared" si="2"/>
        <v>12967.5</v>
      </c>
    </row>
    <row r="81" spans="1:12" ht="19.95" customHeight="1" x14ac:dyDescent="0.3">
      <c r="A81" s="13">
        <v>10</v>
      </c>
      <c r="B81" s="14">
        <v>0.3888888888888889</v>
      </c>
      <c r="C81" s="15" t="s">
        <v>6</v>
      </c>
      <c r="D81" s="15">
        <v>-80</v>
      </c>
      <c r="E81" s="15" t="s">
        <v>29</v>
      </c>
      <c r="F81" s="16">
        <v>1</v>
      </c>
      <c r="K81" s="28">
        <f>(Table3[[#This Row],[SPOT PTS]]/2)*15-65</f>
        <v>-665</v>
      </c>
      <c r="L81" s="28">
        <f t="shared" si="2"/>
        <v>12302.5</v>
      </c>
    </row>
    <row r="82" spans="1:12" ht="19.95" customHeight="1" thickBot="1" x14ac:dyDescent="0.35">
      <c r="A82" s="17">
        <v>10</v>
      </c>
      <c r="B82" s="18">
        <v>0.4826388888888889</v>
      </c>
      <c r="C82" s="19" t="s">
        <v>9</v>
      </c>
      <c r="D82" s="19">
        <v>158</v>
      </c>
      <c r="E82" s="19" t="s">
        <v>29</v>
      </c>
      <c r="F82" s="20">
        <v>1</v>
      </c>
      <c r="K82" s="28">
        <f>(Table3[[#This Row],[SPOT PTS]]/2)*15-65</f>
        <v>1120</v>
      </c>
      <c r="L82" s="28">
        <f t="shared" si="2"/>
        <v>13422.5</v>
      </c>
    </row>
    <row r="83" spans="1:12" ht="19.95" customHeight="1" thickBot="1" x14ac:dyDescent="0.35">
      <c r="A83" s="24">
        <v>12</v>
      </c>
      <c r="B83" s="25">
        <v>0.3923611111111111</v>
      </c>
      <c r="C83" s="26" t="s">
        <v>9</v>
      </c>
      <c r="D83" s="26">
        <v>214</v>
      </c>
      <c r="E83" s="26" t="s">
        <v>23</v>
      </c>
      <c r="F83" s="27">
        <v>1</v>
      </c>
      <c r="K83" s="28">
        <f>(Table3[[#This Row],[SPOT PTS]]/2)*15-65</f>
        <v>1540</v>
      </c>
      <c r="L83" s="28">
        <f t="shared" si="2"/>
        <v>14962.5</v>
      </c>
    </row>
    <row r="84" spans="1:12" ht="19.95" customHeight="1" thickBot="1" x14ac:dyDescent="0.35">
      <c r="A84" s="24">
        <v>15</v>
      </c>
      <c r="B84" s="25">
        <v>7.6388888888888895E-2</v>
      </c>
      <c r="C84" s="26" t="s">
        <v>6</v>
      </c>
      <c r="D84" s="26">
        <v>-75</v>
      </c>
      <c r="E84" s="26" t="s">
        <v>25</v>
      </c>
      <c r="F84" s="27">
        <v>2</v>
      </c>
      <c r="K84" s="28">
        <f>(Table3[[#This Row],[SPOT PTS]]/2)*15-65</f>
        <v>-627.5</v>
      </c>
      <c r="L84" s="28">
        <f t="shared" si="2"/>
        <v>14335</v>
      </c>
    </row>
    <row r="85" spans="1:12" ht="19.95" customHeight="1" thickBot="1" x14ac:dyDescent="0.35">
      <c r="A85" s="24">
        <v>16</v>
      </c>
      <c r="B85" s="25">
        <v>0.44097222222222227</v>
      </c>
      <c r="C85" s="26" t="s">
        <v>9</v>
      </c>
      <c r="D85" s="26">
        <v>237</v>
      </c>
      <c r="E85" s="26" t="s">
        <v>27</v>
      </c>
      <c r="F85" s="27">
        <v>1</v>
      </c>
      <c r="K85" s="28">
        <f>(Table3[[#This Row],[SPOT PTS]]/2)*15-65</f>
        <v>1712.5</v>
      </c>
      <c r="L85" s="28">
        <f t="shared" si="2"/>
        <v>16047.5</v>
      </c>
    </row>
    <row r="86" spans="1:12" ht="19.95" customHeight="1" thickBot="1" x14ac:dyDescent="0.35">
      <c r="A86" s="24">
        <v>17</v>
      </c>
      <c r="B86" s="25">
        <v>0.4826388888888889</v>
      </c>
      <c r="C86" s="26" t="s">
        <v>9</v>
      </c>
      <c r="D86" s="26">
        <v>261</v>
      </c>
      <c r="E86" s="26" t="s">
        <v>29</v>
      </c>
      <c r="F86" s="27">
        <v>1</v>
      </c>
      <c r="K86" s="28">
        <f>(Table3[[#This Row],[SPOT PTS]]/2)*15-65</f>
        <v>1892.5</v>
      </c>
      <c r="L86" s="28">
        <f t="shared" si="2"/>
        <v>17940</v>
      </c>
    </row>
    <row r="87" spans="1:12" ht="19.95" customHeight="1" x14ac:dyDescent="0.3">
      <c r="A87" s="13">
        <v>18</v>
      </c>
      <c r="B87" s="14">
        <v>0.3923611111111111</v>
      </c>
      <c r="C87" s="15" t="s">
        <v>6</v>
      </c>
      <c r="D87" s="15">
        <v>-80</v>
      </c>
      <c r="E87" s="15" t="s">
        <v>21</v>
      </c>
      <c r="F87" s="16">
        <v>1</v>
      </c>
      <c r="K87" s="28">
        <f>(Table3[[#This Row],[SPOT PTS]]/2)*15-65</f>
        <v>-665</v>
      </c>
      <c r="L87" s="28">
        <f t="shared" si="2"/>
        <v>17275</v>
      </c>
    </row>
    <row r="88" spans="1:12" ht="19.95" customHeight="1" thickBot="1" x14ac:dyDescent="0.35">
      <c r="A88" s="17">
        <v>18</v>
      </c>
      <c r="B88" s="18">
        <v>0.41319444444444442</v>
      </c>
      <c r="C88" s="19" t="s">
        <v>9</v>
      </c>
      <c r="D88" s="19">
        <v>153</v>
      </c>
      <c r="E88" s="19" t="s">
        <v>21</v>
      </c>
      <c r="F88" s="20">
        <v>1</v>
      </c>
      <c r="K88" s="28">
        <f>(Table3[[#This Row],[SPOT PTS]]/2)*15-65</f>
        <v>1082.5</v>
      </c>
      <c r="L88" s="28">
        <f t="shared" si="2"/>
        <v>18357.5</v>
      </c>
    </row>
    <row r="89" spans="1:12" ht="19.95" customHeight="1" x14ac:dyDescent="0.3">
      <c r="A89" s="13">
        <v>19</v>
      </c>
      <c r="B89" s="14">
        <v>0.42708333333333331</v>
      </c>
      <c r="C89" s="15" t="s">
        <v>6</v>
      </c>
      <c r="D89" s="15">
        <v>-80</v>
      </c>
      <c r="E89" s="15" t="s">
        <v>23</v>
      </c>
      <c r="F89" s="16">
        <v>1</v>
      </c>
      <c r="K89" s="28">
        <f>(Table3[[#This Row],[SPOT PTS]]/2)*15-65</f>
        <v>-665</v>
      </c>
      <c r="L89" s="28">
        <f t="shared" si="2"/>
        <v>17692.5</v>
      </c>
    </row>
    <row r="90" spans="1:12" ht="19.95" customHeight="1" thickBot="1" x14ac:dyDescent="0.35">
      <c r="A90" s="17">
        <v>19</v>
      </c>
      <c r="B90" s="18">
        <v>0.46875</v>
      </c>
      <c r="C90" s="19" t="s">
        <v>9</v>
      </c>
      <c r="D90" s="19">
        <v>240</v>
      </c>
      <c r="E90" s="19" t="s">
        <v>23</v>
      </c>
      <c r="F90" s="20">
        <v>1</v>
      </c>
      <c r="K90" s="28">
        <f>(Table3[[#This Row],[SPOT PTS]]/2)*15-65</f>
        <v>1735</v>
      </c>
      <c r="L90" s="28">
        <f t="shared" si="2"/>
        <v>19427.5</v>
      </c>
    </row>
    <row r="91" spans="1:12" ht="19.95" customHeight="1" thickBot="1" x14ac:dyDescent="0.35">
      <c r="A91" s="24">
        <v>22</v>
      </c>
      <c r="B91" s="25">
        <v>0.41319444444444442</v>
      </c>
      <c r="C91" s="26" t="s">
        <v>9</v>
      </c>
      <c r="D91" s="26">
        <v>237</v>
      </c>
      <c r="E91" s="26" t="s">
        <v>25</v>
      </c>
      <c r="F91" s="27">
        <v>1</v>
      </c>
      <c r="K91" s="28">
        <f>(Table3[[#This Row],[SPOT PTS]]/2)*15-65</f>
        <v>1712.5</v>
      </c>
      <c r="L91" s="28">
        <f t="shared" si="2"/>
        <v>21140</v>
      </c>
    </row>
    <row r="92" spans="1:12" ht="19.95" customHeight="1" thickBot="1" x14ac:dyDescent="0.35">
      <c r="A92" s="24">
        <v>23</v>
      </c>
      <c r="B92" s="25">
        <v>0.39930555555555558</v>
      </c>
      <c r="C92" s="26" t="s">
        <v>9</v>
      </c>
      <c r="D92" s="26">
        <v>198</v>
      </c>
      <c r="E92" s="26" t="s">
        <v>27</v>
      </c>
      <c r="F92" s="27">
        <v>1</v>
      </c>
      <c r="K92" s="28">
        <f>(Table3[[#This Row],[SPOT PTS]]/2)*15-65</f>
        <v>1420</v>
      </c>
      <c r="L92" s="28">
        <f t="shared" si="2"/>
        <v>22560</v>
      </c>
    </row>
    <row r="93" spans="1:12" ht="19.95" customHeight="1" x14ac:dyDescent="0.3">
      <c r="A93" s="13">
        <v>24</v>
      </c>
      <c r="B93" s="14">
        <v>0.50347222222222221</v>
      </c>
      <c r="C93" s="15" t="s">
        <v>6</v>
      </c>
      <c r="D93" s="15">
        <v>-47</v>
      </c>
      <c r="E93" s="15" t="s">
        <v>29</v>
      </c>
      <c r="F93" s="16">
        <v>2</v>
      </c>
      <c r="K93" s="28">
        <f>(Table3[[#This Row],[SPOT PTS]]/2)*15-65</f>
        <v>-417.5</v>
      </c>
      <c r="L93" s="28">
        <f t="shared" si="2"/>
        <v>22142.5</v>
      </c>
    </row>
    <row r="94" spans="1:12" ht="19.95" customHeight="1" thickBot="1" x14ac:dyDescent="0.35">
      <c r="A94" s="17">
        <v>24</v>
      </c>
      <c r="B94" s="18">
        <v>0.87847222222222221</v>
      </c>
      <c r="C94" s="19" t="s">
        <v>9</v>
      </c>
      <c r="D94" s="19">
        <v>151</v>
      </c>
      <c r="E94" s="19" t="s">
        <v>29</v>
      </c>
      <c r="F94" s="20">
        <v>2</v>
      </c>
      <c r="K94" s="28">
        <f>(Table3[[#This Row],[SPOT PTS]]/2)*15-65</f>
        <v>1067.5</v>
      </c>
      <c r="L94" s="28">
        <f t="shared" si="2"/>
        <v>23210</v>
      </c>
    </row>
    <row r="95" spans="1:12" ht="19.95" customHeight="1" x14ac:dyDescent="0.3">
      <c r="A95" s="13">
        <v>25</v>
      </c>
      <c r="B95" s="14">
        <v>4.5138888888888888E-2</v>
      </c>
      <c r="C95" s="15" t="s">
        <v>6</v>
      </c>
      <c r="D95" s="15">
        <v>-80</v>
      </c>
      <c r="E95" s="15" t="s">
        <v>21</v>
      </c>
      <c r="F95" s="16">
        <v>2</v>
      </c>
      <c r="K95" s="28">
        <f>(Table3[[#This Row],[SPOT PTS]]/2)*15-65</f>
        <v>-665</v>
      </c>
      <c r="L95" s="28">
        <f t="shared" si="2"/>
        <v>22545</v>
      </c>
    </row>
    <row r="96" spans="1:12" ht="19.95" customHeight="1" x14ac:dyDescent="0.3">
      <c r="A96" s="21">
        <v>25</v>
      </c>
      <c r="B96" s="22">
        <v>9.0277777777777776E-2</v>
      </c>
      <c r="C96" s="1" t="s">
        <v>6</v>
      </c>
      <c r="D96" s="1">
        <v>-80</v>
      </c>
      <c r="E96" s="1" t="s">
        <v>21</v>
      </c>
      <c r="F96" s="23">
        <v>2</v>
      </c>
      <c r="K96" s="28">
        <f>(Table3[[#This Row],[SPOT PTS]]/2)*15-65</f>
        <v>-665</v>
      </c>
      <c r="L96" s="28">
        <f t="shared" si="2"/>
        <v>21880</v>
      </c>
    </row>
    <row r="97" spans="1:12" ht="19.95" customHeight="1" thickBot="1" x14ac:dyDescent="0.35">
      <c r="A97" s="17">
        <v>25</v>
      </c>
      <c r="B97" s="18">
        <v>0.12152777777777778</v>
      </c>
      <c r="C97" s="19" t="s">
        <v>9</v>
      </c>
      <c r="D97" s="19">
        <v>281</v>
      </c>
      <c r="E97" s="19" t="s">
        <v>21</v>
      </c>
      <c r="F97" s="20">
        <v>2</v>
      </c>
      <c r="K97" s="28">
        <f>(Table3[[#This Row],[SPOT PTS]]/2)*15-65</f>
        <v>2042.5</v>
      </c>
      <c r="L97" s="28">
        <f t="shared" si="2"/>
        <v>23922.5</v>
      </c>
    </row>
    <row r="98" spans="1:12" ht="19.95" customHeight="1" x14ac:dyDescent="0.3">
      <c r="A98" s="13">
        <v>26</v>
      </c>
      <c r="B98" s="14">
        <v>0.39930555555555558</v>
      </c>
      <c r="C98" s="15" t="s">
        <v>6</v>
      </c>
      <c r="D98" s="15">
        <v>-80</v>
      </c>
      <c r="E98" s="15" t="s">
        <v>23</v>
      </c>
      <c r="F98" s="16">
        <v>1</v>
      </c>
      <c r="K98" s="28">
        <f>(Table3[[#This Row],[SPOT PTS]]/2)*15-65</f>
        <v>-665</v>
      </c>
      <c r="L98" s="28">
        <f t="shared" si="2"/>
        <v>23257.5</v>
      </c>
    </row>
    <row r="99" spans="1:12" ht="19.95" customHeight="1" thickBot="1" x14ac:dyDescent="0.35">
      <c r="A99" s="17">
        <v>26</v>
      </c>
      <c r="B99" s="18">
        <v>0.5</v>
      </c>
      <c r="C99" s="19" t="s">
        <v>9</v>
      </c>
      <c r="D99" s="19">
        <v>180</v>
      </c>
      <c r="E99" s="19" t="s">
        <v>23</v>
      </c>
      <c r="F99" s="20">
        <v>1</v>
      </c>
      <c r="K99" s="28">
        <f>(Table3[[#This Row],[SPOT PTS]]/2)*15-65</f>
        <v>1285</v>
      </c>
      <c r="L99" s="28">
        <f t="shared" si="2"/>
        <v>24542.5</v>
      </c>
    </row>
    <row r="100" spans="1:12" ht="19.95" customHeight="1" x14ac:dyDescent="0.3">
      <c r="A100" s="13">
        <v>30</v>
      </c>
      <c r="B100" s="14">
        <v>0.4375</v>
      </c>
      <c r="C100" s="15" t="s">
        <v>6</v>
      </c>
      <c r="D100" s="15">
        <v>-28</v>
      </c>
      <c r="E100" s="15" t="s">
        <v>27</v>
      </c>
      <c r="F100" s="16">
        <v>1</v>
      </c>
      <c r="K100" s="28">
        <f>(Table3[[#This Row],[SPOT PTS]]/2)*15-65</f>
        <v>-275</v>
      </c>
      <c r="L100" s="28">
        <f t="shared" si="2"/>
        <v>24267.5</v>
      </c>
    </row>
    <row r="101" spans="1:12" ht="19.95" customHeight="1" thickBot="1" x14ac:dyDescent="0.35">
      <c r="A101" s="17">
        <v>30</v>
      </c>
      <c r="B101" s="18">
        <v>0.47569444444444442</v>
      </c>
      <c r="C101" s="19" t="s">
        <v>9</v>
      </c>
      <c r="D101" s="19">
        <v>174</v>
      </c>
      <c r="E101" s="19" t="s">
        <v>27</v>
      </c>
      <c r="F101" s="20">
        <v>1</v>
      </c>
      <c r="K101" s="28">
        <f>(Table3[[#This Row],[SPOT PTS]]/2)*15-65</f>
        <v>1240</v>
      </c>
      <c r="L101" s="28">
        <f t="shared" si="2"/>
        <v>25507.5</v>
      </c>
    </row>
    <row r="102" spans="1:12" ht="19.95" customHeight="1" x14ac:dyDescent="0.3">
      <c r="A102" s="13">
        <v>31</v>
      </c>
      <c r="B102" s="14">
        <v>0.51736111111111105</v>
      </c>
      <c r="C102" s="15" t="s">
        <v>6</v>
      </c>
      <c r="D102" s="15">
        <v>-46</v>
      </c>
      <c r="E102" s="15" t="s">
        <v>29</v>
      </c>
      <c r="F102" s="16">
        <v>2</v>
      </c>
      <c r="K102" s="28">
        <f>(Table3[[#This Row],[SPOT PTS]]/2)*15-65</f>
        <v>-410</v>
      </c>
      <c r="L102" s="28">
        <f t="shared" si="2"/>
        <v>25097.5</v>
      </c>
    </row>
    <row r="103" spans="1:12" ht="19.95" customHeight="1" thickBot="1" x14ac:dyDescent="0.35">
      <c r="A103" s="17">
        <v>31</v>
      </c>
      <c r="B103" s="18">
        <v>4.8611111111111112E-2</v>
      </c>
      <c r="C103" s="19" t="s">
        <v>9</v>
      </c>
      <c r="D103" s="19">
        <v>104</v>
      </c>
      <c r="E103" s="19" t="s">
        <v>29</v>
      </c>
      <c r="F103" s="20">
        <v>2</v>
      </c>
      <c r="K103" s="28">
        <f>(Table3[[#This Row],[SPOT PTS]]/2)*15-65</f>
        <v>715</v>
      </c>
      <c r="L103" s="28">
        <f t="shared" si="2"/>
        <v>25812.5</v>
      </c>
    </row>
    <row r="104" spans="1:12" ht="19.95" customHeight="1" x14ac:dyDescent="0.3">
      <c r="A104" s="40" t="s">
        <v>52</v>
      </c>
      <c r="B104" s="40"/>
      <c r="C104" s="40"/>
      <c r="D104" s="40"/>
      <c r="E104" s="40"/>
      <c r="F104" s="40"/>
    </row>
    <row r="105" spans="1:12" ht="19.95" customHeight="1" thickBot="1" x14ac:dyDescent="0.35">
      <c r="A105" s="10" t="s">
        <v>46</v>
      </c>
      <c r="B105" s="10" t="s">
        <v>47</v>
      </c>
      <c r="C105" s="10" t="s">
        <v>0</v>
      </c>
      <c r="D105" s="10" t="s">
        <v>48</v>
      </c>
      <c r="E105" s="10" t="s">
        <v>14</v>
      </c>
      <c r="F105" s="10" t="s">
        <v>49</v>
      </c>
      <c r="H105" s="2" t="s">
        <v>38</v>
      </c>
      <c r="I105" s="2">
        <f>COUNT(Table4[DATE])</f>
        <v>32</v>
      </c>
      <c r="L105" s="28">
        <v>10000</v>
      </c>
    </row>
    <row r="106" spans="1:12" ht="19.95" customHeight="1" thickBot="1" x14ac:dyDescent="0.35">
      <c r="A106" s="24">
        <v>1</v>
      </c>
      <c r="B106" s="25">
        <v>0.3888888888888889</v>
      </c>
      <c r="C106" s="26" t="s">
        <v>9</v>
      </c>
      <c r="D106" s="26">
        <v>235</v>
      </c>
      <c r="E106" s="26" t="s">
        <v>21</v>
      </c>
      <c r="F106" s="27">
        <v>1</v>
      </c>
      <c r="H106" s="2" t="s">
        <v>39</v>
      </c>
      <c r="I106" s="3">
        <f>((COUNTIF(Table4[OUTCOME],"TARGET"))/I105)</f>
        <v>0.375</v>
      </c>
      <c r="K106" s="28">
        <f>(Table4[[#This Row],[SPOT PTS]]/2)*15-65</f>
        <v>1697.5</v>
      </c>
      <c r="L106" s="28">
        <f>K106+L105</f>
        <v>11697.5</v>
      </c>
    </row>
    <row r="107" spans="1:12" ht="19.95" customHeight="1" x14ac:dyDescent="0.3">
      <c r="A107" s="13">
        <v>5</v>
      </c>
      <c r="B107" s="14">
        <v>0.48958333333333331</v>
      </c>
      <c r="C107" s="15" t="s">
        <v>6</v>
      </c>
      <c r="D107" s="15">
        <v>-80</v>
      </c>
      <c r="E107" s="15" t="s">
        <v>25</v>
      </c>
      <c r="F107" s="16">
        <v>1</v>
      </c>
      <c r="H107" s="2" t="s">
        <v>40</v>
      </c>
      <c r="I107" s="2">
        <f>SUM(Table4[SPOT PTS])</f>
        <v>989</v>
      </c>
      <c r="K107" s="28">
        <f>(Table4[[#This Row],[SPOT PTS]]/2)*15-65</f>
        <v>-665</v>
      </c>
      <c r="L107" s="28">
        <f t="shared" ref="L107:L137" si="3">K107+L106</f>
        <v>11032.5</v>
      </c>
    </row>
    <row r="108" spans="1:12" ht="19.95" customHeight="1" thickBot="1" x14ac:dyDescent="0.35">
      <c r="A108" s="17">
        <v>5</v>
      </c>
      <c r="B108" s="18">
        <v>6.25E-2</v>
      </c>
      <c r="C108" s="19" t="s">
        <v>6</v>
      </c>
      <c r="D108" s="19">
        <v>-53</v>
      </c>
      <c r="E108" s="19" t="s">
        <v>25</v>
      </c>
      <c r="F108" s="20">
        <v>1</v>
      </c>
      <c r="H108" s="2" t="s">
        <v>10</v>
      </c>
      <c r="I108" s="2">
        <f>65*I105</f>
        <v>2080</v>
      </c>
      <c r="K108" s="28">
        <f>(Table4[[#This Row],[SPOT PTS]]/2)*15-65</f>
        <v>-462.5</v>
      </c>
      <c r="L108" s="28">
        <f t="shared" si="3"/>
        <v>10570</v>
      </c>
    </row>
    <row r="109" spans="1:12" ht="19.95" customHeight="1" thickBot="1" x14ac:dyDescent="0.35">
      <c r="A109" s="24">
        <v>6</v>
      </c>
      <c r="B109" s="25">
        <v>0.40625</v>
      </c>
      <c r="C109" s="26" t="s">
        <v>9</v>
      </c>
      <c r="D109" s="26">
        <v>251</v>
      </c>
      <c r="E109" s="26" t="s">
        <v>27</v>
      </c>
      <c r="F109" s="27">
        <v>1</v>
      </c>
      <c r="H109" s="2" t="s">
        <v>41</v>
      </c>
      <c r="I109" s="2">
        <f>SUMIF(Table4[OUTCOME],"STOPLOSS",Table4[SPOT PTS])</f>
        <v>-1221</v>
      </c>
      <c r="K109" s="28">
        <f>(Table4[[#This Row],[SPOT PTS]]/2)*15-65</f>
        <v>1817.5</v>
      </c>
      <c r="L109" s="28">
        <f t="shared" si="3"/>
        <v>12387.5</v>
      </c>
    </row>
    <row r="110" spans="1:12" ht="19.95" customHeight="1" x14ac:dyDescent="0.3">
      <c r="A110" s="13">
        <v>7</v>
      </c>
      <c r="B110" s="14">
        <v>0.4236111111111111</v>
      </c>
      <c r="C110" s="15" t="s">
        <v>6</v>
      </c>
      <c r="D110" s="15">
        <v>-80</v>
      </c>
      <c r="E110" s="15" t="s">
        <v>29</v>
      </c>
      <c r="F110" s="16">
        <v>1</v>
      </c>
      <c r="H110" s="2" t="s">
        <v>42</v>
      </c>
      <c r="I110" s="2">
        <f>SUMIF(Table4[OUTCOME],"TARGET",Table4[SPOT PTS])</f>
        <v>2210</v>
      </c>
      <c r="K110" s="28">
        <f>(Table4[[#This Row],[SPOT PTS]]/2)*15-65</f>
        <v>-665</v>
      </c>
      <c r="L110" s="28">
        <f t="shared" si="3"/>
        <v>11722.5</v>
      </c>
    </row>
    <row r="111" spans="1:12" ht="19.95" customHeight="1" x14ac:dyDescent="0.3">
      <c r="A111" s="21">
        <v>7</v>
      </c>
      <c r="B111" s="22">
        <v>0.47222222222222227</v>
      </c>
      <c r="C111" s="1" t="s">
        <v>6</v>
      </c>
      <c r="D111" s="1">
        <v>-80</v>
      </c>
      <c r="E111" s="1" t="s">
        <v>29</v>
      </c>
      <c r="F111" s="23">
        <v>1</v>
      </c>
      <c r="H111" s="2" t="s">
        <v>43</v>
      </c>
      <c r="I111" s="6">
        <f>(L137-L105)/L105</f>
        <v>0.53374999999999995</v>
      </c>
      <c r="K111" s="28">
        <f>(Table4[[#This Row],[SPOT PTS]]/2)*15-65</f>
        <v>-665</v>
      </c>
      <c r="L111" s="28">
        <f t="shared" si="3"/>
        <v>11057.5</v>
      </c>
    </row>
    <row r="112" spans="1:12" ht="19.95" customHeight="1" thickBot="1" x14ac:dyDescent="0.35">
      <c r="A112" s="17">
        <v>7</v>
      </c>
      <c r="B112" s="18">
        <v>0.1111111111111111</v>
      </c>
      <c r="C112" s="19" t="s">
        <v>9</v>
      </c>
      <c r="D112" s="19">
        <v>86</v>
      </c>
      <c r="E112" s="19" t="s">
        <v>29</v>
      </c>
      <c r="F112" s="20">
        <v>2</v>
      </c>
      <c r="H112" s="2" t="s">
        <v>44</v>
      </c>
      <c r="I112" s="9">
        <f>((I107/2)*15)-I108</f>
        <v>5337.5</v>
      </c>
      <c r="K112" s="28">
        <f>(Table4[[#This Row],[SPOT PTS]]/2)*15-65</f>
        <v>580</v>
      </c>
      <c r="L112" s="28">
        <f t="shared" si="3"/>
        <v>11637.5</v>
      </c>
    </row>
    <row r="113" spans="1:12" ht="19.95" customHeight="1" thickBot="1" x14ac:dyDescent="0.35">
      <c r="A113" s="24">
        <v>8</v>
      </c>
      <c r="B113" s="25">
        <v>0.39930555555555558</v>
      </c>
      <c r="C113" s="26" t="s">
        <v>9</v>
      </c>
      <c r="D113" s="26">
        <v>172</v>
      </c>
      <c r="E113" s="26" t="s">
        <v>21</v>
      </c>
      <c r="F113" s="27">
        <v>1</v>
      </c>
      <c r="K113" s="28">
        <f>(Table4[[#This Row],[SPOT PTS]]/2)*15-65</f>
        <v>1225</v>
      </c>
      <c r="L113" s="28">
        <f t="shared" si="3"/>
        <v>12862.5</v>
      </c>
    </row>
    <row r="114" spans="1:12" ht="19.95" customHeight="1" thickBot="1" x14ac:dyDescent="0.35">
      <c r="A114" s="24">
        <v>9</v>
      </c>
      <c r="B114" s="25">
        <v>0.44444444444444442</v>
      </c>
      <c r="C114" s="26" t="s">
        <v>9</v>
      </c>
      <c r="D114" s="26">
        <v>165</v>
      </c>
      <c r="E114" s="26" t="s">
        <v>23</v>
      </c>
      <c r="F114" s="27">
        <v>1</v>
      </c>
      <c r="K114" s="28">
        <f>(Table4[[#This Row],[SPOT PTS]]/2)*15-65</f>
        <v>1172.5</v>
      </c>
      <c r="L114" s="28">
        <f t="shared" si="3"/>
        <v>14035</v>
      </c>
    </row>
    <row r="115" spans="1:12" ht="19.95" customHeight="1" thickBot="1" x14ac:dyDescent="0.35">
      <c r="A115" s="24">
        <v>12</v>
      </c>
      <c r="B115" s="25">
        <v>0.45833333333333331</v>
      </c>
      <c r="C115" s="26" t="s">
        <v>6</v>
      </c>
      <c r="D115" s="26">
        <v>-63</v>
      </c>
      <c r="E115" s="26" t="s">
        <v>25</v>
      </c>
      <c r="F115" s="27">
        <v>1</v>
      </c>
      <c r="K115" s="28">
        <f>(Table4[[#This Row],[SPOT PTS]]/2)*15-65</f>
        <v>-537.5</v>
      </c>
      <c r="L115" s="28">
        <f t="shared" si="3"/>
        <v>13497.5</v>
      </c>
    </row>
    <row r="116" spans="1:12" ht="19.95" customHeight="1" x14ac:dyDescent="0.3">
      <c r="A116" s="13">
        <v>13</v>
      </c>
      <c r="B116" s="14">
        <v>0.41319444444444442</v>
      </c>
      <c r="C116" s="15" t="s">
        <v>6</v>
      </c>
      <c r="D116" s="15">
        <v>-80</v>
      </c>
      <c r="E116" s="15" t="s">
        <v>27</v>
      </c>
      <c r="F116" s="16">
        <v>1</v>
      </c>
      <c r="K116" s="28">
        <f>(Table4[[#This Row],[SPOT PTS]]/2)*15-65</f>
        <v>-665</v>
      </c>
      <c r="L116" s="28">
        <f t="shared" si="3"/>
        <v>12832.5</v>
      </c>
    </row>
    <row r="117" spans="1:12" ht="19.95" customHeight="1" thickBot="1" x14ac:dyDescent="0.35">
      <c r="A117" s="17">
        <v>13</v>
      </c>
      <c r="B117" s="18">
        <v>0.53819444444444442</v>
      </c>
      <c r="C117" s="19" t="s">
        <v>6</v>
      </c>
      <c r="D117" s="19">
        <v>-72</v>
      </c>
      <c r="E117" s="19" t="s">
        <v>27</v>
      </c>
      <c r="F117" s="20">
        <v>2</v>
      </c>
      <c r="K117" s="28">
        <f>(Table4[[#This Row],[SPOT PTS]]/2)*15-65</f>
        <v>-605</v>
      </c>
      <c r="L117" s="28">
        <f t="shared" si="3"/>
        <v>12227.5</v>
      </c>
    </row>
    <row r="118" spans="1:12" ht="19.95" customHeight="1" thickBot="1" x14ac:dyDescent="0.35">
      <c r="A118" s="24">
        <v>15</v>
      </c>
      <c r="B118" s="25">
        <v>0.39583333333333331</v>
      </c>
      <c r="C118" s="26" t="s">
        <v>9</v>
      </c>
      <c r="D118" s="26">
        <v>308</v>
      </c>
      <c r="E118" s="26" t="s">
        <v>21</v>
      </c>
      <c r="F118" s="27">
        <v>1</v>
      </c>
      <c r="K118" s="28">
        <f>(Table4[[#This Row],[SPOT PTS]]/2)*15-65</f>
        <v>2245</v>
      </c>
      <c r="L118" s="28">
        <f t="shared" si="3"/>
        <v>14472.5</v>
      </c>
    </row>
    <row r="119" spans="1:12" ht="19.95" customHeight="1" thickBot="1" x14ac:dyDescent="0.35">
      <c r="A119" s="24">
        <v>16</v>
      </c>
      <c r="B119" s="25">
        <v>0.10416666666666667</v>
      </c>
      <c r="C119" s="26" t="s">
        <v>9</v>
      </c>
      <c r="D119" s="26">
        <v>171</v>
      </c>
      <c r="E119" s="26" t="s">
        <v>23</v>
      </c>
      <c r="F119" s="27">
        <v>2</v>
      </c>
      <c r="K119" s="28">
        <f>(Table4[[#This Row],[SPOT PTS]]/2)*15-65</f>
        <v>1217.5</v>
      </c>
      <c r="L119" s="28">
        <f t="shared" si="3"/>
        <v>15690</v>
      </c>
    </row>
    <row r="120" spans="1:12" ht="19.95" customHeight="1" x14ac:dyDescent="0.3">
      <c r="A120" s="13">
        <v>19</v>
      </c>
      <c r="B120" s="14">
        <v>4.5138888888888888E-2</v>
      </c>
      <c r="C120" s="15" t="s">
        <v>6</v>
      </c>
      <c r="D120" s="15">
        <v>-52</v>
      </c>
      <c r="E120" s="15" t="s">
        <v>25</v>
      </c>
      <c r="F120" s="16">
        <v>2</v>
      </c>
      <c r="K120" s="28">
        <f>(Table4[[#This Row],[SPOT PTS]]/2)*15-65</f>
        <v>-455</v>
      </c>
      <c r="L120" s="28">
        <f t="shared" si="3"/>
        <v>15235</v>
      </c>
    </row>
    <row r="121" spans="1:12" ht="19.95" customHeight="1" thickBot="1" x14ac:dyDescent="0.35">
      <c r="A121" s="17">
        <v>19</v>
      </c>
      <c r="B121" s="18">
        <v>9.375E-2</v>
      </c>
      <c r="C121" s="19" t="s">
        <v>6</v>
      </c>
      <c r="D121" s="19">
        <v>-80</v>
      </c>
      <c r="E121" s="19" t="s">
        <v>25</v>
      </c>
      <c r="F121" s="20">
        <v>2</v>
      </c>
      <c r="K121" s="28">
        <f>(Table4[[#This Row],[SPOT PTS]]/2)*15-65</f>
        <v>-665</v>
      </c>
      <c r="L121" s="28">
        <f t="shared" si="3"/>
        <v>14570</v>
      </c>
    </row>
    <row r="122" spans="1:12" ht="19.95" customHeight="1" thickBot="1" x14ac:dyDescent="0.35">
      <c r="A122" s="24">
        <v>20</v>
      </c>
      <c r="B122" s="25">
        <v>0.39583333333333331</v>
      </c>
      <c r="C122" s="26" t="s">
        <v>9</v>
      </c>
      <c r="D122" s="26">
        <v>244</v>
      </c>
      <c r="E122" s="26" t="s">
        <v>27</v>
      </c>
      <c r="F122" s="27">
        <v>1</v>
      </c>
      <c r="K122" s="28">
        <f>(Table4[[#This Row],[SPOT PTS]]/2)*15-65</f>
        <v>1765</v>
      </c>
      <c r="L122" s="28">
        <f t="shared" si="3"/>
        <v>16335</v>
      </c>
    </row>
    <row r="123" spans="1:12" ht="19.95" customHeight="1" x14ac:dyDescent="0.3">
      <c r="A123" s="13">
        <v>22</v>
      </c>
      <c r="B123" s="14">
        <v>0.44444444444444442</v>
      </c>
      <c r="C123" s="15" t="s">
        <v>6</v>
      </c>
      <c r="D123" s="15">
        <v>-43</v>
      </c>
      <c r="E123" s="15" t="s">
        <v>21</v>
      </c>
      <c r="F123" s="16">
        <v>1</v>
      </c>
      <c r="K123" s="28">
        <f>(Table4[[#This Row],[SPOT PTS]]/2)*15-65</f>
        <v>-387.5</v>
      </c>
      <c r="L123" s="28">
        <f t="shared" si="3"/>
        <v>15947.5</v>
      </c>
    </row>
    <row r="124" spans="1:12" ht="19.95" customHeight="1" thickBot="1" x14ac:dyDescent="0.35">
      <c r="A124" s="17">
        <v>22</v>
      </c>
      <c r="B124" s="18">
        <v>0.5</v>
      </c>
      <c r="C124" s="19" t="s">
        <v>6</v>
      </c>
      <c r="D124" s="19">
        <v>-43</v>
      </c>
      <c r="E124" s="19" t="s">
        <v>21</v>
      </c>
      <c r="F124" s="20">
        <v>1</v>
      </c>
      <c r="K124" s="28">
        <f>(Table4[[#This Row],[SPOT PTS]]/2)*15-65</f>
        <v>-387.5</v>
      </c>
      <c r="L124" s="28">
        <f t="shared" si="3"/>
        <v>15560</v>
      </c>
    </row>
    <row r="125" spans="1:12" ht="19.95" customHeight="1" x14ac:dyDescent="0.3">
      <c r="A125" s="13">
        <v>23</v>
      </c>
      <c r="B125" s="14">
        <v>0.44097222222222227</v>
      </c>
      <c r="C125" s="15" t="s">
        <v>6</v>
      </c>
      <c r="D125" s="15">
        <v>-66</v>
      </c>
      <c r="E125" s="15" t="s">
        <v>23</v>
      </c>
      <c r="F125" s="16">
        <v>1</v>
      </c>
      <c r="K125" s="28">
        <f>(Table4[[#This Row],[SPOT PTS]]/2)*15-65</f>
        <v>-560</v>
      </c>
      <c r="L125" s="28">
        <f t="shared" si="3"/>
        <v>15000</v>
      </c>
    </row>
    <row r="126" spans="1:12" ht="19.95" customHeight="1" thickBot="1" x14ac:dyDescent="0.35">
      <c r="A126" s="17">
        <v>23</v>
      </c>
      <c r="B126" s="18">
        <v>0.4861111111111111</v>
      </c>
      <c r="C126" s="19" t="s">
        <v>9</v>
      </c>
      <c r="D126" s="19">
        <v>116</v>
      </c>
      <c r="E126" s="19" t="s">
        <v>23</v>
      </c>
      <c r="F126" s="20">
        <v>1</v>
      </c>
      <c r="K126" s="28">
        <f>(Table4[[#This Row],[SPOT PTS]]/2)*15-65</f>
        <v>805</v>
      </c>
      <c r="L126" s="28">
        <f t="shared" si="3"/>
        <v>15805</v>
      </c>
    </row>
    <row r="127" spans="1:12" ht="19.95" customHeight="1" x14ac:dyDescent="0.3">
      <c r="A127" s="13">
        <v>26</v>
      </c>
      <c r="B127" s="14">
        <v>0.40277777777777773</v>
      </c>
      <c r="C127" s="15" t="s">
        <v>6</v>
      </c>
      <c r="D127" s="15">
        <v>-65</v>
      </c>
      <c r="E127" s="15" t="s">
        <v>25</v>
      </c>
      <c r="F127" s="16">
        <v>1</v>
      </c>
      <c r="K127" s="28">
        <f>(Table4[[#This Row],[SPOT PTS]]/2)*15-65</f>
        <v>-552.5</v>
      </c>
      <c r="L127" s="28">
        <f t="shared" si="3"/>
        <v>15252.5</v>
      </c>
    </row>
    <row r="128" spans="1:12" ht="19.95" customHeight="1" x14ac:dyDescent="0.3">
      <c r="A128" s="21">
        <v>26</v>
      </c>
      <c r="B128" s="22">
        <v>0.4201388888888889</v>
      </c>
      <c r="C128" s="1" t="s">
        <v>6</v>
      </c>
      <c r="D128" s="1">
        <v>-61</v>
      </c>
      <c r="E128" s="1" t="s">
        <v>25</v>
      </c>
      <c r="F128" s="23">
        <v>1</v>
      </c>
      <c r="K128" s="28">
        <f>(Table4[[#This Row],[SPOT PTS]]/2)*15-65</f>
        <v>-522.5</v>
      </c>
      <c r="L128" s="28">
        <f t="shared" si="3"/>
        <v>14730</v>
      </c>
    </row>
    <row r="129" spans="1:12" ht="19.95" customHeight="1" thickBot="1" x14ac:dyDescent="0.35">
      <c r="A129" s="17">
        <v>26</v>
      </c>
      <c r="B129" s="18">
        <v>8.6805555555555566E-2</v>
      </c>
      <c r="C129" s="19" t="s">
        <v>9</v>
      </c>
      <c r="D129" s="19">
        <v>176</v>
      </c>
      <c r="E129" s="19" t="s">
        <v>25</v>
      </c>
      <c r="F129" s="20">
        <v>2</v>
      </c>
      <c r="K129" s="28">
        <f>(Table4[[#This Row],[SPOT PTS]]/2)*15-65</f>
        <v>1255</v>
      </c>
      <c r="L129" s="28">
        <f t="shared" si="3"/>
        <v>15985</v>
      </c>
    </row>
    <row r="130" spans="1:12" ht="19.95" customHeight="1" x14ac:dyDescent="0.3">
      <c r="A130" s="13">
        <v>27</v>
      </c>
      <c r="B130" s="14">
        <v>0.50694444444444442</v>
      </c>
      <c r="C130" s="15" t="s">
        <v>6</v>
      </c>
      <c r="D130" s="15">
        <v>-22</v>
      </c>
      <c r="E130" s="15" t="s">
        <v>27</v>
      </c>
      <c r="F130" s="16">
        <v>2</v>
      </c>
      <c r="K130" s="28">
        <f>(Table4[[#This Row],[SPOT PTS]]/2)*15-65</f>
        <v>-230</v>
      </c>
      <c r="L130" s="28">
        <f t="shared" si="3"/>
        <v>15755</v>
      </c>
    </row>
    <row r="131" spans="1:12" ht="19.95" customHeight="1" thickBot="1" x14ac:dyDescent="0.35">
      <c r="A131" s="17">
        <v>27</v>
      </c>
      <c r="B131" s="18">
        <v>0.50694444444444442</v>
      </c>
      <c r="C131" s="19" t="s">
        <v>6</v>
      </c>
      <c r="D131" s="19">
        <v>-36</v>
      </c>
      <c r="E131" s="19" t="s">
        <v>27</v>
      </c>
      <c r="F131" s="20">
        <v>2</v>
      </c>
      <c r="K131" s="28">
        <f>(Table4[[#This Row],[SPOT PTS]]/2)*15-65</f>
        <v>-335</v>
      </c>
      <c r="L131" s="28">
        <f t="shared" si="3"/>
        <v>15420</v>
      </c>
    </row>
    <row r="132" spans="1:12" ht="19.95" customHeight="1" x14ac:dyDescent="0.3">
      <c r="A132" s="13">
        <v>28</v>
      </c>
      <c r="B132" s="14">
        <v>0.39930555555555558</v>
      </c>
      <c r="C132" s="15" t="s">
        <v>6</v>
      </c>
      <c r="D132" s="15">
        <v>-53</v>
      </c>
      <c r="E132" s="15" t="s">
        <v>29</v>
      </c>
      <c r="F132" s="16">
        <v>1</v>
      </c>
      <c r="K132" s="28">
        <f>(Table4[[#This Row],[SPOT PTS]]/2)*15-65</f>
        <v>-462.5</v>
      </c>
      <c r="L132" s="28">
        <f t="shared" si="3"/>
        <v>14957.5</v>
      </c>
    </row>
    <row r="133" spans="1:12" ht="19.95" customHeight="1" x14ac:dyDescent="0.3">
      <c r="A133" s="21">
        <v>28</v>
      </c>
      <c r="B133" s="22">
        <v>0.41319444444444442</v>
      </c>
      <c r="C133" s="1" t="s">
        <v>6</v>
      </c>
      <c r="D133" s="1">
        <v>-63</v>
      </c>
      <c r="E133" s="1" t="s">
        <v>29</v>
      </c>
      <c r="F133" s="23">
        <v>1</v>
      </c>
      <c r="K133" s="28">
        <f>(Table4[[#This Row],[SPOT PTS]]/2)*15-65</f>
        <v>-537.5</v>
      </c>
      <c r="L133" s="28">
        <f t="shared" si="3"/>
        <v>14420</v>
      </c>
    </row>
    <row r="134" spans="1:12" ht="19.95" customHeight="1" thickBot="1" x14ac:dyDescent="0.35">
      <c r="A134" s="17">
        <v>28</v>
      </c>
      <c r="B134" s="18">
        <v>6.5972222222222224E-2</v>
      </c>
      <c r="C134" s="19" t="s">
        <v>6</v>
      </c>
      <c r="D134" s="19">
        <v>-49</v>
      </c>
      <c r="E134" s="19" t="s">
        <v>29</v>
      </c>
      <c r="F134" s="20">
        <v>2</v>
      </c>
      <c r="K134" s="28">
        <f>(Table4[[#This Row],[SPOT PTS]]/2)*15-65</f>
        <v>-432.5</v>
      </c>
      <c r="L134" s="28">
        <f t="shared" si="3"/>
        <v>13987.5</v>
      </c>
    </row>
    <row r="135" spans="1:12" ht="19.95" customHeight="1" thickBot="1" x14ac:dyDescent="0.35">
      <c r="A135" s="24">
        <v>29</v>
      </c>
      <c r="B135" s="25">
        <v>0.40277777777777773</v>
      </c>
      <c r="C135" s="26" t="s">
        <v>9</v>
      </c>
      <c r="D135" s="26">
        <v>183</v>
      </c>
      <c r="E135" s="26" t="s">
        <v>21</v>
      </c>
      <c r="F135" s="27">
        <v>1</v>
      </c>
      <c r="K135" s="28">
        <f>(Table4[[#This Row],[SPOT PTS]]/2)*15-65</f>
        <v>1307.5</v>
      </c>
      <c r="L135" s="28">
        <f t="shared" si="3"/>
        <v>15295</v>
      </c>
    </row>
    <row r="136" spans="1:12" ht="19.95" customHeight="1" x14ac:dyDescent="0.3">
      <c r="A136" s="13">
        <v>30</v>
      </c>
      <c r="B136" s="14">
        <v>0.40972222222222227</v>
      </c>
      <c r="C136" s="15" t="s">
        <v>6</v>
      </c>
      <c r="D136" s="15">
        <v>-80</v>
      </c>
      <c r="E136" s="15" t="s">
        <v>23</v>
      </c>
      <c r="F136" s="16">
        <v>1</v>
      </c>
      <c r="K136" s="28">
        <f>(Table4[[#This Row],[SPOT PTS]]/2)*15-65</f>
        <v>-665</v>
      </c>
      <c r="L136" s="28">
        <f t="shared" si="3"/>
        <v>14630</v>
      </c>
    </row>
    <row r="137" spans="1:12" ht="19.95" customHeight="1" thickBot="1" x14ac:dyDescent="0.35">
      <c r="A137" s="17">
        <v>30</v>
      </c>
      <c r="B137" s="18">
        <v>0.11805555555555557</v>
      </c>
      <c r="C137" s="19" t="s">
        <v>9</v>
      </c>
      <c r="D137" s="19">
        <v>103</v>
      </c>
      <c r="E137" s="19" t="s">
        <v>23</v>
      </c>
      <c r="F137" s="20">
        <v>2</v>
      </c>
      <c r="K137" s="28">
        <f>(Table4[[#This Row],[SPOT PTS]]/2)*15-65</f>
        <v>707.5</v>
      </c>
      <c r="L137" s="28">
        <f t="shared" si="3"/>
        <v>15337.5</v>
      </c>
    </row>
    <row r="138" spans="1:12" ht="19.95" customHeight="1" x14ac:dyDescent="0.3">
      <c r="A138" s="40" t="s">
        <v>30</v>
      </c>
      <c r="B138" s="40"/>
      <c r="C138" s="40"/>
      <c r="D138" s="40"/>
      <c r="E138" s="40"/>
      <c r="F138" s="40"/>
    </row>
    <row r="139" spans="1:12" ht="19.95" customHeight="1" thickBot="1" x14ac:dyDescent="0.35">
      <c r="A139" s="10" t="s">
        <v>46</v>
      </c>
      <c r="B139" s="10" t="s">
        <v>47</v>
      </c>
      <c r="C139" s="10" t="s">
        <v>0</v>
      </c>
      <c r="D139" s="10" t="s">
        <v>48</v>
      </c>
      <c r="E139" s="10" t="s">
        <v>14</v>
      </c>
      <c r="F139" s="10" t="s">
        <v>49</v>
      </c>
      <c r="H139" s="2" t="s">
        <v>38</v>
      </c>
      <c r="I139" s="2">
        <f>COUNT(Table5[DATE])</f>
        <v>32</v>
      </c>
      <c r="L139" s="28">
        <v>10000</v>
      </c>
    </row>
    <row r="140" spans="1:12" ht="19.95" customHeight="1" thickBot="1" x14ac:dyDescent="0.35">
      <c r="A140" s="24">
        <v>3</v>
      </c>
      <c r="B140" s="25">
        <v>0.4513888888888889</v>
      </c>
      <c r="C140" s="26" t="s">
        <v>9</v>
      </c>
      <c r="D140" s="26">
        <v>242</v>
      </c>
      <c r="E140" s="26" t="s">
        <v>25</v>
      </c>
      <c r="F140" s="27">
        <v>1</v>
      </c>
      <c r="H140" s="2" t="s">
        <v>39</v>
      </c>
      <c r="I140" s="3">
        <f>((COUNTIF(Table5[OUTCOME],"TARGET"))/I139)</f>
        <v>0.40625</v>
      </c>
      <c r="K140" s="28">
        <f>((Table5[[#This Row],[SPOT PTS]]/2)*15)-65</f>
        <v>1750</v>
      </c>
      <c r="L140" s="28">
        <f>K140+L139</f>
        <v>11750</v>
      </c>
    </row>
    <row r="141" spans="1:12" ht="19.95" customHeight="1" x14ac:dyDescent="0.3">
      <c r="A141" s="13">
        <v>4</v>
      </c>
      <c r="B141" s="14">
        <v>0.3923611111111111</v>
      </c>
      <c r="C141" s="15" t="s">
        <v>6</v>
      </c>
      <c r="D141" s="15">
        <v>-80</v>
      </c>
      <c r="E141" s="15" t="s">
        <v>27</v>
      </c>
      <c r="F141" s="16">
        <v>1</v>
      </c>
      <c r="H141" s="2" t="s">
        <v>40</v>
      </c>
      <c r="I141" s="2">
        <f>SUM(Table5[SPOT PTS])</f>
        <v>889</v>
      </c>
      <c r="K141" s="28">
        <f>((Table5[[#This Row],[SPOT PTS]]/2)*15)-65</f>
        <v>-665</v>
      </c>
      <c r="L141" s="28">
        <f t="shared" ref="L141:L171" si="4">K141+L140</f>
        <v>11085</v>
      </c>
    </row>
    <row r="142" spans="1:12" ht="19.95" customHeight="1" x14ac:dyDescent="0.3">
      <c r="A142" s="21">
        <v>4</v>
      </c>
      <c r="B142" s="22">
        <v>0.4236111111111111</v>
      </c>
      <c r="C142" s="1" t="s">
        <v>6</v>
      </c>
      <c r="D142" s="1">
        <v>-67</v>
      </c>
      <c r="E142" s="1" t="s">
        <v>27</v>
      </c>
      <c r="F142" s="23">
        <v>1</v>
      </c>
      <c r="H142" s="2" t="s">
        <v>10</v>
      </c>
      <c r="I142" s="2">
        <f>65*I139</f>
        <v>2080</v>
      </c>
      <c r="K142" s="28">
        <f>((Table5[[#This Row],[SPOT PTS]]/2)*15)-65</f>
        <v>-567.5</v>
      </c>
      <c r="L142" s="28">
        <f t="shared" si="4"/>
        <v>10517.5</v>
      </c>
    </row>
    <row r="143" spans="1:12" ht="19.95" customHeight="1" thickBot="1" x14ac:dyDescent="0.35">
      <c r="A143" s="17">
        <v>4</v>
      </c>
      <c r="B143" s="18">
        <v>0.46875</v>
      </c>
      <c r="C143" s="19" t="s">
        <v>6</v>
      </c>
      <c r="D143" s="19">
        <v>-46</v>
      </c>
      <c r="E143" s="19" t="s">
        <v>27</v>
      </c>
      <c r="F143" s="20">
        <v>1</v>
      </c>
      <c r="H143" s="2" t="s">
        <v>41</v>
      </c>
      <c r="I143" s="2">
        <f>SUMIF(Table5[OUTCOME],"STOPLOSS",Table5[SPOT PTS])</f>
        <v>-1008</v>
      </c>
      <c r="K143" s="28">
        <f>((Table5[[#This Row],[SPOT PTS]]/2)*15)-65</f>
        <v>-410</v>
      </c>
      <c r="L143" s="28">
        <f t="shared" si="4"/>
        <v>10107.5</v>
      </c>
    </row>
    <row r="144" spans="1:12" ht="19.95" customHeight="1" x14ac:dyDescent="0.3">
      <c r="A144" s="13">
        <v>5</v>
      </c>
      <c r="B144" s="14">
        <v>0.3923611111111111</v>
      </c>
      <c r="C144" s="15" t="s">
        <v>6</v>
      </c>
      <c r="D144" s="15">
        <v>-80</v>
      </c>
      <c r="E144" s="15" t="s">
        <v>29</v>
      </c>
      <c r="F144" s="16">
        <v>1</v>
      </c>
      <c r="H144" s="2" t="s">
        <v>42</v>
      </c>
      <c r="I144" s="2">
        <f>SUMIF(Table5[OUTCOME],"TARGET",Table5[SPOT PTS])</f>
        <v>1897</v>
      </c>
      <c r="K144" s="28">
        <f>((Table5[[#This Row],[SPOT PTS]]/2)*15)-65</f>
        <v>-665</v>
      </c>
      <c r="L144" s="28">
        <f t="shared" si="4"/>
        <v>9442.5</v>
      </c>
    </row>
    <row r="145" spans="1:12" ht="19.95" customHeight="1" x14ac:dyDescent="0.3">
      <c r="A145" s="21">
        <v>5</v>
      </c>
      <c r="B145" s="22">
        <v>0.40277777777777773</v>
      </c>
      <c r="C145" s="1" t="s">
        <v>6</v>
      </c>
      <c r="D145" s="1">
        <v>-80</v>
      </c>
      <c r="E145" s="1" t="s">
        <v>29</v>
      </c>
      <c r="F145" s="23">
        <v>1</v>
      </c>
      <c r="H145" s="2" t="s">
        <v>43</v>
      </c>
      <c r="I145" s="6">
        <f>(L171-L139)/L139</f>
        <v>0.45874999999999999</v>
      </c>
      <c r="K145" s="28">
        <f>((Table5[[#This Row],[SPOT PTS]]/2)*15)-65</f>
        <v>-665</v>
      </c>
      <c r="L145" s="28">
        <f t="shared" si="4"/>
        <v>8777.5</v>
      </c>
    </row>
    <row r="146" spans="1:12" ht="19.95" customHeight="1" thickBot="1" x14ac:dyDescent="0.35">
      <c r="A146" s="17">
        <v>5</v>
      </c>
      <c r="B146" s="18">
        <v>0.4513888888888889</v>
      </c>
      <c r="C146" s="19" t="s">
        <v>6</v>
      </c>
      <c r="D146" s="19">
        <v>-77</v>
      </c>
      <c r="E146" s="19" t="s">
        <v>29</v>
      </c>
      <c r="F146" s="20">
        <v>1</v>
      </c>
      <c r="H146" s="2" t="s">
        <v>44</v>
      </c>
      <c r="I146" s="9">
        <f>((I141/2)*15)-I142</f>
        <v>4587.5</v>
      </c>
      <c r="K146" s="28">
        <f>((Table5[[#This Row],[SPOT PTS]]/2)*15)-65</f>
        <v>-642.5</v>
      </c>
      <c r="L146" s="28">
        <f t="shared" si="4"/>
        <v>8135</v>
      </c>
    </row>
    <row r="147" spans="1:12" ht="19.95" customHeight="1" thickBot="1" x14ac:dyDescent="0.35">
      <c r="A147" s="24">
        <v>6</v>
      </c>
      <c r="B147" s="25">
        <v>0.46527777777777773</v>
      </c>
      <c r="C147" s="26" t="s">
        <v>9</v>
      </c>
      <c r="D147" s="26">
        <v>96</v>
      </c>
      <c r="E147" s="26" t="s">
        <v>21</v>
      </c>
      <c r="F147" s="27">
        <v>1</v>
      </c>
      <c r="K147" s="28">
        <f>((Table5[[#This Row],[SPOT PTS]]/2)*15)-65</f>
        <v>655</v>
      </c>
      <c r="L147" s="28">
        <f t="shared" si="4"/>
        <v>8790</v>
      </c>
    </row>
    <row r="148" spans="1:12" ht="19.95" customHeight="1" thickBot="1" x14ac:dyDescent="0.35">
      <c r="A148" s="24">
        <v>7</v>
      </c>
      <c r="B148" s="25">
        <v>0.39930555555555558</v>
      </c>
      <c r="C148" s="26" t="s">
        <v>9</v>
      </c>
      <c r="D148" s="26">
        <v>140</v>
      </c>
      <c r="E148" s="26" t="s">
        <v>23</v>
      </c>
      <c r="F148" s="27">
        <v>1</v>
      </c>
      <c r="K148" s="28">
        <f>((Table5[[#This Row],[SPOT PTS]]/2)*15)-65</f>
        <v>985</v>
      </c>
      <c r="L148" s="28">
        <f t="shared" si="4"/>
        <v>9775</v>
      </c>
    </row>
    <row r="149" spans="1:12" ht="19.95" customHeight="1" thickBot="1" x14ac:dyDescent="0.35">
      <c r="A149" s="24">
        <v>10</v>
      </c>
      <c r="B149" s="25">
        <v>0.39583333333333331</v>
      </c>
      <c r="C149" s="26" t="s">
        <v>9</v>
      </c>
      <c r="D149" s="26">
        <v>124</v>
      </c>
      <c r="E149" s="26" t="s">
        <v>25</v>
      </c>
      <c r="F149" s="27">
        <v>1</v>
      </c>
      <c r="K149" s="28">
        <f>((Table5[[#This Row],[SPOT PTS]]/2)*15)-65</f>
        <v>865</v>
      </c>
      <c r="L149" s="28">
        <f t="shared" si="4"/>
        <v>10640</v>
      </c>
    </row>
    <row r="150" spans="1:12" ht="19.95" customHeight="1" thickBot="1" x14ac:dyDescent="0.35">
      <c r="A150" s="24">
        <v>11</v>
      </c>
      <c r="B150" s="25">
        <v>0.4861111111111111</v>
      </c>
      <c r="C150" s="26" t="s">
        <v>9</v>
      </c>
      <c r="D150" s="26">
        <v>149</v>
      </c>
      <c r="E150" s="26" t="s">
        <v>27</v>
      </c>
      <c r="F150" s="27">
        <v>1</v>
      </c>
      <c r="K150" s="28">
        <f>((Table5[[#This Row],[SPOT PTS]]/2)*15)-65</f>
        <v>1052.5</v>
      </c>
      <c r="L150" s="28">
        <f t="shared" si="4"/>
        <v>11692.5</v>
      </c>
    </row>
    <row r="151" spans="1:12" ht="19.95" customHeight="1" x14ac:dyDescent="0.3">
      <c r="A151" s="13">
        <v>12</v>
      </c>
      <c r="B151" s="14">
        <v>0.49652777777777773</v>
      </c>
      <c r="C151" s="15" t="s">
        <v>6</v>
      </c>
      <c r="D151" s="15">
        <v>-25</v>
      </c>
      <c r="E151" s="15" t="s">
        <v>29</v>
      </c>
      <c r="F151" s="16">
        <v>1</v>
      </c>
      <c r="K151" s="28">
        <f>((Table5[[#This Row],[SPOT PTS]]/2)*15)-65</f>
        <v>-252.5</v>
      </c>
      <c r="L151" s="28">
        <f t="shared" si="4"/>
        <v>11440</v>
      </c>
    </row>
    <row r="152" spans="1:12" ht="19.95" customHeight="1" thickBot="1" x14ac:dyDescent="0.35">
      <c r="A152" s="17">
        <v>12</v>
      </c>
      <c r="B152" s="18">
        <v>9.0277777777777776E-2</v>
      </c>
      <c r="C152" s="19" t="s">
        <v>9</v>
      </c>
      <c r="D152" s="19">
        <v>143</v>
      </c>
      <c r="E152" s="19" t="s">
        <v>29</v>
      </c>
      <c r="F152" s="20">
        <v>2</v>
      </c>
      <c r="K152" s="28">
        <f>((Table5[[#This Row],[SPOT PTS]]/2)*15)-65</f>
        <v>1007.5</v>
      </c>
      <c r="L152" s="28">
        <f t="shared" si="4"/>
        <v>12447.5</v>
      </c>
    </row>
    <row r="153" spans="1:12" ht="19.95" customHeight="1" thickBot="1" x14ac:dyDescent="0.35">
      <c r="A153" s="24">
        <v>13</v>
      </c>
      <c r="B153" s="25">
        <v>0.12152777777777778</v>
      </c>
      <c r="C153" s="26" t="s">
        <v>9</v>
      </c>
      <c r="D153" s="26">
        <v>70</v>
      </c>
      <c r="E153" s="26" t="s">
        <v>21</v>
      </c>
      <c r="F153" s="27">
        <v>2</v>
      </c>
      <c r="K153" s="28">
        <f>((Table5[[#This Row],[SPOT PTS]]/2)*15)-65</f>
        <v>460</v>
      </c>
      <c r="L153" s="28">
        <f t="shared" si="4"/>
        <v>12907.5</v>
      </c>
    </row>
    <row r="154" spans="1:12" ht="19.95" customHeight="1" x14ac:dyDescent="0.3">
      <c r="A154" s="13">
        <v>17</v>
      </c>
      <c r="B154" s="14">
        <v>0.41319444444444442</v>
      </c>
      <c r="C154" s="15" t="s">
        <v>6</v>
      </c>
      <c r="D154" s="15">
        <v>-30</v>
      </c>
      <c r="E154" s="15" t="s">
        <v>25</v>
      </c>
      <c r="F154" s="16">
        <v>1</v>
      </c>
      <c r="K154" s="28">
        <f>((Table5[[#This Row],[SPOT PTS]]/2)*15)-65</f>
        <v>-290</v>
      </c>
      <c r="L154" s="28">
        <f t="shared" si="4"/>
        <v>12617.5</v>
      </c>
    </row>
    <row r="155" spans="1:12" ht="19.95" customHeight="1" thickBot="1" x14ac:dyDescent="0.35">
      <c r="A155" s="17">
        <v>17</v>
      </c>
      <c r="B155" s="18">
        <v>0.43055555555555558</v>
      </c>
      <c r="C155" s="19" t="s">
        <v>6</v>
      </c>
      <c r="D155" s="19">
        <v>-47</v>
      </c>
      <c r="E155" s="19" t="s">
        <v>25</v>
      </c>
      <c r="F155" s="20">
        <v>1</v>
      </c>
      <c r="K155" s="28">
        <f>((Table5[[#This Row],[SPOT PTS]]/2)*15)-65</f>
        <v>-417.5</v>
      </c>
      <c r="L155" s="28">
        <f t="shared" si="4"/>
        <v>12200</v>
      </c>
    </row>
    <row r="156" spans="1:12" ht="19.95" customHeight="1" x14ac:dyDescent="0.3">
      <c r="A156" s="13">
        <v>18</v>
      </c>
      <c r="B156" s="14">
        <v>0.39583333333333331</v>
      </c>
      <c r="C156" s="15" t="s">
        <v>6</v>
      </c>
      <c r="D156" s="15">
        <v>-80</v>
      </c>
      <c r="E156" s="15" t="s">
        <v>27</v>
      </c>
      <c r="F156" s="16">
        <v>1</v>
      </c>
      <c r="K156" s="28">
        <f>((Table5[[#This Row],[SPOT PTS]]/2)*15)-65</f>
        <v>-665</v>
      </c>
      <c r="L156" s="28">
        <f t="shared" si="4"/>
        <v>11535</v>
      </c>
    </row>
    <row r="157" spans="1:12" ht="19.95" customHeight="1" thickBot="1" x14ac:dyDescent="0.35">
      <c r="A157" s="17">
        <v>18</v>
      </c>
      <c r="B157" s="18">
        <v>0.46527777777777773</v>
      </c>
      <c r="C157" s="19" t="s">
        <v>9</v>
      </c>
      <c r="D157" s="19">
        <v>144</v>
      </c>
      <c r="E157" s="19" t="s">
        <v>27</v>
      </c>
      <c r="F157" s="20">
        <v>1</v>
      </c>
      <c r="K157" s="28">
        <f>((Table5[[#This Row],[SPOT PTS]]/2)*15)-65</f>
        <v>1015</v>
      </c>
      <c r="L157" s="28">
        <f t="shared" si="4"/>
        <v>12550</v>
      </c>
    </row>
    <row r="158" spans="1:12" ht="19.95" customHeight="1" thickBot="1" x14ac:dyDescent="0.35">
      <c r="A158" s="24">
        <v>19</v>
      </c>
      <c r="B158" s="25">
        <v>0.40277777777777773</v>
      </c>
      <c r="C158" s="26" t="s">
        <v>9</v>
      </c>
      <c r="D158" s="26">
        <v>169</v>
      </c>
      <c r="E158" s="26" t="s">
        <v>29</v>
      </c>
      <c r="F158" s="27">
        <v>1</v>
      </c>
      <c r="K158" s="28">
        <f>((Table5[[#This Row],[SPOT PTS]]/2)*15)-65</f>
        <v>1202.5</v>
      </c>
      <c r="L158" s="28">
        <f t="shared" si="4"/>
        <v>13752.5</v>
      </c>
    </row>
    <row r="159" spans="1:12" ht="19.95" customHeight="1" thickBot="1" x14ac:dyDescent="0.35">
      <c r="A159" s="24">
        <v>20</v>
      </c>
      <c r="B159" s="25">
        <v>0.3923611111111111</v>
      </c>
      <c r="C159" s="26" t="s">
        <v>9</v>
      </c>
      <c r="D159" s="26">
        <v>201</v>
      </c>
      <c r="E159" s="26" t="s">
        <v>21</v>
      </c>
      <c r="F159" s="27">
        <v>1</v>
      </c>
      <c r="K159" s="28">
        <f>((Table5[[#This Row],[SPOT PTS]]/2)*15)-65</f>
        <v>1442.5</v>
      </c>
      <c r="L159" s="28">
        <f t="shared" si="4"/>
        <v>15195</v>
      </c>
    </row>
    <row r="160" spans="1:12" ht="19.95" customHeight="1" x14ac:dyDescent="0.3">
      <c r="A160" s="13">
        <v>21</v>
      </c>
      <c r="B160" s="14">
        <v>0.41666666666666669</v>
      </c>
      <c r="C160" s="15" t="s">
        <v>6</v>
      </c>
      <c r="D160" s="15">
        <v>-37</v>
      </c>
      <c r="E160" s="15" t="s">
        <v>23</v>
      </c>
      <c r="F160" s="16">
        <v>1</v>
      </c>
      <c r="K160" s="28">
        <f>((Table5[[#This Row],[SPOT PTS]]/2)*15)-65</f>
        <v>-342.5</v>
      </c>
      <c r="L160" s="28">
        <f t="shared" si="4"/>
        <v>14852.5</v>
      </c>
    </row>
    <row r="161" spans="1:12" ht="19.95" customHeight="1" x14ac:dyDescent="0.3">
      <c r="A161" s="21">
        <v>21</v>
      </c>
      <c r="B161" s="22">
        <v>0.4513888888888889</v>
      </c>
      <c r="C161" s="1" t="s">
        <v>6</v>
      </c>
      <c r="D161" s="1">
        <v>-27</v>
      </c>
      <c r="E161" s="1" t="s">
        <v>23</v>
      </c>
      <c r="F161" s="23">
        <v>1</v>
      </c>
      <c r="K161" s="28">
        <f>((Table5[[#This Row],[SPOT PTS]]/2)*15)-65</f>
        <v>-267.5</v>
      </c>
      <c r="L161" s="28">
        <f t="shared" si="4"/>
        <v>14585</v>
      </c>
    </row>
    <row r="162" spans="1:12" ht="19.95" customHeight="1" thickBot="1" x14ac:dyDescent="0.35">
      <c r="A162" s="17">
        <v>21</v>
      </c>
      <c r="B162" s="18">
        <v>0.52083333333333337</v>
      </c>
      <c r="C162" s="19" t="s">
        <v>9</v>
      </c>
      <c r="D162" s="19">
        <v>63</v>
      </c>
      <c r="E162" s="19" t="s">
        <v>23</v>
      </c>
      <c r="F162" s="20">
        <v>2</v>
      </c>
      <c r="K162" s="28">
        <f>((Table5[[#This Row],[SPOT PTS]]/2)*15)-65</f>
        <v>407.5</v>
      </c>
      <c r="L162" s="28">
        <f t="shared" si="4"/>
        <v>14992.5</v>
      </c>
    </row>
    <row r="163" spans="1:12" ht="19.95" customHeight="1" thickBot="1" x14ac:dyDescent="0.35">
      <c r="A163" s="24">
        <v>24</v>
      </c>
      <c r="B163" s="25">
        <v>0.3923611111111111</v>
      </c>
      <c r="C163" s="26" t="s">
        <v>9</v>
      </c>
      <c r="D163" s="26">
        <v>230</v>
      </c>
      <c r="E163" s="26" t="s">
        <v>25</v>
      </c>
      <c r="F163" s="27">
        <v>1</v>
      </c>
      <c r="K163" s="28">
        <f>((Table5[[#This Row],[SPOT PTS]]/2)*15)-65</f>
        <v>1660</v>
      </c>
      <c r="L163" s="28">
        <f t="shared" si="4"/>
        <v>16652.5</v>
      </c>
    </row>
    <row r="164" spans="1:12" ht="19.95" customHeight="1" thickBot="1" x14ac:dyDescent="0.35">
      <c r="A164" s="24">
        <v>25</v>
      </c>
      <c r="B164" s="25">
        <v>0.49305555555555558</v>
      </c>
      <c r="C164" s="26" t="s">
        <v>9</v>
      </c>
      <c r="D164" s="26">
        <v>126</v>
      </c>
      <c r="E164" s="26" t="s">
        <v>27</v>
      </c>
      <c r="F164" s="27">
        <v>1</v>
      </c>
      <c r="K164" s="28">
        <f>((Table5[[#This Row],[SPOT PTS]]/2)*15)-65</f>
        <v>880</v>
      </c>
      <c r="L164" s="28">
        <f t="shared" si="4"/>
        <v>17532.5</v>
      </c>
    </row>
    <row r="165" spans="1:12" ht="19.95" customHeight="1" x14ac:dyDescent="0.3">
      <c r="A165" s="13">
        <v>26</v>
      </c>
      <c r="B165" s="14">
        <v>0.4236111111111111</v>
      </c>
      <c r="C165" s="15" t="s">
        <v>6</v>
      </c>
      <c r="D165" s="15">
        <v>-30</v>
      </c>
      <c r="E165" s="15" t="s">
        <v>29</v>
      </c>
      <c r="F165" s="16">
        <v>1</v>
      </c>
      <c r="K165" s="28">
        <f>((Table5[[#This Row],[SPOT PTS]]/2)*15)-65</f>
        <v>-290</v>
      </c>
      <c r="L165" s="28">
        <f t="shared" si="4"/>
        <v>17242.5</v>
      </c>
    </row>
    <row r="166" spans="1:12" ht="19.95" customHeight="1" x14ac:dyDescent="0.3">
      <c r="A166" s="21">
        <v>26</v>
      </c>
      <c r="B166" s="22">
        <v>0.4375</v>
      </c>
      <c r="C166" s="1" t="s">
        <v>6</v>
      </c>
      <c r="D166" s="1">
        <v>-36</v>
      </c>
      <c r="E166" s="1" t="s">
        <v>29</v>
      </c>
      <c r="F166" s="23">
        <v>1</v>
      </c>
      <c r="K166" s="28">
        <f>((Table5[[#This Row],[SPOT PTS]]/2)*15)-65</f>
        <v>-335</v>
      </c>
      <c r="L166" s="28">
        <f t="shared" si="4"/>
        <v>16907.5</v>
      </c>
    </row>
    <row r="167" spans="1:12" ht="19.95" customHeight="1" thickBot="1" x14ac:dyDescent="0.35">
      <c r="A167" s="17">
        <v>26</v>
      </c>
      <c r="B167" s="18">
        <v>0.46180555555555558</v>
      </c>
      <c r="C167" s="19" t="s">
        <v>6</v>
      </c>
      <c r="D167" s="19">
        <v>-56</v>
      </c>
      <c r="E167" s="19" t="s">
        <v>29</v>
      </c>
      <c r="F167" s="20">
        <v>1</v>
      </c>
      <c r="K167" s="28">
        <f>((Table5[[#This Row],[SPOT PTS]]/2)*15)-65</f>
        <v>-485</v>
      </c>
      <c r="L167" s="28">
        <f t="shared" si="4"/>
        <v>16422.5</v>
      </c>
    </row>
    <row r="168" spans="1:12" ht="19.95" customHeight="1" thickBot="1" x14ac:dyDescent="0.35">
      <c r="A168" s="24">
        <v>27</v>
      </c>
      <c r="B168" s="25">
        <v>0.4236111111111111</v>
      </c>
      <c r="C168" s="26" t="s">
        <v>6</v>
      </c>
      <c r="D168" s="26">
        <v>-36</v>
      </c>
      <c r="E168" s="26" t="s">
        <v>21</v>
      </c>
      <c r="F168" s="27">
        <v>1</v>
      </c>
      <c r="K168" s="28">
        <f>((Table5[[#This Row],[SPOT PTS]]/2)*15)-65</f>
        <v>-335</v>
      </c>
      <c r="L168" s="28">
        <f t="shared" si="4"/>
        <v>16087.5</v>
      </c>
    </row>
    <row r="169" spans="1:12" ht="19.95" customHeight="1" x14ac:dyDescent="0.3">
      <c r="A169" s="13">
        <v>28</v>
      </c>
      <c r="B169" s="14">
        <v>0.3923611111111111</v>
      </c>
      <c r="C169" s="15" t="s">
        <v>6</v>
      </c>
      <c r="D169" s="15">
        <v>-80</v>
      </c>
      <c r="E169" s="15" t="s">
        <v>23</v>
      </c>
      <c r="F169" s="16">
        <v>1</v>
      </c>
      <c r="K169" s="28">
        <f>((Table5[[#This Row],[SPOT PTS]]/2)*15)-65</f>
        <v>-665</v>
      </c>
      <c r="L169" s="28">
        <f t="shared" si="4"/>
        <v>15422.5</v>
      </c>
    </row>
    <row r="170" spans="1:12" ht="19.95" customHeight="1" thickBot="1" x14ac:dyDescent="0.35">
      <c r="A170" s="17">
        <v>28</v>
      </c>
      <c r="B170" s="18">
        <v>6.9444444444444434E-2</v>
      </c>
      <c r="C170" s="19" t="s">
        <v>6</v>
      </c>
      <c r="D170" s="19">
        <v>-43</v>
      </c>
      <c r="E170" s="19" t="s">
        <v>23</v>
      </c>
      <c r="F170" s="20">
        <v>2</v>
      </c>
      <c r="K170" s="28">
        <f>((Table5[[#This Row],[SPOT PTS]]/2)*15)-65</f>
        <v>-387.5</v>
      </c>
      <c r="L170" s="28">
        <f t="shared" si="4"/>
        <v>15035</v>
      </c>
    </row>
    <row r="171" spans="1:12" ht="19.95" customHeight="1" thickBot="1" x14ac:dyDescent="0.35">
      <c r="A171" s="24">
        <v>31</v>
      </c>
      <c r="B171" s="25">
        <v>0.44097222222222227</v>
      </c>
      <c r="C171" s="26" t="s">
        <v>6</v>
      </c>
      <c r="D171" s="26">
        <v>-51</v>
      </c>
      <c r="E171" s="26" t="s">
        <v>25</v>
      </c>
      <c r="F171" s="27">
        <v>1</v>
      </c>
      <c r="K171" s="28">
        <f>((Table5[[#This Row],[SPOT PTS]]/2)*15)-65</f>
        <v>-447.5</v>
      </c>
      <c r="L171" s="28">
        <f t="shared" si="4"/>
        <v>14587.5</v>
      </c>
    </row>
    <row r="172" spans="1:12" ht="19.95" customHeight="1" x14ac:dyDescent="0.3">
      <c r="A172" s="40" t="s">
        <v>53</v>
      </c>
      <c r="B172" s="40"/>
      <c r="C172" s="40"/>
      <c r="D172" s="40"/>
      <c r="E172" s="40"/>
      <c r="F172" s="40"/>
    </row>
    <row r="173" spans="1:12" ht="19.95" customHeight="1" thickBot="1" x14ac:dyDescent="0.35">
      <c r="A173" s="34" t="s">
        <v>46</v>
      </c>
      <c r="B173" s="10" t="s">
        <v>47</v>
      </c>
      <c r="C173" s="10" t="s">
        <v>0</v>
      </c>
      <c r="D173" s="10" t="s">
        <v>48</v>
      </c>
      <c r="E173" s="10" t="s">
        <v>14</v>
      </c>
      <c r="F173" s="35" t="s">
        <v>49</v>
      </c>
      <c r="H173" s="2" t="s">
        <v>38</v>
      </c>
      <c r="I173" s="2">
        <f>COUNT(Table6[DATE])</f>
        <v>35</v>
      </c>
      <c r="L173" s="28">
        <v>10000</v>
      </c>
    </row>
    <row r="174" spans="1:12" ht="19.95" customHeight="1" x14ac:dyDescent="0.3">
      <c r="A174" s="30">
        <v>1</v>
      </c>
      <c r="B174" s="31">
        <v>0.39583333333333331</v>
      </c>
      <c r="C174" s="32" t="s">
        <v>6</v>
      </c>
      <c r="D174" s="32">
        <v>-46</v>
      </c>
      <c r="E174" s="32" t="s">
        <v>27</v>
      </c>
      <c r="F174" s="33">
        <v>1</v>
      </c>
      <c r="H174" s="2" t="s">
        <v>39</v>
      </c>
      <c r="I174" s="3">
        <f>((COUNTIF(Table6[OUTCOME],"TARGET"))/I173)</f>
        <v>0.25714285714285712</v>
      </c>
      <c r="K174" s="28">
        <f>((Table6[[#This Row],[SPOT PTS]]/2)*15)-65</f>
        <v>-410</v>
      </c>
      <c r="L174" s="28">
        <f>K174+L173</f>
        <v>9590</v>
      </c>
    </row>
    <row r="175" spans="1:12" ht="19.95" customHeight="1" thickBot="1" x14ac:dyDescent="0.35">
      <c r="A175" s="17">
        <v>1</v>
      </c>
      <c r="B175" s="18">
        <v>0.40277777777777773</v>
      </c>
      <c r="C175" s="19" t="s">
        <v>9</v>
      </c>
      <c r="D175" s="19">
        <v>152</v>
      </c>
      <c r="E175" s="19" t="s">
        <v>27</v>
      </c>
      <c r="F175" s="20">
        <v>1</v>
      </c>
      <c r="H175" s="2" t="s">
        <v>40</v>
      </c>
      <c r="I175" s="2">
        <f>SUM(Table6[SPOT PTS])</f>
        <v>-19</v>
      </c>
      <c r="K175" s="28">
        <f>((Table6[[#This Row],[SPOT PTS]]/2)*15)-65</f>
        <v>1075</v>
      </c>
      <c r="L175" s="28">
        <f t="shared" ref="L175:L208" si="5">K175+L174</f>
        <v>10665</v>
      </c>
    </row>
    <row r="176" spans="1:12" ht="19.95" customHeight="1" thickBot="1" x14ac:dyDescent="0.35">
      <c r="A176" s="36">
        <v>2</v>
      </c>
      <c r="B176" s="37">
        <v>0.46527777777777773</v>
      </c>
      <c r="C176" s="38" t="s">
        <v>6</v>
      </c>
      <c r="D176" s="38">
        <v>-45</v>
      </c>
      <c r="E176" s="38" t="s">
        <v>29</v>
      </c>
      <c r="F176" s="39">
        <v>1</v>
      </c>
      <c r="H176" s="2" t="s">
        <v>10</v>
      </c>
      <c r="I176" s="2">
        <f>65*I173</f>
        <v>2275</v>
      </c>
      <c r="K176" s="28">
        <f>((Table6[[#This Row],[SPOT PTS]]/2)*15)-65</f>
        <v>-402.5</v>
      </c>
      <c r="L176" s="28">
        <f t="shared" si="5"/>
        <v>10262.5</v>
      </c>
    </row>
    <row r="177" spans="1:12" ht="19.95" customHeight="1" x14ac:dyDescent="0.3">
      <c r="A177" s="13">
        <v>3</v>
      </c>
      <c r="B177" s="14">
        <v>0.39583333333333331</v>
      </c>
      <c r="C177" s="15" t="s">
        <v>6</v>
      </c>
      <c r="D177" s="15">
        <v>-54</v>
      </c>
      <c r="E177" s="15" t="s">
        <v>21</v>
      </c>
      <c r="F177" s="16">
        <v>1</v>
      </c>
      <c r="H177" s="2" t="s">
        <v>41</v>
      </c>
      <c r="I177" s="2">
        <f>SUMIF(Table6[OUTCOME],"STOPLOSS",Table6[SPOT PTS])</f>
        <v>-1065</v>
      </c>
      <c r="K177" s="28">
        <f>((Table6[[#This Row],[SPOT PTS]]/2)*15)-65</f>
        <v>-470</v>
      </c>
      <c r="L177" s="28">
        <f t="shared" si="5"/>
        <v>9792.5</v>
      </c>
    </row>
    <row r="178" spans="1:12" ht="19.95" customHeight="1" thickBot="1" x14ac:dyDescent="0.35">
      <c r="A178" s="17">
        <v>3</v>
      </c>
      <c r="B178" s="18">
        <v>0.40625</v>
      </c>
      <c r="C178" s="19" t="s">
        <v>6</v>
      </c>
      <c r="D178" s="19">
        <v>-34</v>
      </c>
      <c r="E178" s="19" t="s">
        <v>21</v>
      </c>
      <c r="F178" s="20">
        <v>1</v>
      </c>
      <c r="H178" s="2" t="s">
        <v>42</v>
      </c>
      <c r="I178" s="2">
        <f>SUMIF(Table6[OUTCOME],"TARGET",Table6[SPOT PTS])</f>
        <v>1046</v>
      </c>
      <c r="K178" s="28">
        <f>((Table6[[#This Row],[SPOT PTS]]/2)*15)-65</f>
        <v>-320</v>
      </c>
      <c r="L178" s="28">
        <f t="shared" si="5"/>
        <v>9472.5</v>
      </c>
    </row>
    <row r="179" spans="1:12" ht="19.95" customHeight="1" x14ac:dyDescent="0.3">
      <c r="A179" s="13">
        <v>4</v>
      </c>
      <c r="B179" s="14">
        <v>0.40625</v>
      </c>
      <c r="C179" s="15" t="s">
        <v>6</v>
      </c>
      <c r="D179" s="15">
        <v>-60</v>
      </c>
      <c r="E179" s="15" t="s">
        <v>23</v>
      </c>
      <c r="F179" s="16">
        <v>1</v>
      </c>
      <c r="H179" s="2" t="s">
        <v>43</v>
      </c>
      <c r="I179" s="6">
        <f>(L208-L173)/L173</f>
        <v>-0.24174999999999999</v>
      </c>
      <c r="K179" s="28">
        <f>((Table6[[#This Row],[SPOT PTS]]/2)*15)-65</f>
        <v>-515</v>
      </c>
      <c r="L179" s="28">
        <f t="shared" si="5"/>
        <v>8957.5</v>
      </c>
    </row>
    <row r="180" spans="1:12" ht="19.95" customHeight="1" thickBot="1" x14ac:dyDescent="0.35">
      <c r="A180" s="17">
        <v>4</v>
      </c>
      <c r="B180" s="18">
        <v>0.53472222222222221</v>
      </c>
      <c r="C180" s="19" t="s">
        <v>9</v>
      </c>
      <c r="D180" s="19">
        <v>150</v>
      </c>
      <c r="E180" s="19" t="s">
        <v>23</v>
      </c>
      <c r="F180" s="20">
        <v>2</v>
      </c>
      <c r="H180" s="2" t="s">
        <v>44</v>
      </c>
      <c r="I180" s="9">
        <f>((I175/2)*15)-I176</f>
        <v>-2417.5</v>
      </c>
      <c r="K180" s="28">
        <f>((Table6[[#This Row],[SPOT PTS]]/2)*15)-65</f>
        <v>1060</v>
      </c>
      <c r="L180" s="28">
        <f t="shared" si="5"/>
        <v>10017.5</v>
      </c>
    </row>
    <row r="181" spans="1:12" ht="19.95" customHeight="1" thickBot="1" x14ac:dyDescent="0.35">
      <c r="A181" s="24">
        <v>7</v>
      </c>
      <c r="B181" s="25">
        <v>7.2916666666666671E-2</v>
      </c>
      <c r="C181" s="26" t="s">
        <v>6</v>
      </c>
      <c r="D181" s="26">
        <v>-24</v>
      </c>
      <c r="E181" s="26" t="s">
        <v>25</v>
      </c>
      <c r="F181" s="27">
        <v>2</v>
      </c>
      <c r="K181" s="28">
        <f>((Table6[[#This Row],[SPOT PTS]]/2)*15)-65</f>
        <v>-245</v>
      </c>
      <c r="L181" s="28">
        <f t="shared" si="5"/>
        <v>9772.5</v>
      </c>
    </row>
    <row r="182" spans="1:12" ht="19.95" customHeight="1" thickBot="1" x14ac:dyDescent="0.35">
      <c r="A182" s="24">
        <v>8</v>
      </c>
      <c r="B182" s="25">
        <v>6.9444444444444434E-2</v>
      </c>
      <c r="C182" s="26" t="s">
        <v>9</v>
      </c>
      <c r="D182" s="26">
        <v>108</v>
      </c>
      <c r="E182" s="26" t="s">
        <v>27</v>
      </c>
      <c r="F182" s="27">
        <v>1</v>
      </c>
      <c r="K182" s="28">
        <f>((Table6[[#This Row],[SPOT PTS]]/2)*15)-65</f>
        <v>745</v>
      </c>
      <c r="L182" s="28">
        <f t="shared" si="5"/>
        <v>10517.5</v>
      </c>
    </row>
    <row r="183" spans="1:12" ht="19.95" customHeight="1" thickBot="1" x14ac:dyDescent="0.35">
      <c r="A183" s="24">
        <v>9</v>
      </c>
      <c r="B183" s="25">
        <v>0.4236111111111111</v>
      </c>
      <c r="C183" s="26" t="s">
        <v>9</v>
      </c>
      <c r="D183" s="26">
        <v>132</v>
      </c>
      <c r="E183" s="26" t="s">
        <v>29</v>
      </c>
      <c r="F183" s="27">
        <v>1</v>
      </c>
      <c r="K183" s="28">
        <f>((Table6[[#This Row],[SPOT PTS]]/2)*15)-65</f>
        <v>925</v>
      </c>
      <c r="L183" s="28">
        <f t="shared" si="5"/>
        <v>11442.5</v>
      </c>
    </row>
    <row r="184" spans="1:12" ht="19.95" customHeight="1" x14ac:dyDescent="0.3">
      <c r="A184" s="13">
        <v>11</v>
      </c>
      <c r="B184" s="14">
        <v>0.3923611111111111</v>
      </c>
      <c r="C184" s="15" t="s">
        <v>6</v>
      </c>
      <c r="D184" s="15">
        <v>-60</v>
      </c>
      <c r="E184" s="15" t="s">
        <v>23</v>
      </c>
      <c r="F184" s="16">
        <v>1</v>
      </c>
      <c r="K184" s="28">
        <f>((Table6[[#This Row],[SPOT PTS]]/2)*15)-65</f>
        <v>-515</v>
      </c>
      <c r="L184" s="28">
        <f t="shared" si="5"/>
        <v>10927.5</v>
      </c>
    </row>
    <row r="185" spans="1:12" ht="19.95" customHeight="1" thickBot="1" x14ac:dyDescent="0.35">
      <c r="A185" s="17">
        <v>11</v>
      </c>
      <c r="B185" s="18">
        <v>9.375E-2</v>
      </c>
      <c r="C185" s="19" t="s">
        <v>6</v>
      </c>
      <c r="D185" s="19">
        <v>-37</v>
      </c>
      <c r="E185" s="19" t="s">
        <v>23</v>
      </c>
      <c r="F185" s="20">
        <v>2</v>
      </c>
      <c r="K185" s="28">
        <f>((Table6[[#This Row],[SPOT PTS]]/2)*15)-65</f>
        <v>-342.5</v>
      </c>
      <c r="L185" s="28">
        <f t="shared" si="5"/>
        <v>10585</v>
      </c>
    </row>
    <row r="186" spans="1:12" ht="19.95" customHeight="1" x14ac:dyDescent="0.3">
      <c r="A186" s="13">
        <v>14</v>
      </c>
      <c r="B186" s="14">
        <v>0.50347222222222221</v>
      </c>
      <c r="C186" s="15" t="s">
        <v>6</v>
      </c>
      <c r="D186" s="15">
        <v>-18</v>
      </c>
      <c r="E186" s="15" t="s">
        <v>25</v>
      </c>
      <c r="F186" s="16">
        <v>2</v>
      </c>
      <c r="K186" s="28">
        <f>((Table6[[#This Row],[SPOT PTS]]/2)*15)-65</f>
        <v>-200</v>
      </c>
      <c r="L186" s="28">
        <f t="shared" si="5"/>
        <v>10385</v>
      </c>
    </row>
    <row r="187" spans="1:12" ht="19.95" customHeight="1" thickBot="1" x14ac:dyDescent="0.35">
      <c r="A187" s="17">
        <v>14</v>
      </c>
      <c r="B187" s="18">
        <v>6.9444444444444434E-2</v>
      </c>
      <c r="C187" s="19" t="s">
        <v>6</v>
      </c>
      <c r="D187" s="19">
        <v>-34</v>
      </c>
      <c r="E187" s="19" t="s">
        <v>25</v>
      </c>
      <c r="F187" s="20">
        <v>2</v>
      </c>
      <c r="K187" s="28">
        <f>((Table6[[#This Row],[SPOT PTS]]/2)*15)-65</f>
        <v>-320</v>
      </c>
      <c r="L187" s="28">
        <f t="shared" si="5"/>
        <v>10065</v>
      </c>
    </row>
    <row r="188" spans="1:12" ht="19.95" customHeight="1" thickBot="1" x14ac:dyDescent="0.35">
      <c r="A188" s="24">
        <v>15</v>
      </c>
      <c r="B188" s="25">
        <v>0.39930555555555558</v>
      </c>
      <c r="C188" s="26" t="s">
        <v>6</v>
      </c>
      <c r="D188" s="26">
        <v>-57</v>
      </c>
      <c r="E188" s="26" t="s">
        <v>27</v>
      </c>
      <c r="F188" s="27">
        <v>1</v>
      </c>
      <c r="K188" s="28">
        <f>((Table6[[#This Row],[SPOT PTS]]/2)*15)-65</f>
        <v>-492.5</v>
      </c>
      <c r="L188" s="28">
        <f t="shared" si="5"/>
        <v>9572.5</v>
      </c>
    </row>
    <row r="189" spans="1:12" ht="19.95" customHeight="1" thickBot="1" x14ac:dyDescent="0.35">
      <c r="A189" s="24">
        <v>16</v>
      </c>
      <c r="B189" s="25">
        <v>0.40277777777777773</v>
      </c>
      <c r="C189" s="26" t="s">
        <v>9</v>
      </c>
      <c r="D189" s="26">
        <v>135</v>
      </c>
      <c r="E189" s="26" t="s">
        <v>29</v>
      </c>
      <c r="F189" s="27">
        <v>1</v>
      </c>
      <c r="K189" s="28">
        <f>((Table6[[#This Row],[SPOT PTS]]/2)*15)-65</f>
        <v>947.5</v>
      </c>
      <c r="L189" s="28">
        <f t="shared" si="5"/>
        <v>10520</v>
      </c>
    </row>
    <row r="190" spans="1:12" ht="19.95" customHeight="1" thickBot="1" x14ac:dyDescent="0.35">
      <c r="A190" s="24">
        <v>17</v>
      </c>
      <c r="B190" s="25">
        <v>0.44791666666666669</v>
      </c>
      <c r="C190" s="26" t="s">
        <v>9</v>
      </c>
      <c r="D190" s="26">
        <v>104</v>
      </c>
      <c r="E190" s="26" t="s">
        <v>21</v>
      </c>
      <c r="F190" s="27">
        <v>1</v>
      </c>
      <c r="K190" s="28">
        <f>((Table6[[#This Row],[SPOT PTS]]/2)*15)-65</f>
        <v>715</v>
      </c>
      <c r="L190" s="28">
        <f t="shared" si="5"/>
        <v>11235</v>
      </c>
    </row>
    <row r="191" spans="1:12" ht="19.95" customHeight="1" thickBot="1" x14ac:dyDescent="0.35">
      <c r="A191" s="24">
        <v>18</v>
      </c>
      <c r="B191" s="25">
        <v>0.3888888888888889</v>
      </c>
      <c r="C191" s="26" t="s">
        <v>6</v>
      </c>
      <c r="D191" s="26">
        <v>-81</v>
      </c>
      <c r="E191" s="26" t="s">
        <v>23</v>
      </c>
      <c r="F191" s="27">
        <v>1</v>
      </c>
      <c r="K191" s="28">
        <f>((Table6[[#This Row],[SPOT PTS]]/2)*15)-65</f>
        <v>-672.5</v>
      </c>
      <c r="L191" s="28">
        <f t="shared" si="5"/>
        <v>10562.5</v>
      </c>
    </row>
    <row r="192" spans="1:12" ht="19.95" customHeight="1" x14ac:dyDescent="0.3">
      <c r="A192" s="13">
        <v>21</v>
      </c>
      <c r="B192" s="14">
        <v>0.42708333333333331</v>
      </c>
      <c r="C192" s="15" t="s">
        <v>6</v>
      </c>
      <c r="D192" s="15">
        <v>-64</v>
      </c>
      <c r="E192" s="15" t="s">
        <v>25</v>
      </c>
      <c r="F192" s="16">
        <v>1</v>
      </c>
      <c r="K192" s="28">
        <f>((Table6[[#This Row],[SPOT PTS]]/2)*15)-65</f>
        <v>-545</v>
      </c>
      <c r="L192" s="28">
        <f t="shared" si="5"/>
        <v>10017.5</v>
      </c>
    </row>
    <row r="193" spans="1:12" ht="19.95" customHeight="1" x14ac:dyDescent="0.3">
      <c r="A193" s="21">
        <v>21</v>
      </c>
      <c r="B193" s="22">
        <v>0.44097222222222227</v>
      </c>
      <c r="C193" s="1" t="s">
        <v>6</v>
      </c>
      <c r="D193" s="1">
        <v>-39</v>
      </c>
      <c r="E193" s="1" t="s">
        <v>25</v>
      </c>
      <c r="F193" s="23">
        <v>1</v>
      </c>
      <c r="K193" s="28">
        <f>((Table6[[#This Row],[SPOT PTS]]/2)*15)-65</f>
        <v>-357.5</v>
      </c>
      <c r="L193" s="28">
        <f t="shared" si="5"/>
        <v>9660</v>
      </c>
    </row>
    <row r="194" spans="1:12" ht="19.95" customHeight="1" thickBot="1" x14ac:dyDescent="0.35">
      <c r="A194" s="17">
        <v>21</v>
      </c>
      <c r="B194" s="18">
        <v>5.2083333333333336E-2</v>
      </c>
      <c r="C194" s="19" t="s">
        <v>6</v>
      </c>
      <c r="D194" s="19">
        <v>-66</v>
      </c>
      <c r="E194" s="19" t="s">
        <v>25</v>
      </c>
      <c r="F194" s="20">
        <v>1</v>
      </c>
      <c r="K194" s="28">
        <f>((Table6[[#This Row],[SPOT PTS]]/2)*15)-65</f>
        <v>-560</v>
      </c>
      <c r="L194" s="28">
        <f t="shared" si="5"/>
        <v>9100</v>
      </c>
    </row>
    <row r="195" spans="1:12" ht="19.95" customHeight="1" x14ac:dyDescent="0.3">
      <c r="A195" s="13">
        <v>22</v>
      </c>
      <c r="B195" s="14">
        <v>0.39583333333333331</v>
      </c>
      <c r="C195" s="15" t="s">
        <v>6</v>
      </c>
      <c r="D195" s="15">
        <v>-45</v>
      </c>
      <c r="E195" s="15" t="s">
        <v>27</v>
      </c>
      <c r="F195" s="16">
        <v>1</v>
      </c>
      <c r="K195" s="28">
        <f>((Table6[[#This Row],[SPOT PTS]]/2)*15)-65</f>
        <v>-402.5</v>
      </c>
      <c r="L195" s="28">
        <f t="shared" si="5"/>
        <v>8697.5</v>
      </c>
    </row>
    <row r="196" spans="1:12" ht="19.95" customHeight="1" x14ac:dyDescent="0.3">
      <c r="A196" s="21">
        <v>22</v>
      </c>
      <c r="B196" s="22">
        <v>0.40972222222222227</v>
      </c>
      <c r="C196" s="1" t="s">
        <v>6</v>
      </c>
      <c r="D196" s="1">
        <v>-32</v>
      </c>
      <c r="E196" s="1" t="s">
        <v>27</v>
      </c>
      <c r="F196" s="23">
        <v>1</v>
      </c>
      <c r="K196" s="28">
        <f>((Table6[[#This Row],[SPOT PTS]]/2)*15)-65</f>
        <v>-305</v>
      </c>
      <c r="L196" s="28">
        <f t="shared" si="5"/>
        <v>8392.5</v>
      </c>
    </row>
    <row r="197" spans="1:12" ht="19.95" customHeight="1" thickBot="1" x14ac:dyDescent="0.35">
      <c r="A197" s="17">
        <v>22</v>
      </c>
      <c r="B197" s="18">
        <v>0.43055555555555558</v>
      </c>
      <c r="C197" s="19" t="s">
        <v>6</v>
      </c>
      <c r="D197" s="19">
        <v>-24</v>
      </c>
      <c r="E197" s="19" t="s">
        <v>27</v>
      </c>
      <c r="F197" s="20">
        <v>1</v>
      </c>
      <c r="K197" s="28">
        <f>((Table6[[#This Row],[SPOT PTS]]/2)*15)-65</f>
        <v>-245</v>
      </c>
      <c r="L197" s="28">
        <f t="shared" si="5"/>
        <v>8147.5</v>
      </c>
    </row>
    <row r="198" spans="1:12" ht="19.95" customHeight="1" thickBot="1" x14ac:dyDescent="0.35">
      <c r="A198" s="24">
        <v>23</v>
      </c>
      <c r="B198" s="25">
        <v>0.40625</v>
      </c>
      <c r="C198" s="26" t="s">
        <v>9</v>
      </c>
      <c r="D198" s="26">
        <v>93</v>
      </c>
      <c r="E198" s="26" t="s">
        <v>29</v>
      </c>
      <c r="F198" s="27">
        <v>1</v>
      </c>
      <c r="K198" s="28">
        <f>((Table6[[#This Row],[SPOT PTS]]/2)*15)-65</f>
        <v>632.5</v>
      </c>
      <c r="L198" s="28">
        <f t="shared" si="5"/>
        <v>8780</v>
      </c>
    </row>
    <row r="199" spans="1:12" ht="19.95" customHeight="1" x14ac:dyDescent="0.3">
      <c r="A199" s="13">
        <v>24</v>
      </c>
      <c r="B199" s="14">
        <v>0.40972222222222227</v>
      </c>
      <c r="C199" s="15" t="s">
        <v>6</v>
      </c>
      <c r="D199" s="15">
        <v>-50</v>
      </c>
      <c r="E199" s="15" t="s">
        <v>21</v>
      </c>
      <c r="F199" s="16">
        <v>1</v>
      </c>
      <c r="K199" s="28">
        <f>((Table6[[#This Row],[SPOT PTS]]/2)*15)-65</f>
        <v>-440</v>
      </c>
      <c r="L199" s="28">
        <f t="shared" si="5"/>
        <v>8340</v>
      </c>
    </row>
    <row r="200" spans="1:12" ht="19.95" customHeight="1" thickBot="1" x14ac:dyDescent="0.35">
      <c r="A200" s="17">
        <v>24</v>
      </c>
      <c r="B200" s="18">
        <v>7.6388888888888895E-2</v>
      </c>
      <c r="C200" s="19" t="s">
        <v>6</v>
      </c>
      <c r="D200" s="19">
        <v>-15</v>
      </c>
      <c r="E200" s="19" t="s">
        <v>21</v>
      </c>
      <c r="F200" s="20">
        <v>2</v>
      </c>
      <c r="K200" s="28">
        <f>((Table6[[#This Row],[SPOT PTS]]/2)*15)-65</f>
        <v>-177.5</v>
      </c>
      <c r="L200" s="28">
        <f t="shared" si="5"/>
        <v>8162.5</v>
      </c>
    </row>
    <row r="201" spans="1:12" ht="19.95" customHeight="1" x14ac:dyDescent="0.3">
      <c r="A201" s="13">
        <v>25</v>
      </c>
      <c r="B201" s="14">
        <v>0.40625</v>
      </c>
      <c r="C201" s="15" t="s">
        <v>6</v>
      </c>
      <c r="D201" s="15">
        <v>-44</v>
      </c>
      <c r="E201" s="15" t="s">
        <v>23</v>
      </c>
      <c r="F201" s="16">
        <v>1</v>
      </c>
      <c r="K201" s="28">
        <f>((Table6[[#This Row],[SPOT PTS]]/2)*15)-65</f>
        <v>-395</v>
      </c>
      <c r="L201" s="28">
        <f t="shared" si="5"/>
        <v>7767.5</v>
      </c>
    </row>
    <row r="202" spans="1:12" ht="19.95" customHeight="1" x14ac:dyDescent="0.3">
      <c r="A202" s="21">
        <v>25</v>
      </c>
      <c r="B202" s="22">
        <v>0.51388888888888895</v>
      </c>
      <c r="C202" s="1" t="s">
        <v>6</v>
      </c>
      <c r="D202" s="1">
        <v>-40</v>
      </c>
      <c r="E202" s="1" t="s">
        <v>23</v>
      </c>
      <c r="F202" s="23">
        <v>2</v>
      </c>
      <c r="K202" s="28">
        <f>((Table6[[#This Row],[SPOT PTS]]/2)*15)-65</f>
        <v>-365</v>
      </c>
      <c r="L202" s="28">
        <f t="shared" si="5"/>
        <v>7402.5</v>
      </c>
    </row>
    <row r="203" spans="1:12" ht="19.95" customHeight="1" thickBot="1" x14ac:dyDescent="0.35">
      <c r="A203" s="17">
        <v>25</v>
      </c>
      <c r="B203" s="18">
        <v>9.7222222222222224E-2</v>
      </c>
      <c r="C203" s="19" t="s">
        <v>6</v>
      </c>
      <c r="D203" s="19">
        <v>-31</v>
      </c>
      <c r="E203" s="19" t="s">
        <v>23</v>
      </c>
      <c r="F203" s="20">
        <v>2</v>
      </c>
      <c r="K203" s="28">
        <f>((Table6[[#This Row],[SPOT PTS]]/2)*15)-65</f>
        <v>-297.5</v>
      </c>
      <c r="L203" s="28">
        <f t="shared" si="5"/>
        <v>7105</v>
      </c>
    </row>
    <row r="204" spans="1:12" ht="19.95" customHeight="1" thickBot="1" x14ac:dyDescent="0.35">
      <c r="A204" s="24">
        <v>28</v>
      </c>
      <c r="B204" s="25">
        <v>0.39930555555555558</v>
      </c>
      <c r="C204" s="26" t="s">
        <v>9</v>
      </c>
      <c r="D204" s="26">
        <v>109</v>
      </c>
      <c r="E204" s="26" t="s">
        <v>25</v>
      </c>
      <c r="F204" s="27">
        <v>1</v>
      </c>
      <c r="K204" s="28">
        <f>((Table6[[#This Row],[SPOT PTS]]/2)*15)-65</f>
        <v>752.5</v>
      </c>
      <c r="L204" s="28">
        <f t="shared" si="5"/>
        <v>7857.5</v>
      </c>
    </row>
    <row r="205" spans="1:12" ht="19.95" customHeight="1" x14ac:dyDescent="0.3">
      <c r="A205" s="13">
        <v>29</v>
      </c>
      <c r="B205" s="14">
        <v>0.47916666666666669</v>
      </c>
      <c r="C205" s="15" t="s">
        <v>6</v>
      </c>
      <c r="D205" s="15">
        <v>-23</v>
      </c>
      <c r="E205" s="15" t="s">
        <v>27</v>
      </c>
      <c r="F205" s="16">
        <v>1</v>
      </c>
      <c r="K205" s="28">
        <f>((Table6[[#This Row],[SPOT PTS]]/2)*15)-65</f>
        <v>-237.5</v>
      </c>
      <c r="L205" s="28">
        <f t="shared" si="5"/>
        <v>7620</v>
      </c>
    </row>
    <row r="206" spans="1:12" ht="19.95" customHeight="1" thickBot="1" x14ac:dyDescent="0.35">
      <c r="A206" s="17">
        <v>29</v>
      </c>
      <c r="B206" s="18">
        <v>6.9444444444444434E-2</v>
      </c>
      <c r="C206" s="19" t="s">
        <v>6</v>
      </c>
      <c r="D206" s="19">
        <v>-17</v>
      </c>
      <c r="E206" s="19" t="s">
        <v>27</v>
      </c>
      <c r="F206" s="20">
        <v>2</v>
      </c>
      <c r="K206" s="28">
        <f>((Table6[[#This Row],[SPOT PTS]]/2)*15)-65</f>
        <v>-192.5</v>
      </c>
      <c r="L206" s="28">
        <f t="shared" si="5"/>
        <v>7427.5</v>
      </c>
    </row>
    <row r="207" spans="1:12" ht="19.95" customHeight="1" x14ac:dyDescent="0.3">
      <c r="A207" s="13">
        <v>30</v>
      </c>
      <c r="B207" s="14">
        <v>0.4201388888888889</v>
      </c>
      <c r="C207" s="15" t="s">
        <v>6</v>
      </c>
      <c r="D207" s="15">
        <v>-25</v>
      </c>
      <c r="E207" s="15" t="s">
        <v>29</v>
      </c>
      <c r="F207" s="16">
        <v>1</v>
      </c>
      <c r="K207" s="28">
        <f>((Table6[[#This Row],[SPOT PTS]]/2)*15)-65</f>
        <v>-252.5</v>
      </c>
      <c r="L207" s="28">
        <f t="shared" si="5"/>
        <v>7175</v>
      </c>
    </row>
    <row r="208" spans="1:12" ht="19.95" customHeight="1" thickBot="1" x14ac:dyDescent="0.35">
      <c r="A208" s="17">
        <v>30</v>
      </c>
      <c r="B208" s="18">
        <v>0.46875</v>
      </c>
      <c r="C208" s="19" t="s">
        <v>9</v>
      </c>
      <c r="D208" s="19">
        <v>63</v>
      </c>
      <c r="E208" s="19" t="s">
        <v>29</v>
      </c>
      <c r="F208" s="20">
        <v>1</v>
      </c>
      <c r="K208" s="28">
        <f>((Table6[[#This Row],[SPOT PTS]]/2)*15)-65</f>
        <v>407.5</v>
      </c>
      <c r="L208" s="28">
        <f t="shared" si="5"/>
        <v>7582.5</v>
      </c>
    </row>
    <row r="209" spans="1:12" ht="19.95" customHeight="1" x14ac:dyDescent="0.3">
      <c r="A209" s="40" t="s">
        <v>54</v>
      </c>
      <c r="B209" s="40"/>
      <c r="C209" s="40"/>
      <c r="D209" s="40"/>
      <c r="E209" s="40"/>
      <c r="F209" s="40"/>
    </row>
    <row r="210" spans="1:12" ht="19.95" customHeight="1" thickBot="1" x14ac:dyDescent="0.35">
      <c r="A210" s="34" t="s">
        <v>46</v>
      </c>
      <c r="B210" s="10" t="s">
        <v>47</v>
      </c>
      <c r="C210" s="10" t="s">
        <v>0</v>
      </c>
      <c r="D210" s="10" t="s">
        <v>48</v>
      </c>
      <c r="E210" s="10" t="s">
        <v>14</v>
      </c>
      <c r="F210" s="35" t="s">
        <v>49</v>
      </c>
      <c r="H210" s="2" t="s">
        <v>38</v>
      </c>
      <c r="I210" s="2">
        <f>COUNT(Table7[DATE])</f>
        <v>32</v>
      </c>
      <c r="L210" s="28">
        <v>10000</v>
      </c>
    </row>
    <row r="211" spans="1:12" ht="19.95" customHeight="1" thickBot="1" x14ac:dyDescent="0.35">
      <c r="A211" s="24">
        <v>1</v>
      </c>
      <c r="B211" s="25">
        <v>0.41319444444444442</v>
      </c>
      <c r="C211" s="26" t="s">
        <v>9</v>
      </c>
      <c r="D211" s="26">
        <v>95</v>
      </c>
      <c r="E211" s="26" t="s">
        <v>21</v>
      </c>
      <c r="F211" s="27">
        <v>1</v>
      </c>
      <c r="H211" s="2" t="s">
        <v>39</v>
      </c>
      <c r="I211" s="3">
        <f>((COUNTIF(Table7[OUTCOME],"TARGET"))/I210)</f>
        <v>0.5</v>
      </c>
      <c r="K211" s="28">
        <f>((Table7[[#This Row],[SPOT PTS]]/2)*15)-65</f>
        <v>647.5</v>
      </c>
      <c r="L211" s="28">
        <f>K211+L210</f>
        <v>10647.5</v>
      </c>
    </row>
    <row r="212" spans="1:12" ht="19.95" customHeight="1" x14ac:dyDescent="0.3">
      <c r="A212" s="13">
        <v>2</v>
      </c>
      <c r="B212" s="14">
        <v>0.47916666666666669</v>
      </c>
      <c r="C212" s="15" t="s">
        <v>6</v>
      </c>
      <c r="D212" s="15">
        <v>-20</v>
      </c>
      <c r="E212" s="15" t="s">
        <v>23</v>
      </c>
      <c r="F212" s="16">
        <v>1</v>
      </c>
      <c r="H212" s="2" t="s">
        <v>40</v>
      </c>
      <c r="I212" s="2">
        <f>SUM(Table7[SPOT PTS])</f>
        <v>1123</v>
      </c>
      <c r="K212" s="28">
        <f>((Table7[[#This Row],[SPOT PTS]]/2)*15)-65</f>
        <v>-215</v>
      </c>
      <c r="L212" s="28">
        <f t="shared" ref="L212:L242" si="6">K212+L211</f>
        <v>10432.5</v>
      </c>
    </row>
    <row r="213" spans="1:12" ht="19.95" customHeight="1" thickBot="1" x14ac:dyDescent="0.35">
      <c r="A213" s="17">
        <v>2</v>
      </c>
      <c r="B213" s="18">
        <v>4.5138888888888888E-2</v>
      </c>
      <c r="C213" s="19" t="s">
        <v>9</v>
      </c>
      <c r="D213" s="19">
        <v>102</v>
      </c>
      <c r="E213" s="19" t="s">
        <v>23</v>
      </c>
      <c r="F213" s="20">
        <v>2</v>
      </c>
      <c r="H213" s="2" t="s">
        <v>10</v>
      </c>
      <c r="I213" s="2">
        <f>65*I210</f>
        <v>2080</v>
      </c>
      <c r="K213" s="28">
        <f>((Table7[[#This Row],[SPOT PTS]]/2)*15)-65</f>
        <v>700</v>
      </c>
      <c r="L213" s="28">
        <f t="shared" si="6"/>
        <v>11132.5</v>
      </c>
    </row>
    <row r="214" spans="1:12" ht="19.95" customHeight="1" x14ac:dyDescent="0.3">
      <c r="A214" s="13">
        <v>5</v>
      </c>
      <c r="B214" s="14">
        <v>0.41319444444444442</v>
      </c>
      <c r="C214" s="15" t="s">
        <v>6</v>
      </c>
      <c r="D214" s="15">
        <v>-23</v>
      </c>
      <c r="E214" s="15" t="s">
        <v>25</v>
      </c>
      <c r="F214" s="16">
        <v>1</v>
      </c>
      <c r="H214" s="2" t="s">
        <v>41</v>
      </c>
      <c r="I214" s="2">
        <f>SUMIF(Table7[OUTCOME],"STOPLOSS",Table7[SPOT PTS])</f>
        <v>-606</v>
      </c>
      <c r="K214" s="28">
        <f>((Table7[[#This Row],[SPOT PTS]]/2)*15)-65</f>
        <v>-237.5</v>
      </c>
      <c r="L214" s="28">
        <f t="shared" si="6"/>
        <v>10895</v>
      </c>
    </row>
    <row r="215" spans="1:12" ht="19.95" customHeight="1" thickBot="1" x14ac:dyDescent="0.35">
      <c r="A215" s="17">
        <v>5</v>
      </c>
      <c r="B215" s="18">
        <v>9.0277777777777776E-2</v>
      </c>
      <c r="C215" s="19" t="s">
        <v>6</v>
      </c>
      <c r="D215" s="19">
        <v>-18</v>
      </c>
      <c r="E215" s="19" t="s">
        <v>25</v>
      </c>
      <c r="F215" s="20">
        <v>2</v>
      </c>
      <c r="H215" s="2" t="s">
        <v>42</v>
      </c>
      <c r="I215" s="2">
        <f>SUMIF(Table7[OUTCOME],"TARGET",Table7[SPOT PTS])</f>
        <v>1729</v>
      </c>
      <c r="K215" s="28">
        <f>((Table7[[#This Row],[SPOT PTS]]/2)*15)-65</f>
        <v>-200</v>
      </c>
      <c r="L215" s="28">
        <f t="shared" si="6"/>
        <v>10695</v>
      </c>
    </row>
    <row r="216" spans="1:12" ht="19.95" customHeight="1" x14ac:dyDescent="0.3">
      <c r="A216" s="13">
        <v>6</v>
      </c>
      <c r="B216" s="14">
        <v>0.4201388888888889</v>
      </c>
      <c r="C216" s="15" t="s">
        <v>6</v>
      </c>
      <c r="D216" s="15">
        <v>-34</v>
      </c>
      <c r="E216" s="15" t="s">
        <v>27</v>
      </c>
      <c r="F216" s="16">
        <v>1</v>
      </c>
      <c r="H216" s="2" t="s">
        <v>43</v>
      </c>
      <c r="I216" s="6">
        <f>(L242-L210)/L210</f>
        <v>0.63424999999999998</v>
      </c>
      <c r="K216" s="28">
        <f>((Table7[[#This Row],[SPOT PTS]]/2)*15)-65</f>
        <v>-320</v>
      </c>
      <c r="L216" s="28">
        <f t="shared" si="6"/>
        <v>10375</v>
      </c>
    </row>
    <row r="217" spans="1:12" ht="19.95" customHeight="1" x14ac:dyDescent="0.3">
      <c r="A217" s="21">
        <v>6</v>
      </c>
      <c r="B217" s="22">
        <v>0.47569444444444442</v>
      </c>
      <c r="C217" s="1" t="s">
        <v>6</v>
      </c>
      <c r="D217" s="1">
        <v>-42</v>
      </c>
      <c r="E217" s="1" t="s">
        <v>27</v>
      </c>
      <c r="F217" s="23">
        <v>1</v>
      </c>
      <c r="H217" s="2" t="s">
        <v>44</v>
      </c>
      <c r="I217" s="9">
        <f>((I212/2)*15)-I213</f>
        <v>6342.5</v>
      </c>
      <c r="K217" s="28">
        <f>((Table7[[#This Row],[SPOT PTS]]/2)*15)-65</f>
        <v>-380</v>
      </c>
      <c r="L217" s="28">
        <f t="shared" si="6"/>
        <v>9995</v>
      </c>
    </row>
    <row r="218" spans="1:12" ht="19.95" customHeight="1" thickBot="1" x14ac:dyDescent="0.35">
      <c r="A218" s="17">
        <v>6</v>
      </c>
      <c r="B218" s="18">
        <v>9.375E-2</v>
      </c>
      <c r="C218" s="19" t="s">
        <v>9</v>
      </c>
      <c r="D218" s="19">
        <v>119</v>
      </c>
      <c r="E218" s="19" t="s">
        <v>27</v>
      </c>
      <c r="F218" s="20">
        <v>2</v>
      </c>
      <c r="K218" s="28">
        <f>((Table7[[#This Row],[SPOT PTS]]/2)*15)-65</f>
        <v>827.5</v>
      </c>
      <c r="L218" s="28">
        <f t="shared" si="6"/>
        <v>10822.5</v>
      </c>
    </row>
    <row r="219" spans="1:12" ht="19.95" customHeight="1" thickBot="1" x14ac:dyDescent="0.35">
      <c r="A219" s="24">
        <v>7</v>
      </c>
      <c r="B219" s="25">
        <v>0.40277777777777773</v>
      </c>
      <c r="C219" s="26" t="s">
        <v>6</v>
      </c>
      <c r="D219" s="26">
        <v>-33</v>
      </c>
      <c r="E219" s="26" t="s">
        <v>29</v>
      </c>
      <c r="F219" s="27">
        <v>1</v>
      </c>
      <c r="K219" s="28">
        <f>((Table7[[#This Row],[SPOT PTS]]/2)*15)-65</f>
        <v>-312.5</v>
      </c>
      <c r="L219" s="28">
        <f t="shared" si="6"/>
        <v>10510</v>
      </c>
    </row>
    <row r="220" spans="1:12" ht="19.95" customHeight="1" thickBot="1" x14ac:dyDescent="0.35">
      <c r="A220" s="24">
        <v>8</v>
      </c>
      <c r="B220" s="25">
        <v>0.47569444444444442</v>
      </c>
      <c r="C220" s="26" t="s">
        <v>9</v>
      </c>
      <c r="D220" s="26">
        <v>60</v>
      </c>
      <c r="E220" s="26" t="s">
        <v>21</v>
      </c>
      <c r="F220" s="27">
        <v>1</v>
      </c>
      <c r="K220" s="28">
        <f>((Table7[[#This Row],[SPOT PTS]]/2)*15)-65</f>
        <v>385</v>
      </c>
      <c r="L220" s="28">
        <f t="shared" si="6"/>
        <v>10895</v>
      </c>
    </row>
    <row r="221" spans="1:12" ht="19.95" customHeight="1" thickBot="1" x14ac:dyDescent="0.35">
      <c r="A221" s="24">
        <v>9</v>
      </c>
      <c r="B221" s="25">
        <v>0.4513888888888889</v>
      </c>
      <c r="C221" s="26" t="s">
        <v>9</v>
      </c>
      <c r="D221" s="26">
        <v>130</v>
      </c>
      <c r="E221" s="26" t="s">
        <v>23</v>
      </c>
      <c r="F221" s="27">
        <v>1</v>
      </c>
      <c r="K221" s="28">
        <f>((Table7[[#This Row],[SPOT PTS]]/2)*15)-65</f>
        <v>910</v>
      </c>
      <c r="L221" s="28">
        <f t="shared" si="6"/>
        <v>11805</v>
      </c>
    </row>
    <row r="222" spans="1:12" ht="19.95" customHeight="1" thickBot="1" x14ac:dyDescent="0.35">
      <c r="A222" s="24">
        <v>12</v>
      </c>
      <c r="B222" s="25">
        <v>0.39930555555555558</v>
      </c>
      <c r="C222" s="26" t="s">
        <v>6</v>
      </c>
      <c r="D222" s="26">
        <v>-39</v>
      </c>
      <c r="E222" s="26" t="s">
        <v>25</v>
      </c>
      <c r="F222" s="27">
        <v>1</v>
      </c>
      <c r="K222" s="28">
        <f>((Table7[[#This Row],[SPOT PTS]]/2)*15)-65</f>
        <v>-357.5</v>
      </c>
      <c r="L222" s="28">
        <f t="shared" si="6"/>
        <v>11447.5</v>
      </c>
    </row>
    <row r="223" spans="1:12" ht="19.95" customHeight="1" x14ac:dyDescent="0.3">
      <c r="A223" s="13">
        <v>13</v>
      </c>
      <c r="B223" s="14">
        <v>0.39583333333333331</v>
      </c>
      <c r="C223" s="15" t="s">
        <v>6</v>
      </c>
      <c r="D223" s="15">
        <v>-24</v>
      </c>
      <c r="E223" s="15" t="s">
        <v>27</v>
      </c>
      <c r="F223" s="16">
        <v>1</v>
      </c>
      <c r="K223" s="28">
        <f>((Table7[[#This Row],[SPOT PTS]]/2)*15)-65</f>
        <v>-245</v>
      </c>
      <c r="L223" s="28">
        <f t="shared" si="6"/>
        <v>11202.5</v>
      </c>
    </row>
    <row r="224" spans="1:12" ht="19.95" customHeight="1" x14ac:dyDescent="0.3">
      <c r="A224" s="21">
        <v>13</v>
      </c>
      <c r="B224" s="22">
        <v>0.51388888888888895</v>
      </c>
      <c r="C224" s="1" t="s">
        <v>6</v>
      </c>
      <c r="D224" s="1">
        <v>-42</v>
      </c>
      <c r="E224" s="1" t="s">
        <v>27</v>
      </c>
      <c r="F224" s="23">
        <v>2</v>
      </c>
      <c r="K224" s="28">
        <f>((Table7[[#This Row],[SPOT PTS]]/2)*15)-65</f>
        <v>-380</v>
      </c>
      <c r="L224" s="28">
        <f t="shared" si="6"/>
        <v>10822.5</v>
      </c>
    </row>
    <row r="225" spans="1:12" ht="19.95" customHeight="1" thickBot="1" x14ac:dyDescent="0.35">
      <c r="A225" s="17">
        <v>13</v>
      </c>
      <c r="B225" s="18">
        <v>7.2916666666666671E-2</v>
      </c>
      <c r="C225" s="19" t="s">
        <v>6</v>
      </c>
      <c r="D225" s="19">
        <v>-15</v>
      </c>
      <c r="E225" s="19" t="s">
        <v>27</v>
      </c>
      <c r="F225" s="20">
        <v>2</v>
      </c>
      <c r="K225" s="28">
        <f>((Table7[[#This Row],[SPOT PTS]]/2)*15)-65</f>
        <v>-177.5</v>
      </c>
      <c r="L225" s="28">
        <f t="shared" si="6"/>
        <v>10645</v>
      </c>
    </row>
    <row r="226" spans="1:12" ht="19.95" customHeight="1" x14ac:dyDescent="0.3">
      <c r="A226" s="13">
        <v>14</v>
      </c>
      <c r="B226" s="14">
        <v>0.45833333333333331</v>
      </c>
      <c r="C226" s="15" t="s">
        <v>6</v>
      </c>
      <c r="D226" s="15">
        <v>-25</v>
      </c>
      <c r="E226" s="15" t="s">
        <v>29</v>
      </c>
      <c r="F226" s="16">
        <v>1</v>
      </c>
      <c r="K226" s="28">
        <f>((Table7[[#This Row],[SPOT PTS]]/2)*15)-65</f>
        <v>-252.5</v>
      </c>
      <c r="L226" s="28">
        <f t="shared" si="6"/>
        <v>10392.5</v>
      </c>
    </row>
    <row r="227" spans="1:12" ht="19.95" customHeight="1" thickBot="1" x14ac:dyDescent="0.35">
      <c r="A227" s="17">
        <v>14</v>
      </c>
      <c r="B227" s="18">
        <v>5.2083333333333336E-2</v>
      </c>
      <c r="C227" s="19" t="s">
        <v>9</v>
      </c>
      <c r="D227" s="19">
        <v>94</v>
      </c>
      <c r="E227" s="19" t="s">
        <v>29</v>
      </c>
      <c r="F227" s="20">
        <v>2</v>
      </c>
      <c r="K227" s="28">
        <f>((Table7[[#This Row],[SPOT PTS]]/2)*15)-65</f>
        <v>640</v>
      </c>
      <c r="L227" s="28">
        <f t="shared" si="6"/>
        <v>11032.5</v>
      </c>
    </row>
    <row r="228" spans="1:12" ht="19.95" customHeight="1" thickBot="1" x14ac:dyDescent="0.35">
      <c r="A228" s="24">
        <v>15</v>
      </c>
      <c r="B228" s="25">
        <v>8.3333333333333329E-2</v>
      </c>
      <c r="C228" s="26" t="s">
        <v>9</v>
      </c>
      <c r="D228" s="26">
        <v>12</v>
      </c>
      <c r="E228" s="26" t="s">
        <v>21</v>
      </c>
      <c r="F228" s="27">
        <v>2</v>
      </c>
      <c r="K228" s="28">
        <f>((Table7[[#This Row],[SPOT PTS]]/2)*15)-65</f>
        <v>25</v>
      </c>
      <c r="L228" s="28">
        <f t="shared" si="6"/>
        <v>11057.5</v>
      </c>
    </row>
    <row r="229" spans="1:12" ht="19.95" customHeight="1" thickBot="1" x14ac:dyDescent="0.35">
      <c r="A229" s="24">
        <v>16</v>
      </c>
      <c r="B229" s="25">
        <v>5.2083333333333336E-2</v>
      </c>
      <c r="C229" s="26" t="s">
        <v>9</v>
      </c>
      <c r="D229" s="26">
        <v>71</v>
      </c>
      <c r="E229" s="26" t="s">
        <v>23</v>
      </c>
      <c r="F229" s="27">
        <v>2</v>
      </c>
      <c r="K229" s="28">
        <f>((Table7[[#This Row],[SPOT PTS]]/2)*15)-65</f>
        <v>467.5</v>
      </c>
      <c r="L229" s="28">
        <f t="shared" si="6"/>
        <v>11525</v>
      </c>
    </row>
    <row r="230" spans="1:12" ht="19.95" customHeight="1" thickBot="1" x14ac:dyDescent="0.35">
      <c r="A230" s="24">
        <v>20</v>
      </c>
      <c r="B230" s="25">
        <v>0.42708333333333331</v>
      </c>
      <c r="C230" s="26" t="s">
        <v>9</v>
      </c>
      <c r="D230" s="26">
        <v>102</v>
      </c>
      <c r="E230" s="26" t="s">
        <v>27</v>
      </c>
      <c r="F230" s="27">
        <v>1</v>
      </c>
      <c r="K230" s="28">
        <f>((Table7[[#This Row],[SPOT PTS]]/2)*15)-65</f>
        <v>700</v>
      </c>
      <c r="L230" s="28">
        <f t="shared" si="6"/>
        <v>12225</v>
      </c>
    </row>
    <row r="231" spans="1:12" ht="19.95" customHeight="1" x14ac:dyDescent="0.3">
      <c r="A231" s="13">
        <v>22</v>
      </c>
      <c r="B231" s="14">
        <v>0.40625</v>
      </c>
      <c r="C231" s="15" t="s">
        <v>6</v>
      </c>
      <c r="D231" s="15">
        <v>-51</v>
      </c>
      <c r="E231" s="15" t="s">
        <v>21</v>
      </c>
      <c r="F231" s="16">
        <v>1</v>
      </c>
      <c r="K231" s="28">
        <f>((Table7[[#This Row],[SPOT PTS]]/2)*15)-65</f>
        <v>-447.5</v>
      </c>
      <c r="L231" s="28">
        <f t="shared" si="6"/>
        <v>11777.5</v>
      </c>
    </row>
    <row r="232" spans="1:12" ht="19.95" customHeight="1" thickBot="1" x14ac:dyDescent="0.35">
      <c r="A232" s="17">
        <v>22</v>
      </c>
      <c r="B232" s="18">
        <v>0.4548611111111111</v>
      </c>
      <c r="C232" s="19" t="s">
        <v>9</v>
      </c>
      <c r="D232" s="19">
        <v>86</v>
      </c>
      <c r="E232" s="19" t="s">
        <v>21</v>
      </c>
      <c r="F232" s="20">
        <v>1</v>
      </c>
      <c r="K232" s="28">
        <f>((Table7[[#This Row],[SPOT PTS]]/2)*15)-65</f>
        <v>580</v>
      </c>
      <c r="L232" s="28">
        <f t="shared" si="6"/>
        <v>12357.5</v>
      </c>
    </row>
    <row r="233" spans="1:12" ht="19.95" customHeight="1" thickBot="1" x14ac:dyDescent="0.35">
      <c r="A233" s="24">
        <v>23</v>
      </c>
      <c r="B233" s="25">
        <v>0.39583333333333331</v>
      </c>
      <c r="C233" s="26" t="s">
        <v>9</v>
      </c>
      <c r="D233" s="26">
        <v>230</v>
      </c>
      <c r="E233" s="26" t="s">
        <v>23</v>
      </c>
      <c r="F233" s="27">
        <v>1</v>
      </c>
      <c r="K233" s="28">
        <f>((Table7[[#This Row],[SPOT PTS]]/2)*15)-65</f>
        <v>1660</v>
      </c>
      <c r="L233" s="28">
        <f t="shared" si="6"/>
        <v>14017.5</v>
      </c>
    </row>
    <row r="234" spans="1:12" ht="19.95" customHeight="1" thickBot="1" x14ac:dyDescent="0.35">
      <c r="A234" s="24">
        <v>26</v>
      </c>
      <c r="B234" s="25">
        <v>0.47916666666666669</v>
      </c>
      <c r="C234" s="26" t="s">
        <v>9</v>
      </c>
      <c r="D234" s="26">
        <v>131</v>
      </c>
      <c r="E234" s="26" t="s">
        <v>25</v>
      </c>
      <c r="F234" s="27">
        <v>1</v>
      </c>
      <c r="K234" s="28">
        <f>((Table7[[#This Row],[SPOT PTS]]/2)*15)-65</f>
        <v>917.5</v>
      </c>
      <c r="L234" s="28">
        <f t="shared" si="6"/>
        <v>14935</v>
      </c>
    </row>
    <row r="235" spans="1:12" ht="19.95" customHeight="1" x14ac:dyDescent="0.3">
      <c r="A235" s="13">
        <v>27</v>
      </c>
      <c r="B235" s="14">
        <v>0.3923611111111111</v>
      </c>
      <c r="C235" s="15" t="s">
        <v>6</v>
      </c>
      <c r="D235" s="15">
        <v>-78</v>
      </c>
      <c r="E235" s="15" t="s">
        <v>27</v>
      </c>
      <c r="F235" s="16">
        <v>1</v>
      </c>
      <c r="K235" s="28">
        <f>((Table7[[#This Row],[SPOT PTS]]/2)*15)-65</f>
        <v>-650</v>
      </c>
      <c r="L235" s="28">
        <f t="shared" si="6"/>
        <v>14285</v>
      </c>
    </row>
    <row r="236" spans="1:12" ht="19.95" customHeight="1" thickBot="1" x14ac:dyDescent="0.35">
      <c r="A236" s="17">
        <v>27</v>
      </c>
      <c r="B236" s="18">
        <v>0.44444444444444442</v>
      </c>
      <c r="C236" s="19" t="s">
        <v>9</v>
      </c>
      <c r="D236" s="19">
        <v>100</v>
      </c>
      <c r="E236" s="19" t="s">
        <v>27</v>
      </c>
      <c r="F236" s="20">
        <v>1</v>
      </c>
      <c r="K236" s="28">
        <f>((Table7[[#This Row],[SPOT PTS]]/2)*15)-65</f>
        <v>685</v>
      </c>
      <c r="L236" s="28">
        <f t="shared" si="6"/>
        <v>14970</v>
      </c>
    </row>
    <row r="237" spans="1:12" ht="19.95" customHeight="1" x14ac:dyDescent="0.3">
      <c r="A237" s="13">
        <v>28</v>
      </c>
      <c r="B237" s="14">
        <v>0.47222222222222227</v>
      </c>
      <c r="C237" s="15" t="s">
        <v>6</v>
      </c>
      <c r="D237" s="15">
        <v>-48</v>
      </c>
      <c r="E237" s="15" t="s">
        <v>29</v>
      </c>
      <c r="F237" s="16">
        <v>1</v>
      </c>
      <c r="K237" s="28">
        <f>((Table7[[#This Row],[SPOT PTS]]/2)*15)-65</f>
        <v>-425</v>
      </c>
      <c r="L237" s="28">
        <f t="shared" si="6"/>
        <v>14545</v>
      </c>
    </row>
    <row r="238" spans="1:12" ht="19.95" customHeight="1" x14ac:dyDescent="0.3">
      <c r="A238" s="21">
        <v>28</v>
      </c>
      <c r="B238" s="22">
        <v>0.52083333333333337</v>
      </c>
      <c r="C238" s="1" t="s">
        <v>6</v>
      </c>
      <c r="D238" s="1">
        <v>-33</v>
      </c>
      <c r="E238" s="1" t="s">
        <v>29</v>
      </c>
      <c r="F238" s="23">
        <v>2</v>
      </c>
      <c r="K238" s="28">
        <f>((Table7[[#This Row],[SPOT PTS]]/2)*15)-65</f>
        <v>-312.5</v>
      </c>
      <c r="L238" s="28">
        <f t="shared" si="6"/>
        <v>14232.5</v>
      </c>
    </row>
    <row r="239" spans="1:12" ht="19.95" customHeight="1" thickBot="1" x14ac:dyDescent="0.35">
      <c r="A239" s="17">
        <v>28</v>
      </c>
      <c r="B239" s="18">
        <v>7.9861111111111105E-2</v>
      </c>
      <c r="C239" s="19" t="s">
        <v>9</v>
      </c>
      <c r="D239" s="19">
        <v>156</v>
      </c>
      <c r="E239" s="19" t="s">
        <v>29</v>
      </c>
      <c r="F239" s="20">
        <v>2</v>
      </c>
      <c r="K239" s="28">
        <f>((Table7[[#This Row],[SPOT PTS]]/2)*15)-65</f>
        <v>1105</v>
      </c>
      <c r="L239" s="28">
        <f t="shared" si="6"/>
        <v>15337.5</v>
      </c>
    </row>
    <row r="240" spans="1:12" ht="19.95" customHeight="1" x14ac:dyDescent="0.3">
      <c r="A240" s="13">
        <v>29</v>
      </c>
      <c r="B240" s="14">
        <v>0.3888888888888889</v>
      </c>
      <c r="C240" s="15" t="s">
        <v>6</v>
      </c>
      <c r="D240" s="15">
        <v>-81</v>
      </c>
      <c r="E240" s="15" t="s">
        <v>21</v>
      </c>
      <c r="F240" s="16">
        <v>1</v>
      </c>
      <c r="K240" s="28">
        <f>((Table7[[#This Row],[SPOT PTS]]/2)*15)-65</f>
        <v>-672.5</v>
      </c>
      <c r="L240" s="28">
        <f t="shared" si="6"/>
        <v>14665</v>
      </c>
    </row>
    <row r="241" spans="1:12" ht="19.95" customHeight="1" thickBot="1" x14ac:dyDescent="0.35">
      <c r="A241" s="17">
        <v>29</v>
      </c>
      <c r="B241" s="18">
        <v>6.9444444444444434E-2</v>
      </c>
      <c r="C241" s="19" t="s">
        <v>9</v>
      </c>
      <c r="D241" s="19">
        <v>111</v>
      </c>
      <c r="E241" s="19" t="s">
        <v>21</v>
      </c>
      <c r="F241" s="20">
        <v>2</v>
      </c>
      <c r="K241" s="28">
        <f>((Table7[[#This Row],[SPOT PTS]]/2)*15)-65</f>
        <v>767.5</v>
      </c>
      <c r="L241" s="28">
        <f t="shared" si="6"/>
        <v>15432.5</v>
      </c>
    </row>
    <row r="242" spans="1:12" ht="19.95" customHeight="1" thickBot="1" x14ac:dyDescent="0.35">
      <c r="A242" s="24">
        <v>30</v>
      </c>
      <c r="B242" s="25">
        <v>8.3333333333333329E-2</v>
      </c>
      <c r="C242" s="26" t="s">
        <v>9</v>
      </c>
      <c r="D242" s="26">
        <v>130</v>
      </c>
      <c r="E242" s="26" t="s">
        <v>23</v>
      </c>
      <c r="F242" s="27">
        <v>2</v>
      </c>
      <c r="K242" s="28">
        <f>((Table7[[#This Row],[SPOT PTS]]/2)*15)-65</f>
        <v>910</v>
      </c>
      <c r="L242" s="28">
        <f t="shared" si="6"/>
        <v>16342.5</v>
      </c>
    </row>
    <row r="243" spans="1:12" ht="19.95" customHeight="1" x14ac:dyDescent="0.3">
      <c r="A243" s="40" t="s">
        <v>55</v>
      </c>
      <c r="B243" s="40"/>
      <c r="C243" s="40"/>
      <c r="D243" s="40"/>
      <c r="E243" s="40"/>
      <c r="F243" s="40"/>
    </row>
    <row r="244" spans="1:12" ht="19.95" customHeight="1" thickBot="1" x14ac:dyDescent="0.35">
      <c r="A244" s="34" t="s">
        <v>46</v>
      </c>
      <c r="B244" s="10" t="s">
        <v>47</v>
      </c>
      <c r="C244" s="10" t="s">
        <v>0</v>
      </c>
      <c r="D244" s="10" t="s">
        <v>48</v>
      </c>
      <c r="E244" s="10" t="s">
        <v>14</v>
      </c>
      <c r="F244" s="35" t="s">
        <v>49</v>
      </c>
      <c r="L244" s="28">
        <v>10000</v>
      </c>
    </row>
    <row r="245" spans="1:12" ht="19.95" customHeight="1" thickBot="1" x14ac:dyDescent="0.35">
      <c r="A245" s="24">
        <v>2</v>
      </c>
      <c r="B245" s="25">
        <v>0.40277777777777773</v>
      </c>
      <c r="C245" s="26" t="s">
        <v>6</v>
      </c>
      <c r="D245" s="26">
        <v>-32</v>
      </c>
      <c r="E245" s="26" t="s">
        <v>25</v>
      </c>
      <c r="F245" s="27">
        <v>1</v>
      </c>
      <c r="H245" s="2" t="s">
        <v>38</v>
      </c>
      <c r="I245" s="2">
        <f>COUNT(Table8[DATE])</f>
        <v>34</v>
      </c>
      <c r="K245" s="28">
        <f>((Table8[[#This Row],[SPOT PTS]]/2)*15)-65</f>
        <v>-305</v>
      </c>
      <c r="L245" s="28">
        <f>K245+L244</f>
        <v>9695</v>
      </c>
    </row>
    <row r="246" spans="1:12" ht="19.95" customHeight="1" x14ac:dyDescent="0.3">
      <c r="A246" s="13">
        <v>3</v>
      </c>
      <c r="B246" s="14">
        <v>0.42708333333333331</v>
      </c>
      <c r="C246" s="15" t="s">
        <v>6</v>
      </c>
      <c r="D246" s="15">
        <v>-21</v>
      </c>
      <c r="E246" s="15" t="s">
        <v>27</v>
      </c>
      <c r="F246" s="16">
        <v>1</v>
      </c>
      <c r="H246" s="2" t="s">
        <v>39</v>
      </c>
      <c r="I246" s="3">
        <f>((COUNTIF(Table8[OUTCOME],"TARGET"))/I245)</f>
        <v>0.41176470588235292</v>
      </c>
      <c r="K246" s="28">
        <f>((Table8[[#This Row],[SPOT PTS]]/2)*15)-65</f>
        <v>-222.5</v>
      </c>
      <c r="L246" s="28">
        <f t="shared" ref="L246:L278" si="7">K246+L245</f>
        <v>9472.5</v>
      </c>
    </row>
    <row r="247" spans="1:12" ht="19.95" customHeight="1" x14ac:dyDescent="0.3">
      <c r="A247" s="21">
        <v>3</v>
      </c>
      <c r="B247" s="22">
        <v>6.5972222222222224E-2</v>
      </c>
      <c r="C247" s="1" t="s">
        <v>6</v>
      </c>
      <c r="D247" s="1">
        <v>-23</v>
      </c>
      <c r="E247" s="1" t="s">
        <v>27</v>
      </c>
      <c r="F247" s="23">
        <v>2</v>
      </c>
      <c r="H247" s="2" t="s">
        <v>40</v>
      </c>
      <c r="I247" s="2">
        <f>SUM(Table8[SPOT PTS])</f>
        <v>1027</v>
      </c>
      <c r="K247" s="28">
        <f>((Table8[[#This Row],[SPOT PTS]]/2)*15)-65</f>
        <v>-237.5</v>
      </c>
      <c r="L247" s="28">
        <f t="shared" si="7"/>
        <v>9235</v>
      </c>
    </row>
    <row r="248" spans="1:12" ht="19.95" customHeight="1" thickBot="1" x14ac:dyDescent="0.35">
      <c r="A248" s="17">
        <v>3</v>
      </c>
      <c r="B248" s="18">
        <v>0.11805555555555557</v>
      </c>
      <c r="C248" s="19" t="s">
        <v>6</v>
      </c>
      <c r="D248" s="19">
        <v>-66</v>
      </c>
      <c r="E248" s="19" t="s">
        <v>27</v>
      </c>
      <c r="F248" s="20">
        <v>2</v>
      </c>
      <c r="H248" s="2" t="s">
        <v>10</v>
      </c>
      <c r="I248" s="2">
        <f>65*I245</f>
        <v>2210</v>
      </c>
      <c r="K248" s="28">
        <f>((Table8[[#This Row],[SPOT PTS]]/2)*15)-65</f>
        <v>-560</v>
      </c>
      <c r="L248" s="28">
        <f t="shared" si="7"/>
        <v>8675</v>
      </c>
    </row>
    <row r="249" spans="1:12" ht="19.95" customHeight="1" thickBot="1" x14ac:dyDescent="0.35">
      <c r="A249" s="24">
        <v>4</v>
      </c>
      <c r="B249" s="25">
        <v>0.46875</v>
      </c>
      <c r="C249" s="26" t="s">
        <v>9</v>
      </c>
      <c r="D249" s="26">
        <v>124</v>
      </c>
      <c r="E249" s="26" t="s">
        <v>29</v>
      </c>
      <c r="F249" s="27">
        <v>1</v>
      </c>
      <c r="H249" s="2" t="s">
        <v>41</v>
      </c>
      <c r="I249" s="2">
        <f>SUMIF(Table8[OUTCOME],"STOPLOSS",Table8[SPOT PTS])</f>
        <v>-914</v>
      </c>
      <c r="K249" s="28">
        <f>((Table8[[#This Row],[SPOT PTS]]/2)*15)-65</f>
        <v>865</v>
      </c>
      <c r="L249" s="28">
        <f t="shared" si="7"/>
        <v>9540</v>
      </c>
    </row>
    <row r="250" spans="1:12" ht="19.95" customHeight="1" thickBot="1" x14ac:dyDescent="0.35">
      <c r="A250" s="24">
        <v>5</v>
      </c>
      <c r="B250" s="25">
        <v>0.41319444444444442</v>
      </c>
      <c r="C250" s="26" t="s">
        <v>9</v>
      </c>
      <c r="D250" s="26">
        <v>151</v>
      </c>
      <c r="E250" s="26" t="s">
        <v>21</v>
      </c>
      <c r="F250" s="27">
        <v>1</v>
      </c>
      <c r="H250" s="2" t="s">
        <v>42</v>
      </c>
      <c r="I250" s="2">
        <f>SUMIF(Table8[OUTCOME],"TARGET",Table8[SPOT PTS])</f>
        <v>1941</v>
      </c>
      <c r="K250" s="28">
        <f>((Table8[[#This Row],[SPOT PTS]]/2)*15)-65</f>
        <v>1067.5</v>
      </c>
      <c r="L250" s="28">
        <f t="shared" si="7"/>
        <v>10607.5</v>
      </c>
    </row>
    <row r="251" spans="1:12" ht="19.95" customHeight="1" x14ac:dyDescent="0.3">
      <c r="A251" s="13">
        <v>6</v>
      </c>
      <c r="B251" s="14">
        <v>0.39583333333333331</v>
      </c>
      <c r="C251" s="15" t="s">
        <v>6</v>
      </c>
      <c r="D251" s="15">
        <v>-66</v>
      </c>
      <c r="E251" s="15" t="s">
        <v>23</v>
      </c>
      <c r="F251" s="16">
        <v>1</v>
      </c>
      <c r="H251" s="2" t="s">
        <v>43</v>
      </c>
      <c r="I251" s="6">
        <f>(L278-L244)/L244</f>
        <v>0.54925000000000002</v>
      </c>
      <c r="K251" s="28">
        <f>((Table8[[#This Row],[SPOT PTS]]/2)*15)-65</f>
        <v>-560</v>
      </c>
      <c r="L251" s="28">
        <f t="shared" si="7"/>
        <v>10047.5</v>
      </c>
    </row>
    <row r="252" spans="1:12" ht="19.95" customHeight="1" thickBot="1" x14ac:dyDescent="0.35">
      <c r="A252" s="17">
        <v>6</v>
      </c>
      <c r="B252" s="18">
        <v>0.4236111111111111</v>
      </c>
      <c r="C252" s="19" t="s">
        <v>9</v>
      </c>
      <c r="D252" s="19">
        <v>178</v>
      </c>
      <c r="E252" s="19" t="s">
        <v>23</v>
      </c>
      <c r="F252" s="20">
        <v>1</v>
      </c>
      <c r="H252" s="2" t="s">
        <v>44</v>
      </c>
      <c r="I252" s="9">
        <f>((I247/2)*15)-I248</f>
        <v>5492.5</v>
      </c>
      <c r="K252" s="28">
        <f>((Table8[[#This Row],[SPOT PTS]]/2)*15)-65</f>
        <v>1270</v>
      </c>
      <c r="L252" s="28">
        <f t="shared" si="7"/>
        <v>11317.5</v>
      </c>
    </row>
    <row r="253" spans="1:12" ht="19.95" customHeight="1" thickBot="1" x14ac:dyDescent="0.35">
      <c r="A253" s="24">
        <v>9</v>
      </c>
      <c r="B253" s="25">
        <v>0.4236111111111111</v>
      </c>
      <c r="C253" s="26" t="s">
        <v>9</v>
      </c>
      <c r="D253" s="26">
        <v>156</v>
      </c>
      <c r="E253" s="26" t="s">
        <v>25</v>
      </c>
      <c r="F253" s="27">
        <v>1</v>
      </c>
      <c r="K253" s="28">
        <f>((Table8[[#This Row],[SPOT PTS]]/2)*15)-65</f>
        <v>1105</v>
      </c>
      <c r="L253" s="28">
        <f t="shared" si="7"/>
        <v>12422.5</v>
      </c>
    </row>
    <row r="254" spans="1:12" ht="19.95" customHeight="1" x14ac:dyDescent="0.3">
      <c r="A254" s="13">
        <v>10</v>
      </c>
      <c r="B254" s="14">
        <v>0.39930555555555558</v>
      </c>
      <c r="C254" s="15" t="s">
        <v>6</v>
      </c>
      <c r="D254" s="15">
        <v>-47</v>
      </c>
      <c r="E254" s="15" t="s">
        <v>27</v>
      </c>
      <c r="F254" s="16">
        <v>1</v>
      </c>
      <c r="K254" s="28">
        <f>((Table8[[#This Row],[SPOT PTS]]/2)*15)-65</f>
        <v>-417.5</v>
      </c>
      <c r="L254" s="28">
        <f t="shared" si="7"/>
        <v>12005</v>
      </c>
    </row>
    <row r="255" spans="1:12" ht="19.95" customHeight="1" thickBot="1" x14ac:dyDescent="0.35">
      <c r="A255" s="17">
        <v>10</v>
      </c>
      <c r="B255" s="18">
        <v>0.4236111111111111</v>
      </c>
      <c r="C255" s="19" t="s">
        <v>9</v>
      </c>
      <c r="D255" s="19">
        <v>120</v>
      </c>
      <c r="E255" s="19" t="s">
        <v>27</v>
      </c>
      <c r="F255" s="20">
        <v>1</v>
      </c>
      <c r="K255" s="28">
        <f>((Table8[[#This Row],[SPOT PTS]]/2)*15)-65</f>
        <v>835</v>
      </c>
      <c r="L255" s="28">
        <f t="shared" si="7"/>
        <v>12840</v>
      </c>
    </row>
    <row r="256" spans="1:12" ht="19.95" customHeight="1" x14ac:dyDescent="0.3">
      <c r="A256" s="13">
        <v>11</v>
      </c>
      <c r="B256" s="14">
        <v>0.3888888888888889</v>
      </c>
      <c r="C256" s="15" t="s">
        <v>6</v>
      </c>
      <c r="D256" s="15">
        <v>-80</v>
      </c>
      <c r="E256" s="15" t="s">
        <v>29</v>
      </c>
      <c r="F256" s="16">
        <v>1</v>
      </c>
      <c r="K256" s="28">
        <f>((Table8[[#This Row],[SPOT PTS]]/2)*15)-65</f>
        <v>-665</v>
      </c>
      <c r="L256" s="28">
        <f t="shared" si="7"/>
        <v>12175</v>
      </c>
    </row>
    <row r="257" spans="1:12" ht="19.95" customHeight="1" thickBot="1" x14ac:dyDescent="0.35">
      <c r="A257" s="17">
        <v>11</v>
      </c>
      <c r="B257" s="18">
        <v>8.3333333333333329E-2</v>
      </c>
      <c r="C257" s="19" t="s">
        <v>9</v>
      </c>
      <c r="D257" s="19">
        <v>128</v>
      </c>
      <c r="E257" s="19" t="s">
        <v>29</v>
      </c>
      <c r="F257" s="20">
        <v>2</v>
      </c>
      <c r="K257" s="28">
        <f>((Table8[[#This Row],[SPOT PTS]]/2)*15)-65</f>
        <v>895</v>
      </c>
      <c r="L257" s="28">
        <f t="shared" si="7"/>
        <v>13070</v>
      </c>
    </row>
    <row r="258" spans="1:12" ht="19.95" customHeight="1" thickBot="1" x14ac:dyDescent="0.35">
      <c r="A258" s="24">
        <v>12</v>
      </c>
      <c r="B258" s="25">
        <v>0.4236111111111111</v>
      </c>
      <c r="C258" s="26" t="s">
        <v>9</v>
      </c>
      <c r="D258" s="26">
        <v>98</v>
      </c>
      <c r="E258" s="26" t="s">
        <v>21</v>
      </c>
      <c r="F258" s="27">
        <v>1</v>
      </c>
      <c r="K258" s="28">
        <f>((Table8[[#This Row],[SPOT PTS]]/2)*15)-65</f>
        <v>670</v>
      </c>
      <c r="L258" s="28">
        <f t="shared" si="7"/>
        <v>13740</v>
      </c>
    </row>
    <row r="259" spans="1:12" ht="19.95" customHeight="1" thickBot="1" x14ac:dyDescent="0.35">
      <c r="A259" s="24">
        <v>13</v>
      </c>
      <c r="B259" s="25">
        <v>0.39930555555555558</v>
      </c>
      <c r="C259" s="26" t="s">
        <v>9</v>
      </c>
      <c r="D259" s="26">
        <v>123</v>
      </c>
      <c r="E259" s="26" t="s">
        <v>23</v>
      </c>
      <c r="F259" s="27">
        <v>1</v>
      </c>
      <c r="K259" s="28">
        <f>((Table8[[#This Row],[SPOT PTS]]/2)*15)-65</f>
        <v>857.5</v>
      </c>
      <c r="L259" s="28">
        <f t="shared" si="7"/>
        <v>14597.5</v>
      </c>
    </row>
    <row r="260" spans="1:12" ht="19.95" customHeight="1" thickBot="1" x14ac:dyDescent="0.35">
      <c r="A260" s="24">
        <v>16</v>
      </c>
      <c r="B260" s="25">
        <v>0.4201388888888889</v>
      </c>
      <c r="C260" s="26" t="s">
        <v>6</v>
      </c>
      <c r="D260" s="26">
        <v>-68</v>
      </c>
      <c r="E260" s="26" t="s">
        <v>25</v>
      </c>
      <c r="F260" s="27">
        <v>1</v>
      </c>
      <c r="K260" s="28">
        <f>((Table8[[#This Row],[SPOT PTS]]/2)*15)-65</f>
        <v>-575</v>
      </c>
      <c r="L260" s="28">
        <f t="shared" si="7"/>
        <v>14022.5</v>
      </c>
    </row>
    <row r="261" spans="1:12" ht="19.95" customHeight="1" thickBot="1" x14ac:dyDescent="0.35">
      <c r="A261" s="24">
        <v>17</v>
      </c>
      <c r="B261" s="25">
        <v>0.44444444444444442</v>
      </c>
      <c r="C261" s="26" t="s">
        <v>9</v>
      </c>
      <c r="D261" s="26">
        <v>102</v>
      </c>
      <c r="E261" s="26" t="s">
        <v>27</v>
      </c>
      <c r="F261" s="27">
        <v>1</v>
      </c>
      <c r="K261" s="28">
        <f>((Table8[[#This Row],[SPOT PTS]]/2)*15)-65</f>
        <v>700</v>
      </c>
      <c r="L261" s="28">
        <f t="shared" si="7"/>
        <v>14722.5</v>
      </c>
    </row>
    <row r="262" spans="1:12" ht="19.95" customHeight="1" thickBot="1" x14ac:dyDescent="0.35">
      <c r="A262" s="24">
        <v>18</v>
      </c>
      <c r="B262" s="25">
        <v>0.3888888888888889</v>
      </c>
      <c r="C262" s="26" t="s">
        <v>9</v>
      </c>
      <c r="D262" s="26">
        <v>242</v>
      </c>
      <c r="E262" s="26" t="s">
        <v>29</v>
      </c>
      <c r="F262" s="27">
        <v>1</v>
      </c>
      <c r="K262" s="28">
        <f>((Table8[[#This Row],[SPOT PTS]]/2)*15)-65</f>
        <v>1750</v>
      </c>
      <c r="L262" s="28">
        <f t="shared" si="7"/>
        <v>16472.5</v>
      </c>
    </row>
    <row r="263" spans="1:12" ht="19.95" customHeight="1" thickBot="1" x14ac:dyDescent="0.35">
      <c r="A263" s="24">
        <v>20</v>
      </c>
      <c r="B263" s="25">
        <v>0.1111111111111111</v>
      </c>
      <c r="C263" s="26" t="s">
        <v>6</v>
      </c>
      <c r="D263" s="26">
        <v>-23</v>
      </c>
      <c r="E263" s="26" t="s">
        <v>23</v>
      </c>
      <c r="F263" s="27">
        <v>2</v>
      </c>
      <c r="K263" s="28">
        <f>((Table8[[#This Row],[SPOT PTS]]/2)*15)-65</f>
        <v>-237.5</v>
      </c>
      <c r="L263" s="28">
        <f t="shared" si="7"/>
        <v>16235</v>
      </c>
    </row>
    <row r="264" spans="1:12" ht="19.95" customHeight="1" x14ac:dyDescent="0.3">
      <c r="A264" s="13">
        <v>23</v>
      </c>
      <c r="B264" s="14">
        <v>0.3888888888888889</v>
      </c>
      <c r="C264" s="15" t="s">
        <v>6</v>
      </c>
      <c r="D264" s="15">
        <v>-80</v>
      </c>
      <c r="E264" s="15" t="s">
        <v>25</v>
      </c>
      <c r="F264" s="16">
        <v>1</v>
      </c>
      <c r="K264" s="28">
        <f>((Table8[[#This Row],[SPOT PTS]]/2)*15)-65</f>
        <v>-665</v>
      </c>
      <c r="L264" s="28">
        <f t="shared" si="7"/>
        <v>15570</v>
      </c>
    </row>
    <row r="265" spans="1:12" ht="19.95" customHeight="1" x14ac:dyDescent="0.3">
      <c r="A265" s="21">
        <v>23</v>
      </c>
      <c r="B265" s="22">
        <v>7.6388888888888895E-2</v>
      </c>
      <c r="C265" s="1" t="s">
        <v>6</v>
      </c>
      <c r="D265" s="1">
        <v>-29</v>
      </c>
      <c r="E265" s="1" t="s">
        <v>25</v>
      </c>
      <c r="F265" s="23">
        <v>2</v>
      </c>
      <c r="K265" s="28">
        <f>((Table8[[#This Row],[SPOT PTS]]/2)*15)-65</f>
        <v>-282.5</v>
      </c>
      <c r="L265" s="28">
        <f t="shared" si="7"/>
        <v>15287.5</v>
      </c>
    </row>
    <row r="266" spans="1:12" ht="19.95" customHeight="1" thickBot="1" x14ac:dyDescent="0.35">
      <c r="A266" s="17">
        <v>23</v>
      </c>
      <c r="B266" s="18">
        <v>0.11805555555555557</v>
      </c>
      <c r="C266" s="19" t="s">
        <v>9</v>
      </c>
      <c r="D266" s="19">
        <v>114</v>
      </c>
      <c r="E266" s="19" t="s">
        <v>25</v>
      </c>
      <c r="F266" s="20">
        <v>2</v>
      </c>
      <c r="K266" s="28">
        <f>((Table8[[#This Row],[SPOT PTS]]/2)*15)-65</f>
        <v>790</v>
      </c>
      <c r="L266" s="28">
        <f t="shared" si="7"/>
        <v>16077.5</v>
      </c>
    </row>
    <row r="267" spans="1:12" ht="19.95" customHeight="1" x14ac:dyDescent="0.3">
      <c r="A267" s="13">
        <v>24</v>
      </c>
      <c r="B267" s="14">
        <v>0.40277777777777773</v>
      </c>
      <c r="C267" s="15" t="s">
        <v>6</v>
      </c>
      <c r="D267" s="15">
        <v>-31</v>
      </c>
      <c r="E267" s="15" t="s">
        <v>27</v>
      </c>
      <c r="F267" s="16">
        <v>1</v>
      </c>
      <c r="K267" s="28">
        <f>((Table8[[#This Row],[SPOT PTS]]/2)*15)-65</f>
        <v>-297.5</v>
      </c>
      <c r="L267" s="28">
        <f t="shared" si="7"/>
        <v>15780</v>
      </c>
    </row>
    <row r="268" spans="1:12" ht="19.95" customHeight="1" x14ac:dyDescent="0.3">
      <c r="A268" s="21">
        <v>24</v>
      </c>
      <c r="B268" s="22">
        <v>0.44791666666666669</v>
      </c>
      <c r="C268" s="1" t="s">
        <v>6</v>
      </c>
      <c r="D268" s="1">
        <v>-40</v>
      </c>
      <c r="E268" s="1" t="s">
        <v>27</v>
      </c>
      <c r="F268" s="23">
        <v>1</v>
      </c>
      <c r="K268" s="28">
        <f>((Table8[[#This Row],[SPOT PTS]]/2)*15)-65</f>
        <v>-365</v>
      </c>
      <c r="L268" s="28">
        <f t="shared" si="7"/>
        <v>15415</v>
      </c>
    </row>
    <row r="269" spans="1:12" ht="19.95" customHeight="1" thickBot="1" x14ac:dyDescent="0.35">
      <c r="A269" s="17">
        <v>24</v>
      </c>
      <c r="B269" s="18">
        <v>0.53125</v>
      </c>
      <c r="C269" s="19" t="s">
        <v>6</v>
      </c>
      <c r="D269" s="19">
        <v>-32</v>
      </c>
      <c r="E269" s="19" t="s">
        <v>27</v>
      </c>
      <c r="F269" s="20">
        <v>2</v>
      </c>
      <c r="K269" s="28">
        <f>((Table8[[#This Row],[SPOT PTS]]/2)*15)-65</f>
        <v>-305</v>
      </c>
      <c r="L269" s="28">
        <f t="shared" si="7"/>
        <v>15110</v>
      </c>
    </row>
    <row r="270" spans="1:12" ht="19.95" customHeight="1" thickBot="1" x14ac:dyDescent="0.35">
      <c r="A270" s="24">
        <v>25</v>
      </c>
      <c r="B270" s="25">
        <v>0.39583333333333331</v>
      </c>
      <c r="C270" s="26" t="s">
        <v>9</v>
      </c>
      <c r="D270" s="26">
        <v>186</v>
      </c>
      <c r="E270" s="26" t="s">
        <v>29</v>
      </c>
      <c r="F270" s="27">
        <v>1</v>
      </c>
      <c r="K270" s="28">
        <f>((Table8[[#This Row],[SPOT PTS]]/2)*15)-65</f>
        <v>1330</v>
      </c>
      <c r="L270" s="28">
        <f t="shared" si="7"/>
        <v>16440</v>
      </c>
    </row>
    <row r="271" spans="1:12" ht="19.95" customHeight="1" x14ac:dyDescent="0.3">
      <c r="A271" s="13">
        <v>26</v>
      </c>
      <c r="B271" s="14">
        <v>0.43055555555555558</v>
      </c>
      <c r="C271" s="15" t="s">
        <v>6</v>
      </c>
      <c r="D271" s="15">
        <v>-29</v>
      </c>
      <c r="E271" s="15" t="s">
        <v>21</v>
      </c>
      <c r="F271" s="16">
        <v>1</v>
      </c>
      <c r="K271" s="28">
        <f>((Table8[[#This Row],[SPOT PTS]]/2)*15)-65</f>
        <v>-282.5</v>
      </c>
      <c r="L271" s="28">
        <f t="shared" si="7"/>
        <v>16157.5</v>
      </c>
    </row>
    <row r="272" spans="1:12" ht="19.95" customHeight="1" x14ac:dyDescent="0.3">
      <c r="A272" s="21">
        <v>26</v>
      </c>
      <c r="B272" s="22">
        <v>0.4861111111111111</v>
      </c>
      <c r="C272" s="1" t="s">
        <v>6</v>
      </c>
      <c r="D272" s="1">
        <v>-40</v>
      </c>
      <c r="E272" s="1" t="s">
        <v>21</v>
      </c>
      <c r="F272" s="23">
        <v>1</v>
      </c>
      <c r="K272" s="28">
        <f>((Table8[[#This Row],[SPOT PTS]]/2)*15)-65</f>
        <v>-365</v>
      </c>
      <c r="L272" s="28">
        <f t="shared" si="7"/>
        <v>15792.5</v>
      </c>
    </row>
    <row r="273" spans="1:12" ht="19.95" customHeight="1" thickBot="1" x14ac:dyDescent="0.35">
      <c r="A273" s="17">
        <v>26</v>
      </c>
      <c r="B273" s="18">
        <v>9.0277777777777776E-2</v>
      </c>
      <c r="C273" s="19" t="s">
        <v>9</v>
      </c>
      <c r="D273" s="19">
        <v>104</v>
      </c>
      <c r="E273" s="19" t="s">
        <v>21</v>
      </c>
      <c r="F273" s="20">
        <v>2</v>
      </c>
      <c r="K273" s="28">
        <f>((Table8[[#This Row],[SPOT PTS]]/2)*15)-65</f>
        <v>715</v>
      </c>
      <c r="L273" s="28">
        <f t="shared" si="7"/>
        <v>16507.5</v>
      </c>
    </row>
    <row r="274" spans="1:12" ht="19.95" customHeight="1" x14ac:dyDescent="0.3">
      <c r="A274" s="13">
        <v>27</v>
      </c>
      <c r="B274" s="14">
        <v>0.44097222222222227</v>
      </c>
      <c r="C274" s="15" t="s">
        <v>6</v>
      </c>
      <c r="D274" s="15">
        <v>-43</v>
      </c>
      <c r="E274" s="15" t="s">
        <v>23</v>
      </c>
      <c r="F274" s="16">
        <v>1</v>
      </c>
      <c r="K274" s="28">
        <f>((Table8[[#This Row],[SPOT PTS]]/2)*15)-65</f>
        <v>-387.5</v>
      </c>
      <c r="L274" s="28">
        <f t="shared" si="7"/>
        <v>16120</v>
      </c>
    </row>
    <row r="275" spans="1:12" ht="19.95" customHeight="1" thickBot="1" x14ac:dyDescent="0.35">
      <c r="A275" s="17">
        <v>27</v>
      </c>
      <c r="B275" s="18">
        <v>0.49305555555555558</v>
      </c>
      <c r="C275" s="19" t="s">
        <v>6</v>
      </c>
      <c r="D275" s="19">
        <v>-49</v>
      </c>
      <c r="E275" s="19" t="s">
        <v>23</v>
      </c>
      <c r="F275" s="20">
        <v>1</v>
      </c>
      <c r="K275" s="28">
        <f>((Table8[[#This Row],[SPOT PTS]]/2)*15)-65</f>
        <v>-432.5</v>
      </c>
      <c r="L275" s="28">
        <f t="shared" si="7"/>
        <v>15687.5</v>
      </c>
    </row>
    <row r="276" spans="1:12" ht="19.95" customHeight="1" x14ac:dyDescent="0.3">
      <c r="A276" s="13">
        <v>30</v>
      </c>
      <c r="B276" s="14">
        <v>0.39930555555555558</v>
      </c>
      <c r="C276" s="15" t="s">
        <v>6</v>
      </c>
      <c r="D276" s="15">
        <v>-43</v>
      </c>
      <c r="E276" s="15" t="s">
        <v>25</v>
      </c>
      <c r="F276" s="16">
        <v>1</v>
      </c>
      <c r="K276" s="28">
        <f>((Table8[[#This Row],[SPOT PTS]]/2)*15)-65</f>
        <v>-387.5</v>
      </c>
      <c r="L276" s="28">
        <f t="shared" si="7"/>
        <v>15300</v>
      </c>
    </row>
    <row r="277" spans="1:12" ht="19.95" customHeight="1" thickBot="1" x14ac:dyDescent="0.35">
      <c r="A277" s="17">
        <v>30</v>
      </c>
      <c r="B277" s="18">
        <v>0.44791666666666669</v>
      </c>
      <c r="C277" s="19" t="s">
        <v>9</v>
      </c>
      <c r="D277" s="19">
        <v>115</v>
      </c>
      <c r="E277" s="19" t="s">
        <v>25</v>
      </c>
      <c r="F277" s="20">
        <v>1</v>
      </c>
      <c r="K277" s="28">
        <f>((Table8[[#This Row],[SPOT PTS]]/2)*15)-65</f>
        <v>797.5</v>
      </c>
      <c r="L277" s="28">
        <f t="shared" si="7"/>
        <v>16097.5</v>
      </c>
    </row>
    <row r="278" spans="1:12" ht="19.95" customHeight="1" thickBot="1" x14ac:dyDescent="0.35">
      <c r="A278" s="24">
        <v>31</v>
      </c>
      <c r="B278" s="25">
        <v>0.39583333333333331</v>
      </c>
      <c r="C278" s="26" t="s">
        <v>6</v>
      </c>
      <c r="D278" s="26">
        <v>-72</v>
      </c>
      <c r="E278" s="26" t="s">
        <v>27</v>
      </c>
      <c r="F278" s="27">
        <v>1</v>
      </c>
      <c r="K278" s="28">
        <f>((Table8[[#This Row],[SPOT PTS]]/2)*15)-65</f>
        <v>-605</v>
      </c>
      <c r="L278" s="28">
        <f t="shared" si="7"/>
        <v>15492.5</v>
      </c>
    </row>
    <row r="279" spans="1:12" ht="19.95" customHeight="1" x14ac:dyDescent="0.3">
      <c r="A279" s="40" t="s">
        <v>56</v>
      </c>
      <c r="B279" s="40"/>
      <c r="C279" s="40"/>
      <c r="D279" s="40"/>
      <c r="E279" s="40"/>
      <c r="F279" s="40"/>
    </row>
    <row r="280" spans="1:12" ht="19.95" customHeight="1" thickBot="1" x14ac:dyDescent="0.35">
      <c r="A280" s="34" t="s">
        <v>46</v>
      </c>
      <c r="B280" s="10" t="s">
        <v>47</v>
      </c>
      <c r="C280" s="10" t="s">
        <v>0</v>
      </c>
      <c r="D280" s="10" t="s">
        <v>48</v>
      </c>
      <c r="E280" s="10" t="s">
        <v>14</v>
      </c>
      <c r="F280" s="35" t="s">
        <v>49</v>
      </c>
      <c r="L280" s="28">
        <v>10000</v>
      </c>
    </row>
    <row r="281" spans="1:12" ht="19.95" customHeight="1" thickBot="1" x14ac:dyDescent="0.35">
      <c r="A281" s="24">
        <v>1</v>
      </c>
      <c r="B281" s="25">
        <v>0.4236111111111111</v>
      </c>
      <c r="C281" s="26" t="s">
        <v>9</v>
      </c>
      <c r="D281" s="26">
        <v>131</v>
      </c>
      <c r="E281" s="26" t="s">
        <v>29</v>
      </c>
      <c r="F281" s="27">
        <v>1</v>
      </c>
      <c r="H281" s="2" t="s">
        <v>38</v>
      </c>
      <c r="I281" s="2">
        <f>COUNT(Table9[DATE])</f>
        <v>28</v>
      </c>
      <c r="K281" s="28">
        <f>((Table9[[#This Row],[SPOT PTS]]/2)*15)-65</f>
        <v>917.5</v>
      </c>
      <c r="L281" s="28">
        <f>K281+L280</f>
        <v>10917.5</v>
      </c>
    </row>
    <row r="282" spans="1:12" ht="19.95" customHeight="1" x14ac:dyDescent="0.3">
      <c r="A282" s="13">
        <v>2</v>
      </c>
      <c r="B282" s="14">
        <v>0.41666666666666669</v>
      </c>
      <c r="C282" s="15" t="s">
        <v>6</v>
      </c>
      <c r="D282" s="15">
        <v>-25</v>
      </c>
      <c r="E282" s="15" t="s">
        <v>21</v>
      </c>
      <c r="F282" s="16">
        <v>1</v>
      </c>
      <c r="H282" s="2" t="s">
        <v>39</v>
      </c>
      <c r="I282" s="3">
        <f>((COUNTIF(Table9[OUTCOME],"TARGET"))/I281)</f>
        <v>0.35714285714285715</v>
      </c>
      <c r="K282" s="28">
        <f>((Table9[[#This Row],[SPOT PTS]]/2)*15)-65</f>
        <v>-252.5</v>
      </c>
      <c r="L282" s="28">
        <f t="shared" ref="L282:L308" si="8">K282+L281</f>
        <v>10665</v>
      </c>
    </row>
    <row r="283" spans="1:12" ht="19.95" customHeight="1" x14ac:dyDescent="0.3">
      <c r="A283" s="21">
        <v>2</v>
      </c>
      <c r="B283" s="22">
        <v>0.4513888888888889</v>
      </c>
      <c r="C283" s="1" t="s">
        <v>6</v>
      </c>
      <c r="D283" s="1">
        <v>-40</v>
      </c>
      <c r="E283" s="1" t="s">
        <v>21</v>
      </c>
      <c r="F283" s="23">
        <v>1</v>
      </c>
      <c r="H283" s="2" t="s">
        <v>40</v>
      </c>
      <c r="I283" s="2">
        <f>SUM(Table9[SPOT PTS])</f>
        <v>906</v>
      </c>
      <c r="K283" s="28">
        <f>((Table9[[#This Row],[SPOT PTS]]/2)*15)-65</f>
        <v>-365</v>
      </c>
      <c r="L283" s="28">
        <f t="shared" si="8"/>
        <v>10300</v>
      </c>
    </row>
    <row r="284" spans="1:12" ht="19.95" customHeight="1" thickBot="1" x14ac:dyDescent="0.35">
      <c r="A284" s="17">
        <v>2</v>
      </c>
      <c r="B284" s="18">
        <v>0.47916666666666669</v>
      </c>
      <c r="C284" s="19" t="s">
        <v>6</v>
      </c>
      <c r="D284" s="19">
        <v>-16</v>
      </c>
      <c r="E284" s="19" t="s">
        <v>21</v>
      </c>
      <c r="F284" s="20">
        <v>1</v>
      </c>
      <c r="H284" s="2" t="s">
        <v>10</v>
      </c>
      <c r="I284" s="2">
        <f>65*I281</f>
        <v>1820</v>
      </c>
      <c r="K284" s="28">
        <f>((Table9[[#This Row],[SPOT PTS]]/2)*15)-65</f>
        <v>-185</v>
      </c>
      <c r="L284" s="28">
        <f t="shared" si="8"/>
        <v>10115</v>
      </c>
    </row>
    <row r="285" spans="1:12" ht="19.95" customHeight="1" thickBot="1" x14ac:dyDescent="0.35">
      <c r="A285" s="24">
        <v>3</v>
      </c>
      <c r="B285" s="25">
        <v>0.39930555555555558</v>
      </c>
      <c r="C285" s="26" t="s">
        <v>9</v>
      </c>
      <c r="D285" s="26">
        <v>190</v>
      </c>
      <c r="E285" s="26" t="s">
        <v>23</v>
      </c>
      <c r="F285" s="27">
        <v>1</v>
      </c>
      <c r="H285" s="2" t="s">
        <v>41</v>
      </c>
      <c r="I285" s="2">
        <f>SUMIF(Table9[OUTCOME],"STOPLOSS",Table9[SPOT PTS])</f>
        <v>-707</v>
      </c>
      <c r="K285" s="28">
        <f>((Table9[[#This Row],[SPOT PTS]]/2)*15)-65</f>
        <v>1360</v>
      </c>
      <c r="L285" s="28">
        <f t="shared" si="8"/>
        <v>11475</v>
      </c>
    </row>
    <row r="286" spans="1:12" ht="19.95" customHeight="1" x14ac:dyDescent="0.3">
      <c r="A286" s="13">
        <v>6</v>
      </c>
      <c r="B286" s="14">
        <v>0.46527777777777773</v>
      </c>
      <c r="C286" s="15" t="s">
        <v>6</v>
      </c>
      <c r="D286" s="15">
        <v>-25</v>
      </c>
      <c r="E286" s="15" t="s">
        <v>25</v>
      </c>
      <c r="F286" s="16">
        <v>1</v>
      </c>
      <c r="H286" s="2" t="s">
        <v>42</v>
      </c>
      <c r="I286" s="2">
        <f>SUMIF(Table9[OUTCOME],"TARGET",Table9[SPOT PTS])</f>
        <v>1613</v>
      </c>
      <c r="K286" s="28">
        <f>((Table9[[#This Row],[SPOT PTS]]/2)*15)-65</f>
        <v>-252.5</v>
      </c>
      <c r="L286" s="28">
        <f t="shared" si="8"/>
        <v>11222.5</v>
      </c>
    </row>
    <row r="287" spans="1:12" ht="19.95" customHeight="1" thickBot="1" x14ac:dyDescent="0.35">
      <c r="A287" s="17">
        <v>6</v>
      </c>
      <c r="B287" s="18">
        <v>0.53472222222222221</v>
      </c>
      <c r="C287" s="19" t="s">
        <v>9</v>
      </c>
      <c r="D287" s="19">
        <v>93</v>
      </c>
      <c r="E287" s="19" t="s">
        <v>25</v>
      </c>
      <c r="F287" s="20">
        <v>2</v>
      </c>
      <c r="H287" s="2" t="s">
        <v>43</v>
      </c>
      <c r="I287" s="6">
        <f>(L308-L280)/L280</f>
        <v>0.4975</v>
      </c>
      <c r="K287" s="28">
        <f>((Table9[[#This Row],[SPOT PTS]]/2)*15)-65</f>
        <v>632.5</v>
      </c>
      <c r="L287" s="28">
        <f t="shared" si="8"/>
        <v>11855</v>
      </c>
    </row>
    <row r="288" spans="1:12" ht="19.95" customHeight="1" thickBot="1" x14ac:dyDescent="0.35">
      <c r="A288" s="24">
        <v>7</v>
      </c>
      <c r="B288" s="25">
        <v>0.53819444444444442</v>
      </c>
      <c r="C288" s="26" t="s">
        <v>9</v>
      </c>
      <c r="D288" s="26">
        <v>124</v>
      </c>
      <c r="E288" s="26" t="s">
        <v>27</v>
      </c>
      <c r="F288" s="27">
        <v>2</v>
      </c>
      <c r="H288" s="2" t="s">
        <v>44</v>
      </c>
      <c r="I288" s="9">
        <f>((I283/2)*15)-I284</f>
        <v>4975</v>
      </c>
      <c r="K288" s="28">
        <f>((Table9[[#This Row],[SPOT PTS]]/2)*15)-65</f>
        <v>865</v>
      </c>
      <c r="L288" s="28">
        <f t="shared" si="8"/>
        <v>12720</v>
      </c>
    </row>
    <row r="289" spans="1:12" ht="19.95" customHeight="1" x14ac:dyDescent="0.3">
      <c r="A289" s="13">
        <v>8</v>
      </c>
      <c r="B289" s="14">
        <v>0.40972222222222227</v>
      </c>
      <c r="C289" s="15" t="s">
        <v>6</v>
      </c>
      <c r="D289" s="15">
        <v>-39</v>
      </c>
      <c r="E289" s="15" t="s">
        <v>29</v>
      </c>
      <c r="F289" s="16">
        <v>1</v>
      </c>
      <c r="K289" s="28">
        <f>((Table9[[#This Row],[SPOT PTS]]/2)*15)-65</f>
        <v>-357.5</v>
      </c>
      <c r="L289" s="28">
        <f t="shared" si="8"/>
        <v>12362.5</v>
      </c>
    </row>
    <row r="290" spans="1:12" ht="19.95" customHeight="1" thickBot="1" x14ac:dyDescent="0.35">
      <c r="A290" s="17">
        <v>8</v>
      </c>
      <c r="B290" s="18">
        <v>0.4513888888888889</v>
      </c>
      <c r="C290" s="19" t="s">
        <v>6</v>
      </c>
      <c r="D290" s="19">
        <v>-28</v>
      </c>
      <c r="E290" s="19" t="s">
        <v>29</v>
      </c>
      <c r="F290" s="20">
        <v>1</v>
      </c>
      <c r="K290" s="28">
        <f>((Table9[[#This Row],[SPOT PTS]]/2)*15)-65</f>
        <v>-275</v>
      </c>
      <c r="L290" s="28">
        <f t="shared" si="8"/>
        <v>12087.5</v>
      </c>
    </row>
    <row r="291" spans="1:12" ht="19.95" customHeight="1" x14ac:dyDescent="0.3">
      <c r="A291" s="13">
        <v>13</v>
      </c>
      <c r="B291" s="14">
        <v>0.46527777777777773</v>
      </c>
      <c r="C291" s="15" t="s">
        <v>6</v>
      </c>
      <c r="D291" s="15">
        <v>-30</v>
      </c>
      <c r="E291" s="15" t="s">
        <v>25</v>
      </c>
      <c r="F291" s="16">
        <v>1</v>
      </c>
      <c r="K291" s="28">
        <f>((Table9[[#This Row],[SPOT PTS]]/2)*15)-65</f>
        <v>-290</v>
      </c>
      <c r="L291" s="28">
        <f t="shared" si="8"/>
        <v>11797.5</v>
      </c>
    </row>
    <row r="292" spans="1:12" ht="19.95" customHeight="1" thickBot="1" x14ac:dyDescent="0.35">
      <c r="A292" s="17">
        <v>13</v>
      </c>
      <c r="B292" s="18">
        <v>4.1666666666666664E-2</v>
      </c>
      <c r="C292" s="19" t="s">
        <v>9</v>
      </c>
      <c r="D292" s="19">
        <v>80</v>
      </c>
      <c r="E292" s="19" t="s">
        <v>25</v>
      </c>
      <c r="F292" s="20">
        <v>2</v>
      </c>
      <c r="K292" s="28">
        <f>((Table9[[#This Row],[SPOT PTS]]/2)*15)-65</f>
        <v>535</v>
      </c>
      <c r="L292" s="28">
        <f t="shared" si="8"/>
        <v>12332.5</v>
      </c>
    </row>
    <row r="293" spans="1:12" ht="19.95" customHeight="1" x14ac:dyDescent="0.3">
      <c r="A293" s="13">
        <v>14</v>
      </c>
      <c r="B293" s="14">
        <v>0.40972222222222227</v>
      </c>
      <c r="C293" s="15" t="s">
        <v>6</v>
      </c>
      <c r="D293" s="15">
        <v>-27</v>
      </c>
      <c r="E293" s="15" t="s">
        <v>27</v>
      </c>
      <c r="F293" s="16">
        <v>1</v>
      </c>
      <c r="K293" s="28">
        <f>((Table9[[#This Row],[SPOT PTS]]/2)*15)-65</f>
        <v>-267.5</v>
      </c>
      <c r="L293" s="28">
        <f t="shared" si="8"/>
        <v>12065</v>
      </c>
    </row>
    <row r="294" spans="1:12" ht="19.95" customHeight="1" thickBot="1" x14ac:dyDescent="0.35">
      <c r="A294" s="17">
        <v>14</v>
      </c>
      <c r="B294" s="18">
        <v>6.25E-2</v>
      </c>
      <c r="C294" s="19" t="s">
        <v>6</v>
      </c>
      <c r="D294" s="19">
        <v>-21</v>
      </c>
      <c r="E294" s="19" t="s">
        <v>27</v>
      </c>
      <c r="F294" s="20">
        <v>2</v>
      </c>
      <c r="K294" s="28">
        <f>((Table9[[#This Row],[SPOT PTS]]/2)*15)-65</f>
        <v>-222.5</v>
      </c>
      <c r="L294" s="28">
        <f t="shared" si="8"/>
        <v>11842.5</v>
      </c>
    </row>
    <row r="295" spans="1:12" ht="19.95" customHeight="1" x14ac:dyDescent="0.3">
      <c r="A295" s="13">
        <v>15</v>
      </c>
      <c r="B295" s="14">
        <v>0.44791666666666669</v>
      </c>
      <c r="C295" s="15" t="s">
        <v>6</v>
      </c>
      <c r="D295" s="15">
        <v>-37</v>
      </c>
      <c r="E295" s="15" t="s">
        <v>29</v>
      </c>
      <c r="F295" s="16">
        <v>1</v>
      </c>
      <c r="K295" s="28">
        <f>((Table9[[#This Row],[SPOT PTS]]/2)*15)-65</f>
        <v>-342.5</v>
      </c>
      <c r="L295" s="28">
        <f t="shared" si="8"/>
        <v>11500</v>
      </c>
    </row>
    <row r="296" spans="1:12" ht="19.95" customHeight="1" thickBot="1" x14ac:dyDescent="0.35">
      <c r="A296" s="17">
        <v>15</v>
      </c>
      <c r="B296" s="18">
        <v>5.5555555555555552E-2</v>
      </c>
      <c r="C296" s="19" t="s">
        <v>6</v>
      </c>
      <c r="D296" s="19">
        <v>-17</v>
      </c>
      <c r="E296" s="19" t="s">
        <v>29</v>
      </c>
      <c r="F296" s="20">
        <v>2</v>
      </c>
      <c r="K296" s="28">
        <f>((Table9[[#This Row],[SPOT PTS]]/2)*15)-65</f>
        <v>-192.5</v>
      </c>
      <c r="L296" s="28">
        <f t="shared" si="8"/>
        <v>11307.5</v>
      </c>
    </row>
    <row r="297" spans="1:12" ht="19.95" customHeight="1" x14ac:dyDescent="0.3">
      <c r="A297" s="13">
        <v>17</v>
      </c>
      <c r="B297" s="14">
        <v>0.3888888888888889</v>
      </c>
      <c r="C297" s="15" t="s">
        <v>6</v>
      </c>
      <c r="D297" s="15">
        <v>-80</v>
      </c>
      <c r="E297" s="15" t="s">
        <v>23</v>
      </c>
      <c r="F297" s="16">
        <v>1</v>
      </c>
      <c r="K297" s="28">
        <f>((Table9[[#This Row],[SPOT PTS]]/2)*15)-65</f>
        <v>-665</v>
      </c>
      <c r="L297" s="28">
        <f t="shared" si="8"/>
        <v>10642.5</v>
      </c>
    </row>
    <row r="298" spans="1:12" ht="19.95" customHeight="1" thickBot="1" x14ac:dyDescent="0.35">
      <c r="A298" s="17">
        <v>17</v>
      </c>
      <c r="B298" s="18">
        <v>0.4548611111111111</v>
      </c>
      <c r="C298" s="19" t="s">
        <v>9</v>
      </c>
      <c r="D298" s="19">
        <v>192</v>
      </c>
      <c r="E298" s="19" t="s">
        <v>23</v>
      </c>
      <c r="F298" s="20">
        <v>1</v>
      </c>
      <c r="K298" s="28">
        <f>((Table9[[#This Row],[SPOT PTS]]/2)*15)-65</f>
        <v>1375</v>
      </c>
      <c r="L298" s="28">
        <f t="shared" si="8"/>
        <v>12017.5</v>
      </c>
    </row>
    <row r="299" spans="1:12" ht="19.95" customHeight="1" thickBot="1" x14ac:dyDescent="0.35">
      <c r="A299" s="24">
        <v>20</v>
      </c>
      <c r="B299" s="25">
        <v>0.43402777777777773</v>
      </c>
      <c r="C299" s="26" t="s">
        <v>6</v>
      </c>
      <c r="D299" s="26">
        <v>-51</v>
      </c>
      <c r="E299" s="26" t="s">
        <v>25</v>
      </c>
      <c r="F299" s="27">
        <v>1</v>
      </c>
      <c r="K299" s="28">
        <f>((Table9[[#This Row],[SPOT PTS]]/2)*15)-65</f>
        <v>-447.5</v>
      </c>
      <c r="L299" s="28">
        <f t="shared" si="8"/>
        <v>11570</v>
      </c>
    </row>
    <row r="300" spans="1:12" ht="19.95" customHeight="1" thickBot="1" x14ac:dyDescent="0.35">
      <c r="A300" s="24">
        <v>21</v>
      </c>
      <c r="B300" s="25">
        <v>0.50347222222222221</v>
      </c>
      <c r="C300" s="26" t="s">
        <v>6</v>
      </c>
      <c r="D300" s="26">
        <v>-51</v>
      </c>
      <c r="E300" s="26" t="s">
        <v>27</v>
      </c>
      <c r="F300" s="27">
        <v>2</v>
      </c>
      <c r="K300" s="28">
        <f>((Table9[[#This Row],[SPOT PTS]]/2)*15)-65</f>
        <v>-447.5</v>
      </c>
      <c r="L300" s="28">
        <f t="shared" si="8"/>
        <v>11122.5</v>
      </c>
    </row>
    <row r="301" spans="1:12" ht="19.95" customHeight="1" thickBot="1" x14ac:dyDescent="0.35">
      <c r="A301" s="24">
        <v>22</v>
      </c>
      <c r="B301" s="25">
        <v>0.50347222222222221</v>
      </c>
      <c r="C301" s="26" t="s">
        <v>6</v>
      </c>
      <c r="D301" s="26">
        <v>-44</v>
      </c>
      <c r="E301" s="26" t="s">
        <v>29</v>
      </c>
      <c r="F301" s="27">
        <v>2</v>
      </c>
      <c r="K301" s="28">
        <f>((Table9[[#This Row],[SPOT PTS]]/2)*15)-65</f>
        <v>-395</v>
      </c>
      <c r="L301" s="28">
        <f t="shared" si="8"/>
        <v>10727.5</v>
      </c>
    </row>
    <row r="302" spans="1:12" ht="19.95" customHeight="1" thickBot="1" x14ac:dyDescent="0.35">
      <c r="A302" s="24">
        <v>23</v>
      </c>
      <c r="B302" s="25">
        <v>0.4375</v>
      </c>
      <c r="C302" s="26" t="s">
        <v>6</v>
      </c>
      <c r="D302" s="26">
        <v>-60</v>
      </c>
      <c r="E302" s="26" t="s">
        <v>21</v>
      </c>
      <c r="F302" s="27">
        <v>1</v>
      </c>
      <c r="K302" s="28">
        <f>((Table9[[#This Row],[SPOT PTS]]/2)*15)-65</f>
        <v>-515</v>
      </c>
      <c r="L302" s="28">
        <f t="shared" si="8"/>
        <v>10212.5</v>
      </c>
    </row>
    <row r="303" spans="1:12" ht="19.95" customHeight="1" thickBot="1" x14ac:dyDescent="0.35">
      <c r="A303" s="24">
        <v>24</v>
      </c>
      <c r="B303" s="25">
        <v>0.3923611111111111</v>
      </c>
      <c r="C303" s="26" t="s">
        <v>9</v>
      </c>
      <c r="D303" s="26">
        <v>232</v>
      </c>
      <c r="E303" s="26" t="s">
        <v>23</v>
      </c>
      <c r="F303" s="27">
        <v>1</v>
      </c>
      <c r="K303" s="28">
        <f>((Table9[[#This Row],[SPOT PTS]]/2)*15)-65</f>
        <v>1675</v>
      </c>
      <c r="L303" s="28">
        <f t="shared" si="8"/>
        <v>11887.5</v>
      </c>
    </row>
    <row r="304" spans="1:12" ht="19.95" customHeight="1" thickBot="1" x14ac:dyDescent="0.35">
      <c r="A304" s="24">
        <v>27</v>
      </c>
      <c r="B304" s="25">
        <v>0.51388888888888895</v>
      </c>
      <c r="C304" s="26" t="s">
        <v>6</v>
      </c>
      <c r="D304" s="26">
        <v>-36</v>
      </c>
      <c r="E304" s="26" t="s">
        <v>25</v>
      </c>
      <c r="F304" s="27">
        <v>2</v>
      </c>
      <c r="K304" s="28">
        <f>((Table9[[#This Row],[SPOT PTS]]/2)*15)-65</f>
        <v>-335</v>
      </c>
      <c r="L304" s="28">
        <f t="shared" si="8"/>
        <v>11552.5</v>
      </c>
    </row>
    <row r="305" spans="1:12" ht="19.95" customHeight="1" thickBot="1" x14ac:dyDescent="0.35">
      <c r="A305" s="24">
        <v>28</v>
      </c>
      <c r="B305" s="25">
        <v>0.3888888888888889</v>
      </c>
      <c r="C305" s="26" t="s">
        <v>9</v>
      </c>
      <c r="D305" s="26">
        <v>247</v>
      </c>
      <c r="E305" s="26" t="s">
        <v>27</v>
      </c>
      <c r="F305" s="27">
        <v>1</v>
      </c>
      <c r="K305" s="28">
        <f>((Table9[[#This Row],[SPOT PTS]]/2)*15)-65</f>
        <v>1787.5</v>
      </c>
      <c r="L305" s="28">
        <f t="shared" si="8"/>
        <v>13340</v>
      </c>
    </row>
    <row r="306" spans="1:12" ht="19.95" customHeight="1" thickBot="1" x14ac:dyDescent="0.35">
      <c r="A306" s="24">
        <v>29</v>
      </c>
      <c r="B306" s="25">
        <v>0.43055555555555558</v>
      </c>
      <c r="C306" s="26" t="s">
        <v>9</v>
      </c>
      <c r="D306" s="26">
        <v>149</v>
      </c>
      <c r="E306" s="26" t="s">
        <v>29</v>
      </c>
      <c r="F306" s="27">
        <v>1</v>
      </c>
      <c r="K306" s="28">
        <f>((Table9[[#This Row],[SPOT PTS]]/2)*15)-65</f>
        <v>1052.5</v>
      </c>
      <c r="L306" s="28">
        <f t="shared" si="8"/>
        <v>14392.5</v>
      </c>
    </row>
    <row r="307" spans="1:12" ht="19.95" customHeight="1" x14ac:dyDescent="0.3">
      <c r="A307" s="13">
        <v>30</v>
      </c>
      <c r="B307" s="14">
        <v>0.40972222222222227</v>
      </c>
      <c r="C307" s="15" t="s">
        <v>6</v>
      </c>
      <c r="D307" s="15">
        <v>-80</v>
      </c>
      <c r="E307" s="15" t="s">
        <v>21</v>
      </c>
      <c r="F307" s="16">
        <v>1</v>
      </c>
      <c r="K307" s="28">
        <f>((Table9[[#This Row],[SPOT PTS]]/2)*15)-65</f>
        <v>-665</v>
      </c>
      <c r="L307" s="28">
        <f t="shared" si="8"/>
        <v>13727.5</v>
      </c>
    </row>
    <row r="308" spans="1:12" ht="19.95" customHeight="1" thickBot="1" x14ac:dyDescent="0.35">
      <c r="A308" s="17">
        <v>30</v>
      </c>
      <c r="B308" s="18">
        <v>0.51041666666666663</v>
      </c>
      <c r="C308" s="19" t="s">
        <v>9</v>
      </c>
      <c r="D308" s="19">
        <v>175</v>
      </c>
      <c r="E308" s="19" t="s">
        <v>21</v>
      </c>
      <c r="F308" s="20">
        <v>2</v>
      </c>
      <c r="K308" s="28">
        <f>((Table9[[#This Row],[SPOT PTS]]/2)*15)-65</f>
        <v>1247.5</v>
      </c>
      <c r="L308" s="28">
        <f t="shared" si="8"/>
        <v>14975</v>
      </c>
    </row>
    <row r="309" spans="1:12" ht="19.95" customHeight="1" x14ac:dyDescent="0.3">
      <c r="A309" s="40" t="s">
        <v>57</v>
      </c>
      <c r="B309" s="40"/>
      <c r="C309" s="40"/>
      <c r="D309" s="40"/>
      <c r="E309" s="40"/>
      <c r="F309" s="40"/>
    </row>
    <row r="310" spans="1:12" ht="19.95" customHeight="1" thickBot="1" x14ac:dyDescent="0.35">
      <c r="A310" s="34" t="s">
        <v>46</v>
      </c>
      <c r="B310" s="10" t="s">
        <v>47</v>
      </c>
      <c r="C310" s="10" t="s">
        <v>0</v>
      </c>
      <c r="D310" s="10" t="s">
        <v>48</v>
      </c>
      <c r="E310" s="10" t="s">
        <v>14</v>
      </c>
      <c r="F310" s="35" t="s">
        <v>49</v>
      </c>
      <c r="L310" s="28">
        <v>10000</v>
      </c>
    </row>
    <row r="311" spans="1:12" ht="19.95" customHeight="1" thickBot="1" x14ac:dyDescent="0.35">
      <c r="A311" s="24">
        <v>1</v>
      </c>
      <c r="B311" s="25">
        <v>0.4548611111111111</v>
      </c>
      <c r="C311" s="26" t="s">
        <v>9</v>
      </c>
      <c r="D311" s="26">
        <v>143</v>
      </c>
      <c r="E311" s="26" t="s">
        <v>29</v>
      </c>
      <c r="F311" s="27">
        <v>1</v>
      </c>
      <c r="H311" s="2" t="s">
        <v>38</v>
      </c>
      <c r="I311" s="2">
        <f>COUNT(Table10[DATE])</f>
        <v>33</v>
      </c>
      <c r="K311" s="28">
        <f>((Table10[[#This Row],[SPOT PTS]]/2)*15)-65</f>
        <v>1007.5</v>
      </c>
      <c r="L311" s="28">
        <f>K311+L310</f>
        <v>11007.5</v>
      </c>
    </row>
    <row r="312" spans="1:12" ht="19.95" customHeight="1" x14ac:dyDescent="0.3">
      <c r="A312" s="13">
        <v>4</v>
      </c>
      <c r="B312" s="14">
        <v>0.40625</v>
      </c>
      <c r="C312" s="15" t="s">
        <v>6</v>
      </c>
      <c r="D312" s="15">
        <v>-47</v>
      </c>
      <c r="E312" s="15" t="s">
        <v>25</v>
      </c>
      <c r="F312" s="16">
        <v>1</v>
      </c>
      <c r="H312" s="2" t="s">
        <v>39</v>
      </c>
      <c r="I312" s="3">
        <f>((COUNTIF(Table10[OUTCOME],"TARGET"))/I311)</f>
        <v>0.45454545454545453</v>
      </c>
      <c r="K312" s="28">
        <f>((Table10[[#This Row],[SPOT PTS]]/2)*15)-65</f>
        <v>-417.5</v>
      </c>
      <c r="L312" s="28">
        <f t="shared" ref="L312:L343" si="9">K312+L311</f>
        <v>10590</v>
      </c>
    </row>
    <row r="313" spans="1:12" ht="19.95" customHeight="1" x14ac:dyDescent="0.3">
      <c r="A313" s="21">
        <v>4</v>
      </c>
      <c r="B313" s="22">
        <v>0.45833333333333331</v>
      </c>
      <c r="C313" s="1" t="s">
        <v>6</v>
      </c>
      <c r="D313" s="1">
        <v>-29</v>
      </c>
      <c r="E313" s="1" t="s">
        <v>25</v>
      </c>
      <c r="F313" s="23">
        <v>1</v>
      </c>
      <c r="H313" s="2" t="s">
        <v>40</v>
      </c>
      <c r="I313" s="2">
        <f>SUM(Table10[SPOT PTS])</f>
        <v>1970</v>
      </c>
      <c r="K313" s="28">
        <f>((Table10[[#This Row],[SPOT PTS]]/2)*15)-65</f>
        <v>-282.5</v>
      </c>
      <c r="L313" s="28">
        <f t="shared" si="9"/>
        <v>10307.5</v>
      </c>
    </row>
    <row r="314" spans="1:12" ht="19.95" customHeight="1" thickBot="1" x14ac:dyDescent="0.35">
      <c r="A314" s="17">
        <v>4</v>
      </c>
      <c r="B314" s="18">
        <v>0.50694444444444442</v>
      </c>
      <c r="C314" s="19" t="s">
        <v>6</v>
      </c>
      <c r="D314" s="19">
        <v>-19</v>
      </c>
      <c r="E314" s="19" t="s">
        <v>25</v>
      </c>
      <c r="F314" s="20">
        <v>2</v>
      </c>
      <c r="H314" s="2" t="s">
        <v>10</v>
      </c>
      <c r="I314" s="2">
        <f>65*I311</f>
        <v>2145</v>
      </c>
      <c r="K314" s="28">
        <f>((Table10[[#This Row],[SPOT PTS]]/2)*15)-65</f>
        <v>-207.5</v>
      </c>
      <c r="L314" s="28">
        <f t="shared" si="9"/>
        <v>10100</v>
      </c>
    </row>
    <row r="315" spans="1:12" ht="19.95" customHeight="1" thickBot="1" x14ac:dyDescent="0.35">
      <c r="A315" s="24">
        <v>5</v>
      </c>
      <c r="B315" s="25">
        <v>0.43402777777777773</v>
      </c>
      <c r="C315" s="26" t="s">
        <v>9</v>
      </c>
      <c r="D315" s="26">
        <v>110</v>
      </c>
      <c r="E315" s="26" t="s">
        <v>27</v>
      </c>
      <c r="F315" s="27">
        <v>1</v>
      </c>
      <c r="H315" s="2" t="s">
        <v>41</v>
      </c>
      <c r="I315" s="2">
        <f>SUMIF(Table10[OUTCOME],"STOPLOSS",Table10[SPOT PTS])</f>
        <v>-984</v>
      </c>
      <c r="K315" s="28">
        <f>((Table10[[#This Row],[SPOT PTS]]/2)*15)-65</f>
        <v>760</v>
      </c>
      <c r="L315" s="28">
        <f t="shared" si="9"/>
        <v>10860</v>
      </c>
    </row>
    <row r="316" spans="1:12" ht="19.95" customHeight="1" thickBot="1" x14ac:dyDescent="0.35">
      <c r="A316" s="24">
        <v>6</v>
      </c>
      <c r="B316" s="25">
        <v>0.4236111111111111</v>
      </c>
      <c r="C316" s="26" t="s">
        <v>9</v>
      </c>
      <c r="D316" s="26">
        <v>140</v>
      </c>
      <c r="E316" s="26" t="s">
        <v>29</v>
      </c>
      <c r="F316" s="27">
        <v>1</v>
      </c>
      <c r="H316" s="2" t="s">
        <v>42</v>
      </c>
      <c r="I316" s="2">
        <f>SUMIF(Table10[OUTCOME],"TARGET",Table10[SPOT PTS])</f>
        <v>2954</v>
      </c>
      <c r="K316" s="28">
        <f>((Table10[[#This Row],[SPOT PTS]]/2)*15)-65</f>
        <v>985</v>
      </c>
      <c r="L316" s="28">
        <f t="shared" si="9"/>
        <v>11845</v>
      </c>
    </row>
    <row r="317" spans="1:12" ht="19.95" customHeight="1" x14ac:dyDescent="0.3">
      <c r="A317" s="13">
        <v>7</v>
      </c>
      <c r="B317" s="14">
        <v>0.3888888888888889</v>
      </c>
      <c r="C317" s="15" t="s">
        <v>6</v>
      </c>
      <c r="D317" s="15">
        <v>-80</v>
      </c>
      <c r="E317" s="15" t="s">
        <v>21</v>
      </c>
      <c r="F317" s="16">
        <v>1</v>
      </c>
      <c r="H317" s="2" t="s">
        <v>43</v>
      </c>
      <c r="I317" s="6">
        <f>(L343-L310)/L310</f>
        <v>1.2629999999999999</v>
      </c>
      <c r="K317" s="28">
        <f>((Table10[[#This Row],[SPOT PTS]]/2)*15)-65</f>
        <v>-665</v>
      </c>
      <c r="L317" s="28">
        <f t="shared" si="9"/>
        <v>11180</v>
      </c>
    </row>
    <row r="318" spans="1:12" ht="19.95" customHeight="1" thickBot="1" x14ac:dyDescent="0.35">
      <c r="A318" s="17">
        <v>7</v>
      </c>
      <c r="B318" s="18">
        <v>0.10416666666666667</v>
      </c>
      <c r="C318" s="19" t="s">
        <v>9</v>
      </c>
      <c r="D318" s="19">
        <v>95</v>
      </c>
      <c r="E318" s="19" t="s">
        <v>21</v>
      </c>
      <c r="F318" s="20">
        <v>2</v>
      </c>
      <c r="H318" s="2" t="s">
        <v>44</v>
      </c>
      <c r="I318" s="9">
        <f>((I313/2)*15)-I314</f>
        <v>12630</v>
      </c>
      <c r="K318" s="28">
        <f>((Table10[[#This Row],[SPOT PTS]]/2)*15)-65</f>
        <v>647.5</v>
      </c>
      <c r="L318" s="28">
        <f t="shared" si="9"/>
        <v>11827.5</v>
      </c>
    </row>
    <row r="319" spans="1:12" ht="19.95" customHeight="1" x14ac:dyDescent="0.3">
      <c r="A319" s="13">
        <v>8</v>
      </c>
      <c r="B319" s="14">
        <v>0.3923611111111111</v>
      </c>
      <c r="C319" s="15" t="s">
        <v>6</v>
      </c>
      <c r="D319" s="15">
        <v>-66</v>
      </c>
      <c r="E319" s="15" t="s">
        <v>23</v>
      </c>
      <c r="F319" s="16">
        <v>1</v>
      </c>
      <c r="K319" s="28">
        <f>((Table10[[#This Row],[SPOT PTS]]/2)*15)-65</f>
        <v>-560</v>
      </c>
      <c r="L319" s="28">
        <f t="shared" si="9"/>
        <v>11267.5</v>
      </c>
    </row>
    <row r="320" spans="1:12" ht="19.95" customHeight="1" thickBot="1" x14ac:dyDescent="0.35">
      <c r="A320" s="17">
        <v>8</v>
      </c>
      <c r="B320" s="18">
        <v>0.44791666666666669</v>
      </c>
      <c r="C320" s="19" t="s">
        <v>9</v>
      </c>
      <c r="D320" s="19">
        <v>256</v>
      </c>
      <c r="E320" s="19" t="s">
        <v>23</v>
      </c>
      <c r="F320" s="20">
        <v>1</v>
      </c>
      <c r="K320" s="28">
        <f>((Table10[[#This Row],[SPOT PTS]]/2)*15)-65</f>
        <v>1855</v>
      </c>
      <c r="L320" s="28">
        <f t="shared" si="9"/>
        <v>13122.5</v>
      </c>
    </row>
    <row r="321" spans="1:12" ht="19.95" customHeight="1" x14ac:dyDescent="0.3">
      <c r="A321" s="13">
        <v>11</v>
      </c>
      <c r="B321" s="14">
        <v>0.40277777777777773</v>
      </c>
      <c r="C321" s="15" t="s">
        <v>6</v>
      </c>
      <c r="D321" s="15">
        <v>-38</v>
      </c>
      <c r="E321" s="15" t="s">
        <v>25</v>
      </c>
      <c r="F321" s="16">
        <v>1</v>
      </c>
      <c r="K321" s="28">
        <f>((Table10[[#This Row],[SPOT PTS]]/2)*15)-65</f>
        <v>-350</v>
      </c>
      <c r="L321" s="28">
        <f t="shared" si="9"/>
        <v>12772.5</v>
      </c>
    </row>
    <row r="322" spans="1:12" ht="19.95" customHeight="1" x14ac:dyDescent="0.3">
      <c r="A322" s="21">
        <v>11</v>
      </c>
      <c r="B322" s="22">
        <v>0.4236111111111111</v>
      </c>
      <c r="C322" s="1" t="s">
        <v>6</v>
      </c>
      <c r="D322" s="1">
        <v>-38</v>
      </c>
      <c r="E322" s="1" t="s">
        <v>25</v>
      </c>
      <c r="F322" s="23">
        <v>1</v>
      </c>
      <c r="K322" s="28">
        <f>((Table10[[#This Row],[SPOT PTS]]/2)*15)-65</f>
        <v>-350</v>
      </c>
      <c r="L322" s="28">
        <f t="shared" si="9"/>
        <v>12422.5</v>
      </c>
    </row>
    <row r="323" spans="1:12" ht="19.95" customHeight="1" thickBot="1" x14ac:dyDescent="0.35">
      <c r="A323" s="17">
        <v>11</v>
      </c>
      <c r="B323" s="18">
        <v>4.8611111111111112E-2</v>
      </c>
      <c r="C323" s="19" t="s">
        <v>6</v>
      </c>
      <c r="D323" s="19">
        <v>-28</v>
      </c>
      <c r="E323" s="19" t="s">
        <v>25</v>
      </c>
      <c r="F323" s="20">
        <v>2</v>
      </c>
      <c r="K323" s="28">
        <f>((Table10[[#This Row],[SPOT PTS]]/2)*15)-65</f>
        <v>-275</v>
      </c>
      <c r="L323" s="28">
        <f t="shared" si="9"/>
        <v>12147.5</v>
      </c>
    </row>
    <row r="324" spans="1:12" ht="19.95" customHeight="1" thickBot="1" x14ac:dyDescent="0.35">
      <c r="A324" s="24">
        <v>12</v>
      </c>
      <c r="B324" s="25">
        <v>0.43055555555555558</v>
      </c>
      <c r="C324" s="26" t="s">
        <v>9</v>
      </c>
      <c r="D324" s="26">
        <v>104</v>
      </c>
      <c r="E324" s="26" t="s">
        <v>27</v>
      </c>
      <c r="F324" s="27">
        <v>1</v>
      </c>
      <c r="K324" s="28">
        <f>((Table10[[#This Row],[SPOT PTS]]/2)*15)-65</f>
        <v>715</v>
      </c>
      <c r="L324" s="28">
        <f t="shared" si="9"/>
        <v>12862.5</v>
      </c>
    </row>
    <row r="325" spans="1:12" ht="19.95" customHeight="1" thickBot="1" x14ac:dyDescent="0.35">
      <c r="A325" s="24">
        <v>13</v>
      </c>
      <c r="B325" s="25">
        <v>0.40277777777777773</v>
      </c>
      <c r="C325" s="26" t="s">
        <v>9</v>
      </c>
      <c r="D325" s="26">
        <v>141</v>
      </c>
      <c r="E325" s="26" t="s">
        <v>29</v>
      </c>
      <c r="F325" s="27">
        <v>1</v>
      </c>
      <c r="K325" s="28">
        <f>((Table10[[#This Row],[SPOT PTS]]/2)*15)-65</f>
        <v>992.5</v>
      </c>
      <c r="L325" s="28">
        <f t="shared" si="9"/>
        <v>13855</v>
      </c>
    </row>
    <row r="326" spans="1:12" ht="19.95" customHeight="1" x14ac:dyDescent="0.3">
      <c r="A326" s="13">
        <v>14</v>
      </c>
      <c r="B326" s="14">
        <v>0.49652777777777773</v>
      </c>
      <c r="C326" s="15" t="s">
        <v>6</v>
      </c>
      <c r="D326" s="15">
        <v>-30</v>
      </c>
      <c r="E326" s="15" t="s">
        <v>21</v>
      </c>
      <c r="F326" s="16">
        <v>1</v>
      </c>
      <c r="K326" s="28">
        <f>((Table10[[#This Row],[SPOT PTS]]/2)*15)-65</f>
        <v>-290</v>
      </c>
      <c r="L326" s="28">
        <f t="shared" si="9"/>
        <v>13565</v>
      </c>
    </row>
    <row r="327" spans="1:12" ht="19.95" customHeight="1" thickBot="1" x14ac:dyDescent="0.35">
      <c r="A327" s="17">
        <v>14</v>
      </c>
      <c r="B327" s="18">
        <v>0.10416666666666667</v>
      </c>
      <c r="C327" s="19" t="s">
        <v>6</v>
      </c>
      <c r="D327" s="19">
        <v>-65</v>
      </c>
      <c r="E327" s="19" t="s">
        <v>21</v>
      </c>
      <c r="F327" s="20">
        <v>2</v>
      </c>
      <c r="K327" s="28">
        <f>((Table10[[#This Row],[SPOT PTS]]/2)*15)-65</f>
        <v>-552.5</v>
      </c>
      <c r="L327" s="28">
        <f t="shared" si="9"/>
        <v>13012.5</v>
      </c>
    </row>
    <row r="328" spans="1:12" ht="19.95" customHeight="1" x14ac:dyDescent="0.3">
      <c r="A328" s="13">
        <v>18</v>
      </c>
      <c r="B328" s="14">
        <v>0.39930555555555558</v>
      </c>
      <c r="C328" s="15" t="s">
        <v>6</v>
      </c>
      <c r="D328" s="15">
        <v>-80</v>
      </c>
      <c r="E328" s="15" t="s">
        <v>25</v>
      </c>
      <c r="F328" s="16">
        <v>1</v>
      </c>
      <c r="K328" s="28">
        <f>((Table10[[#This Row],[SPOT PTS]]/2)*15)-65</f>
        <v>-665</v>
      </c>
      <c r="L328" s="28">
        <f t="shared" si="9"/>
        <v>12347.5</v>
      </c>
    </row>
    <row r="329" spans="1:12" ht="19.95" customHeight="1" thickBot="1" x14ac:dyDescent="0.35">
      <c r="A329" s="17">
        <v>18</v>
      </c>
      <c r="B329" s="18">
        <v>9.7222222222222224E-2</v>
      </c>
      <c r="C329" s="19" t="s">
        <v>9</v>
      </c>
      <c r="D329" s="19">
        <v>140</v>
      </c>
      <c r="E329" s="19" t="s">
        <v>25</v>
      </c>
      <c r="F329" s="20">
        <v>2</v>
      </c>
      <c r="K329" s="28">
        <f>((Table10[[#This Row],[SPOT PTS]]/2)*15)-65</f>
        <v>985</v>
      </c>
      <c r="L329" s="28">
        <f t="shared" si="9"/>
        <v>13332.5</v>
      </c>
    </row>
    <row r="330" spans="1:12" ht="19.95" customHeight="1" thickBot="1" x14ac:dyDescent="0.35">
      <c r="A330" s="24">
        <v>19</v>
      </c>
      <c r="B330" s="25">
        <v>0.39930555555555558</v>
      </c>
      <c r="C330" s="26" t="s">
        <v>9</v>
      </c>
      <c r="D330" s="26">
        <v>383</v>
      </c>
      <c r="E330" s="26" t="s">
        <v>27</v>
      </c>
      <c r="F330" s="27">
        <v>1</v>
      </c>
      <c r="K330" s="28">
        <f>((Table10[[#This Row],[SPOT PTS]]/2)*15)-65</f>
        <v>2807.5</v>
      </c>
      <c r="L330" s="28">
        <f t="shared" si="9"/>
        <v>16140</v>
      </c>
    </row>
    <row r="331" spans="1:12" ht="19.95" customHeight="1" x14ac:dyDescent="0.3">
      <c r="A331" s="13">
        <v>20</v>
      </c>
      <c r="B331" s="14">
        <v>0.43055555555555558</v>
      </c>
      <c r="C331" s="15" t="s">
        <v>6</v>
      </c>
      <c r="D331" s="15">
        <v>-52</v>
      </c>
      <c r="E331" s="15" t="s">
        <v>29</v>
      </c>
      <c r="F331" s="16">
        <v>1</v>
      </c>
      <c r="K331" s="28">
        <f>((Table10[[#This Row],[SPOT PTS]]/2)*15)-65</f>
        <v>-455</v>
      </c>
      <c r="L331" s="28">
        <f t="shared" si="9"/>
        <v>15685</v>
      </c>
    </row>
    <row r="332" spans="1:12" ht="19.95" customHeight="1" thickBot="1" x14ac:dyDescent="0.35">
      <c r="A332" s="17">
        <v>20</v>
      </c>
      <c r="B332" s="18">
        <v>5.5555555555555552E-2</v>
      </c>
      <c r="C332" s="19" t="s">
        <v>9</v>
      </c>
      <c r="D332" s="19">
        <v>210</v>
      </c>
      <c r="E332" s="19" t="s">
        <v>29</v>
      </c>
      <c r="F332" s="20">
        <v>2</v>
      </c>
      <c r="K332" s="28">
        <f>((Table10[[#This Row],[SPOT PTS]]/2)*15)-65</f>
        <v>1510</v>
      </c>
      <c r="L332" s="28">
        <f t="shared" si="9"/>
        <v>17195</v>
      </c>
    </row>
    <row r="333" spans="1:12" ht="19.95" customHeight="1" thickBot="1" x14ac:dyDescent="0.35">
      <c r="A333" s="24">
        <v>21</v>
      </c>
      <c r="B333" s="25">
        <v>0.3923611111111111</v>
      </c>
      <c r="C333" s="26" t="s">
        <v>6</v>
      </c>
      <c r="D333" s="26">
        <v>-80</v>
      </c>
      <c r="E333" s="26" t="s">
        <v>21</v>
      </c>
      <c r="F333" s="27">
        <v>1</v>
      </c>
      <c r="K333" s="28">
        <f>((Table10[[#This Row],[SPOT PTS]]/2)*15)-65</f>
        <v>-665</v>
      </c>
      <c r="L333" s="28">
        <f t="shared" si="9"/>
        <v>16530</v>
      </c>
    </row>
    <row r="334" spans="1:12" ht="19.95" customHeight="1" x14ac:dyDescent="0.3">
      <c r="A334" s="13">
        <v>22</v>
      </c>
      <c r="B334" s="14">
        <v>0.42708333333333331</v>
      </c>
      <c r="C334" s="15" t="s">
        <v>6</v>
      </c>
      <c r="D334" s="15">
        <v>-58</v>
      </c>
      <c r="E334" s="15" t="s">
        <v>23</v>
      </c>
      <c r="F334" s="16">
        <v>1</v>
      </c>
      <c r="K334" s="28">
        <f>((Table10[[#This Row],[SPOT PTS]]/2)*15)-65</f>
        <v>-500</v>
      </c>
      <c r="L334" s="28">
        <f t="shared" si="9"/>
        <v>16030</v>
      </c>
    </row>
    <row r="335" spans="1:12" ht="19.95" customHeight="1" x14ac:dyDescent="0.3">
      <c r="A335" s="21">
        <v>22</v>
      </c>
      <c r="B335" s="22">
        <v>0.44791666666666669</v>
      </c>
      <c r="C335" s="1" t="s">
        <v>6</v>
      </c>
      <c r="D335" s="1">
        <v>-36</v>
      </c>
      <c r="E335" s="1" t="s">
        <v>23</v>
      </c>
      <c r="F335" s="23">
        <v>1</v>
      </c>
      <c r="K335" s="28">
        <f>((Table10[[#This Row],[SPOT PTS]]/2)*15)-65</f>
        <v>-335</v>
      </c>
      <c r="L335" s="28">
        <f t="shared" si="9"/>
        <v>15695</v>
      </c>
    </row>
    <row r="336" spans="1:12" ht="19.95" customHeight="1" thickBot="1" x14ac:dyDescent="0.35">
      <c r="A336" s="17">
        <v>22</v>
      </c>
      <c r="B336" s="18">
        <v>0.46875</v>
      </c>
      <c r="C336" s="19" t="s">
        <v>9</v>
      </c>
      <c r="D336" s="19">
        <v>231</v>
      </c>
      <c r="E336" s="19" t="s">
        <v>23</v>
      </c>
      <c r="F336" s="20">
        <v>1</v>
      </c>
      <c r="K336" s="28">
        <f>((Table10[[#This Row],[SPOT PTS]]/2)*15)-65</f>
        <v>1667.5</v>
      </c>
      <c r="L336" s="28">
        <f t="shared" si="9"/>
        <v>17362.5</v>
      </c>
    </row>
    <row r="337" spans="1:12" ht="19.95" customHeight="1" x14ac:dyDescent="0.3">
      <c r="A337" s="13">
        <v>25</v>
      </c>
      <c r="B337" s="14">
        <v>0.40625</v>
      </c>
      <c r="C337" s="15" t="s">
        <v>6</v>
      </c>
      <c r="D337" s="15">
        <v>-78</v>
      </c>
      <c r="E337" s="15" t="s">
        <v>25</v>
      </c>
      <c r="F337" s="16">
        <v>1</v>
      </c>
      <c r="K337" s="28">
        <f>((Table10[[#This Row],[SPOT PTS]]/2)*15)-65</f>
        <v>-650</v>
      </c>
      <c r="L337" s="28">
        <f t="shared" si="9"/>
        <v>16712.5</v>
      </c>
    </row>
    <row r="338" spans="1:12" ht="19.95" customHeight="1" x14ac:dyDescent="0.3">
      <c r="A338" s="21">
        <v>25</v>
      </c>
      <c r="B338" s="22">
        <v>0.4513888888888889</v>
      </c>
      <c r="C338" s="1" t="s">
        <v>6</v>
      </c>
      <c r="D338" s="1">
        <v>-80</v>
      </c>
      <c r="E338" s="1" t="s">
        <v>25</v>
      </c>
      <c r="F338" s="23">
        <v>1</v>
      </c>
      <c r="K338" s="28">
        <f>((Table10[[#This Row],[SPOT PTS]]/2)*15)-65</f>
        <v>-665</v>
      </c>
      <c r="L338" s="28">
        <f t="shared" si="9"/>
        <v>16047.5</v>
      </c>
    </row>
    <row r="339" spans="1:12" ht="19.95" customHeight="1" thickBot="1" x14ac:dyDescent="0.35">
      <c r="A339" s="17">
        <v>25</v>
      </c>
      <c r="B339" s="18">
        <v>0.50694444444444442</v>
      </c>
      <c r="C339" s="19" t="s">
        <v>6</v>
      </c>
      <c r="D339" s="19">
        <v>-80</v>
      </c>
      <c r="E339" s="19" t="s">
        <v>25</v>
      </c>
      <c r="F339" s="20">
        <v>2</v>
      </c>
      <c r="K339" s="28">
        <f>((Table10[[#This Row],[SPOT PTS]]/2)*15)-65</f>
        <v>-665</v>
      </c>
      <c r="L339" s="28">
        <f t="shared" si="9"/>
        <v>15382.5</v>
      </c>
    </row>
    <row r="340" spans="1:12" ht="19.95" customHeight="1" thickBot="1" x14ac:dyDescent="0.35">
      <c r="A340" s="24">
        <v>26</v>
      </c>
      <c r="B340" s="25">
        <v>0.50694444444444442</v>
      </c>
      <c r="C340" s="26" t="s">
        <v>9</v>
      </c>
      <c r="D340" s="26">
        <v>245</v>
      </c>
      <c r="E340" s="26" t="s">
        <v>27</v>
      </c>
      <c r="F340" s="27">
        <v>1</v>
      </c>
      <c r="K340" s="28">
        <f>((Table10[[#This Row],[SPOT PTS]]/2)*15)-65</f>
        <v>1772.5</v>
      </c>
      <c r="L340" s="28">
        <f t="shared" si="9"/>
        <v>17155</v>
      </c>
    </row>
    <row r="341" spans="1:12" ht="19.95" customHeight="1" thickBot="1" x14ac:dyDescent="0.35">
      <c r="A341" s="24">
        <v>27</v>
      </c>
      <c r="B341" s="25">
        <v>0.4201388888888889</v>
      </c>
      <c r="C341" s="26" t="s">
        <v>9</v>
      </c>
      <c r="D341" s="26">
        <v>223</v>
      </c>
      <c r="E341" s="26" t="s">
        <v>29</v>
      </c>
      <c r="F341" s="27">
        <v>1</v>
      </c>
      <c r="K341" s="28">
        <f>((Table10[[#This Row],[SPOT PTS]]/2)*15)-65</f>
        <v>1607.5</v>
      </c>
      <c r="L341" s="28">
        <f t="shared" si="9"/>
        <v>18762.5</v>
      </c>
    </row>
    <row r="342" spans="1:12" ht="19.95" customHeight="1" thickBot="1" x14ac:dyDescent="0.35">
      <c r="A342" s="24">
        <v>28</v>
      </c>
      <c r="B342" s="25">
        <v>4.8611111111111112E-2</v>
      </c>
      <c r="C342" s="26" t="s">
        <v>9</v>
      </c>
      <c r="D342" s="26">
        <v>292</v>
      </c>
      <c r="E342" s="26" t="s">
        <v>21</v>
      </c>
      <c r="F342" s="27">
        <v>2</v>
      </c>
      <c r="K342" s="28">
        <f>((Table10[[#This Row],[SPOT PTS]]/2)*15)-65</f>
        <v>2125</v>
      </c>
      <c r="L342" s="28">
        <f t="shared" si="9"/>
        <v>20887.5</v>
      </c>
    </row>
    <row r="343" spans="1:12" ht="19.95" customHeight="1" thickBot="1" x14ac:dyDescent="0.35">
      <c r="A343" s="24">
        <v>29</v>
      </c>
      <c r="B343" s="25">
        <v>0.4548611111111111</v>
      </c>
      <c r="C343" s="26" t="s">
        <v>9</v>
      </c>
      <c r="D343" s="26">
        <v>241</v>
      </c>
      <c r="E343" s="26" t="s">
        <v>23</v>
      </c>
      <c r="F343" s="27">
        <v>1</v>
      </c>
      <c r="K343" s="28">
        <f>((Table10[[#This Row],[SPOT PTS]]/2)*15)-65</f>
        <v>1742.5</v>
      </c>
      <c r="L343" s="28">
        <f t="shared" si="9"/>
        <v>22630</v>
      </c>
    </row>
    <row r="344" spans="1:12" ht="19.95" customHeight="1" x14ac:dyDescent="0.3">
      <c r="A344" s="40" t="s">
        <v>58</v>
      </c>
      <c r="B344" s="40"/>
      <c r="C344" s="40"/>
      <c r="D344" s="40"/>
      <c r="E344" s="40"/>
      <c r="F344" s="40"/>
    </row>
    <row r="345" spans="1:12" ht="19.95" customHeight="1" thickBot="1" x14ac:dyDescent="0.35">
      <c r="A345" s="34" t="s">
        <v>46</v>
      </c>
      <c r="B345" s="10" t="s">
        <v>47</v>
      </c>
      <c r="C345" s="10" t="s">
        <v>0</v>
      </c>
      <c r="D345" s="10" t="s">
        <v>48</v>
      </c>
      <c r="E345" s="10" t="s">
        <v>14</v>
      </c>
      <c r="F345" s="35" t="s">
        <v>49</v>
      </c>
      <c r="L345" s="28">
        <v>10000</v>
      </c>
    </row>
    <row r="346" spans="1:12" ht="19.95" customHeight="1" x14ac:dyDescent="0.3">
      <c r="A346" s="13">
        <v>1</v>
      </c>
      <c r="B346" s="14">
        <v>0.3888888888888889</v>
      </c>
      <c r="C346" s="15" t="s">
        <v>6</v>
      </c>
      <c r="D346" s="15">
        <v>-80</v>
      </c>
      <c r="E346" s="15" t="s">
        <v>25</v>
      </c>
      <c r="F346" s="16">
        <v>1</v>
      </c>
      <c r="H346" s="2" t="s">
        <v>38</v>
      </c>
      <c r="I346" s="2">
        <f>COUNT(Table11[DATE])</f>
        <v>24</v>
      </c>
      <c r="K346" s="28">
        <f>((Table11[[#This Row],[SPOT PTS]]/2)*15)-65</f>
        <v>-665</v>
      </c>
      <c r="L346" s="28">
        <f>K346+L345</f>
        <v>9335</v>
      </c>
    </row>
    <row r="347" spans="1:12" ht="19.95" customHeight="1" thickBot="1" x14ac:dyDescent="0.35">
      <c r="A347" s="17">
        <v>1</v>
      </c>
      <c r="B347" s="18">
        <v>0.4201388888888889</v>
      </c>
      <c r="C347" s="19" t="s">
        <v>9</v>
      </c>
      <c r="D347" s="19">
        <v>245</v>
      </c>
      <c r="E347" s="19" t="s">
        <v>25</v>
      </c>
      <c r="F347" s="20">
        <v>1</v>
      </c>
      <c r="H347" s="2" t="s">
        <v>39</v>
      </c>
      <c r="I347" s="3">
        <f>((COUNTIF(Table11[OUTCOME],"TARGET"))/I346)</f>
        <v>0.45833333333333331</v>
      </c>
      <c r="K347" s="28">
        <f>((Table11[[#This Row],[SPOT PTS]]/2)*15)-65</f>
        <v>1772.5</v>
      </c>
      <c r="L347" s="28">
        <f t="shared" ref="L347:L369" si="10">K347+L346</f>
        <v>11107.5</v>
      </c>
    </row>
    <row r="348" spans="1:12" ht="19.95" customHeight="1" thickBot="1" x14ac:dyDescent="0.35">
      <c r="A348" s="24">
        <v>2</v>
      </c>
      <c r="B348" s="25">
        <v>0.4826388888888889</v>
      </c>
      <c r="C348" s="26" t="s">
        <v>6</v>
      </c>
      <c r="D348" s="26">
        <v>-76</v>
      </c>
      <c r="E348" s="26" t="s">
        <v>27</v>
      </c>
      <c r="F348" s="27">
        <v>1</v>
      </c>
      <c r="H348" s="2" t="s">
        <v>40</v>
      </c>
      <c r="I348" s="2">
        <f>SUM(Table11[SPOT PTS])</f>
        <v>1052</v>
      </c>
      <c r="K348" s="28">
        <f>((Table11[[#This Row],[SPOT PTS]]/2)*15)-65</f>
        <v>-635</v>
      </c>
      <c r="L348" s="28">
        <f t="shared" si="10"/>
        <v>10472.5</v>
      </c>
    </row>
    <row r="349" spans="1:12" ht="19.95" customHeight="1" thickBot="1" x14ac:dyDescent="0.35">
      <c r="A349" s="24">
        <v>3</v>
      </c>
      <c r="B349" s="25">
        <v>8.6805555555555566E-2</v>
      </c>
      <c r="C349" s="26" t="s">
        <v>9</v>
      </c>
      <c r="D349" s="26">
        <v>260</v>
      </c>
      <c r="E349" s="26" t="s">
        <v>29</v>
      </c>
      <c r="F349" s="27">
        <v>2</v>
      </c>
      <c r="H349" s="2" t="s">
        <v>10</v>
      </c>
      <c r="I349" s="2">
        <f>65*I346</f>
        <v>1560</v>
      </c>
      <c r="K349" s="28">
        <f>((Table11[[#This Row],[SPOT PTS]]/2)*15)-65</f>
        <v>1885</v>
      </c>
      <c r="L349" s="28">
        <f t="shared" si="10"/>
        <v>12357.5</v>
      </c>
    </row>
    <row r="350" spans="1:12" ht="19.95" customHeight="1" thickBot="1" x14ac:dyDescent="0.35">
      <c r="A350" s="24">
        <v>8</v>
      </c>
      <c r="B350" s="25">
        <v>0.46875</v>
      </c>
      <c r="C350" s="26" t="s">
        <v>9</v>
      </c>
      <c r="D350" s="26">
        <v>116</v>
      </c>
      <c r="E350" s="26" t="s">
        <v>25</v>
      </c>
      <c r="F350" s="27">
        <v>1</v>
      </c>
      <c r="H350" s="2" t="s">
        <v>41</v>
      </c>
      <c r="I350" s="2">
        <f>SUMIF(Table11[OUTCOME],"STOPLOSS",Table11[SPOT PTS])</f>
        <v>-754</v>
      </c>
      <c r="K350" s="28">
        <f>((Table11[[#This Row],[SPOT PTS]]/2)*15)-65</f>
        <v>805</v>
      </c>
      <c r="L350" s="28">
        <f t="shared" si="10"/>
        <v>13162.5</v>
      </c>
    </row>
    <row r="351" spans="1:12" ht="19.95" customHeight="1" thickBot="1" x14ac:dyDescent="0.35">
      <c r="A351" s="24">
        <v>9</v>
      </c>
      <c r="B351" s="25">
        <v>0.40625</v>
      </c>
      <c r="C351" s="26" t="s">
        <v>9</v>
      </c>
      <c r="D351" s="26">
        <v>125</v>
      </c>
      <c r="E351" s="26" t="s">
        <v>27</v>
      </c>
      <c r="F351" s="27">
        <v>1</v>
      </c>
      <c r="H351" s="2" t="s">
        <v>42</v>
      </c>
      <c r="I351" s="2">
        <f>SUMIF(Table11[OUTCOME],"TARGET",Table11[SPOT PTS])</f>
        <v>1806</v>
      </c>
      <c r="K351" s="28">
        <f>((Table11[[#This Row],[SPOT PTS]]/2)*15)-65</f>
        <v>872.5</v>
      </c>
      <c r="L351" s="28">
        <f t="shared" si="10"/>
        <v>14035</v>
      </c>
    </row>
    <row r="352" spans="1:12" ht="19.95" customHeight="1" thickBot="1" x14ac:dyDescent="0.35">
      <c r="A352" s="24">
        <v>10</v>
      </c>
      <c r="B352" s="25">
        <v>0.52083333333333337</v>
      </c>
      <c r="C352" s="26" t="s">
        <v>6</v>
      </c>
      <c r="D352" s="26">
        <v>-28</v>
      </c>
      <c r="E352" s="26" t="s">
        <v>29</v>
      </c>
      <c r="F352" s="27">
        <v>1</v>
      </c>
      <c r="H352" s="2" t="s">
        <v>43</v>
      </c>
      <c r="I352" s="6">
        <f>(L369-L345)/L345</f>
        <v>0.63300000000000001</v>
      </c>
      <c r="K352" s="28">
        <f>((Table11[[#This Row],[SPOT PTS]]/2)*15)-65</f>
        <v>-275</v>
      </c>
      <c r="L352" s="28">
        <f t="shared" si="10"/>
        <v>13760</v>
      </c>
    </row>
    <row r="353" spans="1:12" ht="19.95" customHeight="1" thickBot="1" x14ac:dyDescent="0.35">
      <c r="A353" s="24">
        <v>11</v>
      </c>
      <c r="B353" s="25">
        <v>0.50347222222222221</v>
      </c>
      <c r="C353" s="26" t="s">
        <v>9</v>
      </c>
      <c r="D353" s="26">
        <v>140</v>
      </c>
      <c r="E353" s="26" t="s">
        <v>21</v>
      </c>
      <c r="F353" s="27">
        <v>1</v>
      </c>
      <c r="H353" s="2" t="s">
        <v>44</v>
      </c>
      <c r="I353" s="9">
        <f>((I348/2)*15)-I349</f>
        <v>6330</v>
      </c>
      <c r="K353" s="28">
        <f>((Table11[[#This Row],[SPOT PTS]]/2)*15)-65</f>
        <v>985</v>
      </c>
      <c r="L353" s="28">
        <f t="shared" si="10"/>
        <v>14745</v>
      </c>
    </row>
    <row r="354" spans="1:12" ht="19.95" customHeight="1" thickBot="1" x14ac:dyDescent="0.35">
      <c r="A354" s="24">
        <v>12</v>
      </c>
      <c r="B354" s="25">
        <v>0.3888888888888889</v>
      </c>
      <c r="C354" s="26" t="s">
        <v>6</v>
      </c>
      <c r="D354" s="26">
        <v>-78</v>
      </c>
      <c r="E354" s="26" t="s">
        <v>23</v>
      </c>
      <c r="F354" s="27">
        <v>1</v>
      </c>
      <c r="K354" s="28">
        <f>((Table11[[#This Row],[SPOT PTS]]/2)*15)-65</f>
        <v>-650</v>
      </c>
      <c r="L354" s="28">
        <f t="shared" si="10"/>
        <v>14095</v>
      </c>
    </row>
    <row r="355" spans="1:12" ht="19.95" customHeight="1" thickBot="1" x14ac:dyDescent="0.35">
      <c r="A355" s="24">
        <v>15</v>
      </c>
      <c r="B355" s="25">
        <v>0.3923611111111111</v>
      </c>
      <c r="C355" s="26" t="s">
        <v>9</v>
      </c>
      <c r="D355" s="26">
        <v>185</v>
      </c>
      <c r="E355" s="26" t="s">
        <v>25</v>
      </c>
      <c r="F355" s="27">
        <v>1</v>
      </c>
      <c r="K355" s="28">
        <f>((Table11[[#This Row],[SPOT PTS]]/2)*15)-65</f>
        <v>1322.5</v>
      </c>
      <c r="L355" s="28">
        <f t="shared" si="10"/>
        <v>15417.5</v>
      </c>
    </row>
    <row r="356" spans="1:12" ht="19.95" customHeight="1" thickBot="1" x14ac:dyDescent="0.35">
      <c r="A356" s="24">
        <v>16</v>
      </c>
      <c r="B356" s="25">
        <v>0.42708333333333331</v>
      </c>
      <c r="C356" s="26" t="s">
        <v>9</v>
      </c>
      <c r="D356" s="26">
        <v>61</v>
      </c>
      <c r="E356" s="26" t="s">
        <v>27</v>
      </c>
      <c r="F356" s="27">
        <v>1</v>
      </c>
      <c r="K356" s="28">
        <f>((Table11[[#This Row],[SPOT PTS]]/2)*15)-65</f>
        <v>392.5</v>
      </c>
      <c r="L356" s="28">
        <f t="shared" si="10"/>
        <v>15810</v>
      </c>
    </row>
    <row r="357" spans="1:12" ht="19.95" customHeight="1" x14ac:dyDescent="0.3">
      <c r="A357" s="13">
        <v>17</v>
      </c>
      <c r="B357" s="14">
        <v>0.42708333333333331</v>
      </c>
      <c r="C357" s="15" t="s">
        <v>6</v>
      </c>
      <c r="D357" s="15">
        <v>-62</v>
      </c>
      <c r="E357" s="15" t="s">
        <v>29</v>
      </c>
      <c r="F357" s="16">
        <v>1</v>
      </c>
      <c r="K357" s="28">
        <f>((Table11[[#This Row],[SPOT PTS]]/2)*15)-65</f>
        <v>-530</v>
      </c>
      <c r="L357" s="28">
        <f t="shared" si="10"/>
        <v>15280</v>
      </c>
    </row>
    <row r="358" spans="1:12" ht="19.95" customHeight="1" x14ac:dyDescent="0.3">
      <c r="A358" s="21">
        <v>17</v>
      </c>
      <c r="B358" s="22">
        <v>0.42708333333333331</v>
      </c>
      <c r="C358" s="1" t="s">
        <v>6</v>
      </c>
      <c r="D358" s="1">
        <v>-43</v>
      </c>
      <c r="E358" s="1" t="s">
        <v>29</v>
      </c>
      <c r="F358" s="23">
        <v>1</v>
      </c>
      <c r="K358" s="28">
        <f>((Table11[[#This Row],[SPOT PTS]]/2)*15)-65</f>
        <v>-387.5</v>
      </c>
      <c r="L358" s="28">
        <f t="shared" si="10"/>
        <v>14892.5</v>
      </c>
    </row>
    <row r="359" spans="1:12" ht="19.95" customHeight="1" thickBot="1" x14ac:dyDescent="0.35">
      <c r="A359" s="17">
        <v>17</v>
      </c>
      <c r="B359" s="18">
        <v>6.5972222222222224E-2</v>
      </c>
      <c r="C359" s="19" t="s">
        <v>6</v>
      </c>
      <c r="D359" s="19">
        <v>-47</v>
      </c>
      <c r="E359" s="19" t="s">
        <v>29</v>
      </c>
      <c r="F359" s="20">
        <v>2</v>
      </c>
      <c r="K359" s="28">
        <f>((Table11[[#This Row],[SPOT PTS]]/2)*15)-65</f>
        <v>-417.5</v>
      </c>
      <c r="L359" s="28">
        <f t="shared" si="10"/>
        <v>14475</v>
      </c>
    </row>
    <row r="360" spans="1:12" ht="19.95" customHeight="1" thickBot="1" x14ac:dyDescent="0.35">
      <c r="A360" s="24">
        <v>18</v>
      </c>
      <c r="B360" s="25">
        <v>0.3923611111111111</v>
      </c>
      <c r="C360" s="26" t="s">
        <v>9</v>
      </c>
      <c r="D360" s="26">
        <v>196</v>
      </c>
      <c r="E360" s="26" t="s">
        <v>21</v>
      </c>
      <c r="F360" s="27">
        <v>1</v>
      </c>
      <c r="K360" s="28">
        <f>((Table11[[#This Row],[SPOT PTS]]/2)*15)-65</f>
        <v>1405</v>
      </c>
      <c r="L360" s="28">
        <f t="shared" si="10"/>
        <v>15880</v>
      </c>
    </row>
    <row r="361" spans="1:12" ht="19.95" customHeight="1" thickBot="1" x14ac:dyDescent="0.35">
      <c r="A361" s="24">
        <v>23</v>
      </c>
      <c r="B361" s="25">
        <v>0.4201388888888889</v>
      </c>
      <c r="C361" s="26" t="s">
        <v>9</v>
      </c>
      <c r="D361" s="26">
        <v>166</v>
      </c>
      <c r="E361" s="26" t="s">
        <v>25</v>
      </c>
      <c r="F361" s="27">
        <v>1</v>
      </c>
      <c r="K361" s="28">
        <f>((Table11[[#This Row],[SPOT PTS]]/2)*15)-65</f>
        <v>1180</v>
      </c>
      <c r="L361" s="28">
        <f t="shared" si="10"/>
        <v>17060</v>
      </c>
    </row>
    <row r="362" spans="1:12" ht="19.95" customHeight="1" x14ac:dyDescent="0.3">
      <c r="A362" s="13">
        <v>24</v>
      </c>
      <c r="B362" s="14">
        <v>0.39930555555555558</v>
      </c>
      <c r="C362" s="15" t="s">
        <v>6</v>
      </c>
      <c r="D362" s="15">
        <v>-56</v>
      </c>
      <c r="E362" s="15" t="s">
        <v>27</v>
      </c>
      <c r="F362" s="16">
        <v>1</v>
      </c>
      <c r="K362" s="28">
        <f>((Table11[[#This Row],[SPOT PTS]]/2)*15)-65</f>
        <v>-485</v>
      </c>
      <c r="L362" s="28">
        <f t="shared" si="10"/>
        <v>16575</v>
      </c>
    </row>
    <row r="363" spans="1:12" ht="19.95" customHeight="1" x14ac:dyDescent="0.3">
      <c r="A363" s="21">
        <v>24</v>
      </c>
      <c r="B363" s="22">
        <v>0.49652777777777773</v>
      </c>
      <c r="C363" s="1" t="s">
        <v>6</v>
      </c>
      <c r="D363" s="1">
        <v>-31</v>
      </c>
      <c r="E363" s="1" t="s">
        <v>27</v>
      </c>
      <c r="F363" s="23">
        <v>1</v>
      </c>
      <c r="K363" s="28">
        <f>((Table11[[#This Row],[SPOT PTS]]/2)*15)-65</f>
        <v>-297.5</v>
      </c>
      <c r="L363" s="28">
        <f t="shared" si="10"/>
        <v>16277.5</v>
      </c>
    </row>
    <row r="364" spans="1:12" ht="19.95" customHeight="1" thickBot="1" x14ac:dyDescent="0.35">
      <c r="A364" s="17">
        <v>24</v>
      </c>
      <c r="B364" s="18">
        <v>0.53819444444444442</v>
      </c>
      <c r="C364" s="19" t="s">
        <v>9</v>
      </c>
      <c r="D364" s="19">
        <v>132</v>
      </c>
      <c r="E364" s="19" t="s">
        <v>27</v>
      </c>
      <c r="F364" s="20">
        <v>2</v>
      </c>
      <c r="K364" s="28">
        <f>((Table11[[#This Row],[SPOT PTS]]/2)*15)-65</f>
        <v>925</v>
      </c>
      <c r="L364" s="28">
        <f t="shared" si="10"/>
        <v>17202.5</v>
      </c>
    </row>
    <row r="365" spans="1:12" ht="19.95" customHeight="1" thickBot="1" x14ac:dyDescent="0.35">
      <c r="A365" s="24">
        <v>25</v>
      </c>
      <c r="B365" s="25">
        <v>0.4826388888888889</v>
      </c>
      <c r="C365" s="26" t="s">
        <v>9</v>
      </c>
      <c r="D365" s="26">
        <v>180</v>
      </c>
      <c r="E365" s="26" t="s">
        <v>29</v>
      </c>
      <c r="F365" s="27">
        <v>1</v>
      </c>
      <c r="K365" s="28">
        <f>((Table11[[#This Row],[SPOT PTS]]/2)*15)-65</f>
        <v>1285</v>
      </c>
      <c r="L365" s="28">
        <f t="shared" si="10"/>
        <v>18487.5</v>
      </c>
    </row>
    <row r="366" spans="1:12" ht="19.95" customHeight="1" thickBot="1" x14ac:dyDescent="0.35">
      <c r="A366" s="24">
        <v>29</v>
      </c>
      <c r="B366" s="25">
        <v>0.41319444444444442</v>
      </c>
      <c r="C366" s="26" t="s">
        <v>6</v>
      </c>
      <c r="D366" s="26">
        <v>-80</v>
      </c>
      <c r="E366" s="26" t="s">
        <v>25</v>
      </c>
      <c r="F366" s="27">
        <v>1</v>
      </c>
      <c r="K366" s="28">
        <f>((Table11[[#This Row],[SPOT PTS]]/2)*15)-65</f>
        <v>-665</v>
      </c>
      <c r="L366" s="28">
        <f t="shared" si="10"/>
        <v>17822.5</v>
      </c>
    </row>
    <row r="367" spans="1:12" ht="19.95" customHeight="1" x14ac:dyDescent="0.3">
      <c r="A367" s="13">
        <v>30</v>
      </c>
      <c r="B367" s="14">
        <v>0.40277777777777773</v>
      </c>
      <c r="C367" s="15" t="s">
        <v>6</v>
      </c>
      <c r="D367" s="15">
        <v>-65</v>
      </c>
      <c r="E367" s="15" t="s">
        <v>27</v>
      </c>
      <c r="F367" s="16">
        <v>1</v>
      </c>
      <c r="K367" s="28">
        <f>((Table11[[#This Row],[SPOT PTS]]/2)*15)-65</f>
        <v>-552.5</v>
      </c>
      <c r="L367" s="28">
        <f t="shared" si="10"/>
        <v>17270</v>
      </c>
    </row>
    <row r="368" spans="1:12" ht="19.95" customHeight="1" x14ac:dyDescent="0.3">
      <c r="A368" s="21">
        <v>30</v>
      </c>
      <c r="B368" s="22">
        <v>0.42708333333333331</v>
      </c>
      <c r="C368" s="1" t="s">
        <v>6</v>
      </c>
      <c r="D368" s="1">
        <v>-47</v>
      </c>
      <c r="E368" s="1" t="s">
        <v>27</v>
      </c>
      <c r="F368" s="23">
        <v>1</v>
      </c>
      <c r="K368" s="28">
        <f>((Table11[[#This Row],[SPOT PTS]]/2)*15)-65</f>
        <v>-417.5</v>
      </c>
      <c r="L368" s="28">
        <f t="shared" si="10"/>
        <v>16852.5</v>
      </c>
    </row>
    <row r="369" spans="1:12" ht="19.95" customHeight="1" thickBot="1" x14ac:dyDescent="0.35">
      <c r="A369" s="17">
        <v>30</v>
      </c>
      <c r="B369" s="18">
        <v>0.44097222222222227</v>
      </c>
      <c r="C369" s="19" t="s">
        <v>6</v>
      </c>
      <c r="D369" s="19">
        <v>-61</v>
      </c>
      <c r="E369" s="19" t="s">
        <v>27</v>
      </c>
      <c r="F369" s="20">
        <v>1</v>
      </c>
      <c r="K369" s="28">
        <f>((Table11[[#This Row],[SPOT PTS]]/2)*15)-65</f>
        <v>-522.5</v>
      </c>
      <c r="L369" s="28">
        <f t="shared" si="10"/>
        <v>16330</v>
      </c>
    </row>
    <row r="370" spans="1:12" ht="19.95" customHeight="1" x14ac:dyDescent="0.3">
      <c r="A370" s="40" t="s">
        <v>59</v>
      </c>
      <c r="B370" s="40"/>
      <c r="C370" s="40"/>
      <c r="D370" s="40"/>
      <c r="E370" s="40"/>
      <c r="F370" s="40"/>
    </row>
    <row r="371" spans="1:12" ht="19.95" customHeight="1" thickBot="1" x14ac:dyDescent="0.35">
      <c r="A371" s="34" t="s">
        <v>46</v>
      </c>
      <c r="B371" s="10" t="s">
        <v>47</v>
      </c>
      <c r="C371" s="10" t="s">
        <v>0</v>
      </c>
      <c r="D371" s="10" t="s">
        <v>48</v>
      </c>
      <c r="E371" s="10" t="s">
        <v>14</v>
      </c>
      <c r="F371" s="35" t="s">
        <v>49</v>
      </c>
      <c r="H371" s="2" t="s">
        <v>38</v>
      </c>
      <c r="I371" s="2">
        <f>COUNT(Table12[DATE])</f>
        <v>39</v>
      </c>
      <c r="L371" s="28">
        <v>10000</v>
      </c>
    </row>
    <row r="372" spans="1:12" ht="19.95" customHeight="1" thickBot="1" x14ac:dyDescent="0.35">
      <c r="A372" s="24">
        <v>1</v>
      </c>
      <c r="B372" s="25">
        <v>0.40277777777777773</v>
      </c>
      <c r="C372" s="26" t="s">
        <v>9</v>
      </c>
      <c r="D372" s="26">
        <v>240</v>
      </c>
      <c r="E372" s="26" t="s">
        <v>29</v>
      </c>
      <c r="F372" s="27">
        <v>1</v>
      </c>
      <c r="H372" s="2" t="s">
        <v>39</v>
      </c>
      <c r="I372" s="3">
        <f>((COUNTIF(Table12[OUTCOME],"TARGET"))/I371)</f>
        <v>0.25641025641025639</v>
      </c>
      <c r="K372" s="28">
        <f>((Table12[[#This Row],[SPOT PTS]]/2)*15)-65</f>
        <v>1735</v>
      </c>
      <c r="L372" s="28">
        <f>K372+L371</f>
        <v>11735</v>
      </c>
    </row>
    <row r="373" spans="1:12" ht="19.95" customHeight="1" x14ac:dyDescent="0.3">
      <c r="A373" s="13">
        <v>2</v>
      </c>
      <c r="B373" s="14">
        <v>0.40277777777777773</v>
      </c>
      <c r="C373" s="15" t="s">
        <v>6</v>
      </c>
      <c r="D373" s="15">
        <v>-63</v>
      </c>
      <c r="E373" s="15" t="s">
        <v>21</v>
      </c>
      <c r="F373" s="16">
        <v>1</v>
      </c>
      <c r="H373" s="2" t="s">
        <v>40</v>
      </c>
      <c r="I373" s="2">
        <f>SUM(Table12[SPOT PTS])</f>
        <v>254</v>
      </c>
      <c r="K373" s="28">
        <f>((Table12[[#This Row],[SPOT PTS]]/2)*15)-65</f>
        <v>-537.5</v>
      </c>
      <c r="L373" s="28">
        <f t="shared" ref="L373:L410" si="11">K373+L372</f>
        <v>11197.5</v>
      </c>
    </row>
    <row r="374" spans="1:12" ht="19.95" customHeight="1" thickBot="1" x14ac:dyDescent="0.35">
      <c r="A374" s="17">
        <v>2</v>
      </c>
      <c r="B374" s="18">
        <v>7.9861111111111105E-2</v>
      </c>
      <c r="C374" s="19" t="s">
        <v>6</v>
      </c>
      <c r="D374" s="19">
        <v>-30</v>
      </c>
      <c r="E374" s="19" t="s">
        <v>21</v>
      </c>
      <c r="F374" s="20">
        <v>2</v>
      </c>
      <c r="H374" s="2" t="s">
        <v>10</v>
      </c>
      <c r="I374" s="2">
        <f>65*I371</f>
        <v>2535</v>
      </c>
      <c r="K374" s="28">
        <f>((Table12[[#This Row],[SPOT PTS]]/2)*15)-65</f>
        <v>-290</v>
      </c>
      <c r="L374" s="28">
        <f t="shared" si="11"/>
        <v>10907.5</v>
      </c>
    </row>
    <row r="375" spans="1:12" ht="19.95" customHeight="1" thickBot="1" x14ac:dyDescent="0.35">
      <c r="A375" s="24">
        <v>3</v>
      </c>
      <c r="B375" s="25">
        <v>0.40277777777777773</v>
      </c>
      <c r="C375" s="26" t="s">
        <v>9</v>
      </c>
      <c r="D375" s="26">
        <v>235</v>
      </c>
      <c r="E375" s="26" t="s">
        <v>23</v>
      </c>
      <c r="F375" s="27">
        <v>1</v>
      </c>
      <c r="H375" s="2" t="s">
        <v>41</v>
      </c>
      <c r="I375" s="2">
        <f>SUMIF(Table12[OUTCOME],"STOPLOSS",Table12[SPOT PTS])</f>
        <v>-1424</v>
      </c>
      <c r="K375" s="28">
        <f>((Table12[[#This Row],[SPOT PTS]]/2)*15)-65</f>
        <v>1697.5</v>
      </c>
      <c r="L375" s="28">
        <f t="shared" si="11"/>
        <v>12605</v>
      </c>
    </row>
    <row r="376" spans="1:12" ht="19.95" customHeight="1" x14ac:dyDescent="0.3">
      <c r="A376" s="13">
        <v>6</v>
      </c>
      <c r="B376" s="14">
        <v>0.42708333333333331</v>
      </c>
      <c r="C376" s="15" t="s">
        <v>6</v>
      </c>
      <c r="D376" s="15">
        <v>-76</v>
      </c>
      <c r="E376" s="15" t="s">
        <v>25</v>
      </c>
      <c r="F376" s="16">
        <v>1</v>
      </c>
      <c r="H376" s="2" t="s">
        <v>42</v>
      </c>
      <c r="I376" s="2">
        <f>SUMIF(Table12[OUTCOME],"TARGET",Table12[SPOT PTS])</f>
        <v>1678</v>
      </c>
      <c r="K376" s="28">
        <f>((Table12[[#This Row],[SPOT PTS]]/2)*15)-65</f>
        <v>-635</v>
      </c>
      <c r="L376" s="28">
        <f t="shared" si="11"/>
        <v>11970</v>
      </c>
    </row>
    <row r="377" spans="1:12" ht="19.95" customHeight="1" thickBot="1" x14ac:dyDescent="0.35">
      <c r="A377" s="17">
        <v>6</v>
      </c>
      <c r="B377" s="18">
        <v>4.5138888888888888E-2</v>
      </c>
      <c r="C377" s="19" t="s">
        <v>9</v>
      </c>
      <c r="D377" s="19">
        <v>142</v>
      </c>
      <c r="E377" s="19" t="s">
        <v>25</v>
      </c>
      <c r="F377" s="20">
        <v>2</v>
      </c>
      <c r="H377" s="2" t="s">
        <v>43</v>
      </c>
      <c r="I377" s="6">
        <f>(L410-L371)/L371</f>
        <v>-6.3E-2</v>
      </c>
      <c r="K377" s="28">
        <f>((Table12[[#This Row],[SPOT PTS]]/2)*15)-65</f>
        <v>1000</v>
      </c>
      <c r="L377" s="28">
        <f t="shared" si="11"/>
        <v>12970</v>
      </c>
    </row>
    <row r="378" spans="1:12" ht="19.95" customHeight="1" x14ac:dyDescent="0.3">
      <c r="A378" s="13">
        <v>7</v>
      </c>
      <c r="B378" s="14">
        <v>0.4201388888888889</v>
      </c>
      <c r="C378" s="15" t="s">
        <v>6</v>
      </c>
      <c r="D378" s="15">
        <v>-63</v>
      </c>
      <c r="E378" s="15" t="s">
        <v>27</v>
      </c>
      <c r="F378" s="16">
        <v>1</v>
      </c>
      <c r="H378" s="2" t="s">
        <v>44</v>
      </c>
      <c r="I378" s="9">
        <f>((I373/2)*15)-I374</f>
        <v>-630</v>
      </c>
      <c r="K378" s="28">
        <f>((Table12[[#This Row],[SPOT PTS]]/2)*15)-65</f>
        <v>-537.5</v>
      </c>
      <c r="L378" s="28">
        <f t="shared" si="11"/>
        <v>12432.5</v>
      </c>
    </row>
    <row r="379" spans="1:12" ht="19.95" customHeight="1" x14ac:dyDescent="0.3">
      <c r="A379" s="21">
        <v>7</v>
      </c>
      <c r="B379" s="22">
        <v>0.4826388888888889</v>
      </c>
      <c r="C379" s="1" t="s">
        <v>6</v>
      </c>
      <c r="D379" s="1">
        <v>-39</v>
      </c>
      <c r="E379" s="1" t="s">
        <v>27</v>
      </c>
      <c r="F379" s="23">
        <v>1</v>
      </c>
      <c r="K379" s="28">
        <f>((Table12[[#This Row],[SPOT PTS]]/2)*15)-65</f>
        <v>-357.5</v>
      </c>
      <c r="L379" s="28">
        <f t="shared" si="11"/>
        <v>12075</v>
      </c>
    </row>
    <row r="380" spans="1:12" ht="19.95" customHeight="1" thickBot="1" x14ac:dyDescent="0.35">
      <c r="A380" s="17">
        <v>7</v>
      </c>
      <c r="B380" s="18">
        <v>7.2916666666666671E-2</v>
      </c>
      <c r="C380" s="19" t="s">
        <v>6</v>
      </c>
      <c r="D380" s="19">
        <v>-32</v>
      </c>
      <c r="E380" s="19" t="s">
        <v>27</v>
      </c>
      <c r="F380" s="20">
        <v>2</v>
      </c>
      <c r="K380" s="28">
        <f>((Table12[[#This Row],[SPOT PTS]]/2)*15)-65</f>
        <v>-305</v>
      </c>
      <c r="L380" s="28">
        <f t="shared" si="11"/>
        <v>11770</v>
      </c>
    </row>
    <row r="381" spans="1:12" ht="19.95" customHeight="1" x14ac:dyDescent="0.3">
      <c r="A381" s="13">
        <v>8</v>
      </c>
      <c r="B381" s="14">
        <v>0.3923611111111111</v>
      </c>
      <c r="C381" s="15" t="s">
        <v>6</v>
      </c>
      <c r="D381" s="15">
        <v>-62</v>
      </c>
      <c r="E381" s="15" t="s">
        <v>29</v>
      </c>
      <c r="F381" s="16">
        <v>1</v>
      </c>
      <c r="K381" s="28">
        <f>((Table12[[#This Row],[SPOT PTS]]/2)*15)-65</f>
        <v>-530</v>
      </c>
      <c r="L381" s="28">
        <f t="shared" si="11"/>
        <v>11240</v>
      </c>
    </row>
    <row r="382" spans="1:12" ht="19.95" customHeight="1" x14ac:dyDescent="0.3">
      <c r="A382" s="21">
        <v>8</v>
      </c>
      <c r="B382" s="22">
        <v>0.41319444444444442</v>
      </c>
      <c r="C382" s="1" t="s">
        <v>6</v>
      </c>
      <c r="D382" s="1">
        <v>-31</v>
      </c>
      <c r="E382" s="1" t="s">
        <v>29</v>
      </c>
      <c r="F382" s="23">
        <v>1</v>
      </c>
      <c r="K382" s="28">
        <f>((Table12[[#This Row],[SPOT PTS]]/2)*15)-65</f>
        <v>-297.5</v>
      </c>
      <c r="L382" s="28">
        <f t="shared" si="11"/>
        <v>10942.5</v>
      </c>
    </row>
    <row r="383" spans="1:12" ht="19.95" customHeight="1" thickBot="1" x14ac:dyDescent="0.35">
      <c r="A383" s="17">
        <v>8</v>
      </c>
      <c r="B383" s="18">
        <v>7.6388888888888895E-2</v>
      </c>
      <c r="C383" s="19" t="s">
        <v>6</v>
      </c>
      <c r="D383" s="19">
        <v>-36</v>
      </c>
      <c r="E383" s="19" t="s">
        <v>29</v>
      </c>
      <c r="F383" s="20">
        <v>2</v>
      </c>
      <c r="K383" s="28">
        <f>((Table12[[#This Row],[SPOT PTS]]/2)*15)-65</f>
        <v>-335</v>
      </c>
      <c r="L383" s="28">
        <f t="shared" si="11"/>
        <v>10607.5</v>
      </c>
    </row>
    <row r="384" spans="1:12" ht="19.95" customHeight="1" thickBot="1" x14ac:dyDescent="0.35">
      <c r="A384" s="24">
        <v>9</v>
      </c>
      <c r="B384" s="25">
        <v>0.3888888888888889</v>
      </c>
      <c r="C384" s="26" t="s">
        <v>9</v>
      </c>
      <c r="D384" s="26">
        <v>257</v>
      </c>
      <c r="E384" s="26" t="s">
        <v>21</v>
      </c>
      <c r="F384" s="27">
        <v>1</v>
      </c>
      <c r="K384" s="28">
        <f>((Table12[[#This Row],[SPOT PTS]]/2)*15)-65</f>
        <v>1862.5</v>
      </c>
      <c r="L384" s="28">
        <f t="shared" si="11"/>
        <v>12470</v>
      </c>
    </row>
    <row r="385" spans="1:12" ht="19.95" customHeight="1" thickBot="1" x14ac:dyDescent="0.35">
      <c r="A385" s="24">
        <v>10</v>
      </c>
      <c r="B385" s="25">
        <v>7.2916666666666671E-2</v>
      </c>
      <c r="C385" s="26" t="s">
        <v>6</v>
      </c>
      <c r="D385" s="26">
        <v>-26</v>
      </c>
      <c r="E385" s="26" t="s">
        <v>23</v>
      </c>
      <c r="F385" s="27">
        <v>2</v>
      </c>
      <c r="K385" s="28">
        <f>((Table12[[#This Row],[SPOT PTS]]/2)*15)-65</f>
        <v>-260</v>
      </c>
      <c r="L385" s="28">
        <f t="shared" si="11"/>
        <v>12210</v>
      </c>
    </row>
    <row r="386" spans="1:12" ht="19.95" customHeight="1" thickBot="1" x14ac:dyDescent="0.35">
      <c r="A386" s="24">
        <v>13</v>
      </c>
      <c r="B386" s="25">
        <v>0.3923611111111111</v>
      </c>
      <c r="C386" s="26" t="s">
        <v>6</v>
      </c>
      <c r="D386" s="26">
        <v>-54</v>
      </c>
      <c r="E386" s="26" t="s">
        <v>25</v>
      </c>
      <c r="F386" s="27">
        <v>1</v>
      </c>
      <c r="K386" s="28">
        <f>((Table12[[#This Row],[SPOT PTS]]/2)*15)-65</f>
        <v>-470</v>
      </c>
      <c r="L386" s="28">
        <f t="shared" si="11"/>
        <v>11740</v>
      </c>
    </row>
    <row r="387" spans="1:12" ht="19.95" customHeight="1" x14ac:dyDescent="0.3">
      <c r="A387" s="13">
        <v>14</v>
      </c>
      <c r="B387" s="14">
        <v>0.4826388888888889</v>
      </c>
      <c r="C387" s="15" t="s">
        <v>6</v>
      </c>
      <c r="D387" s="15">
        <v>-30</v>
      </c>
      <c r="E387" s="15" t="s">
        <v>27</v>
      </c>
      <c r="F387" s="16">
        <v>1</v>
      </c>
      <c r="K387" s="28">
        <f>((Table12[[#This Row],[SPOT PTS]]/2)*15)-65</f>
        <v>-290</v>
      </c>
      <c r="L387" s="28">
        <f t="shared" si="11"/>
        <v>11450</v>
      </c>
    </row>
    <row r="388" spans="1:12" ht="19.95" customHeight="1" x14ac:dyDescent="0.3">
      <c r="A388" s="21">
        <v>14</v>
      </c>
      <c r="B388" s="22">
        <v>0.51041666666666663</v>
      </c>
      <c r="C388" s="1" t="s">
        <v>6</v>
      </c>
      <c r="D388" s="1">
        <v>-43</v>
      </c>
      <c r="E388" s="1" t="s">
        <v>27</v>
      </c>
      <c r="F388" s="23">
        <v>2</v>
      </c>
      <c r="K388" s="28">
        <f>((Table12[[#This Row],[SPOT PTS]]/2)*15)-65</f>
        <v>-387.5</v>
      </c>
      <c r="L388" s="28">
        <f t="shared" si="11"/>
        <v>11062.5</v>
      </c>
    </row>
    <row r="389" spans="1:12" ht="19.95" customHeight="1" thickBot="1" x14ac:dyDescent="0.35">
      <c r="A389" s="17">
        <v>14</v>
      </c>
      <c r="B389" s="18">
        <v>6.9444444444444434E-2</v>
      </c>
      <c r="C389" s="19" t="s">
        <v>9</v>
      </c>
      <c r="D389" s="19">
        <v>171</v>
      </c>
      <c r="E389" s="19" t="s">
        <v>27</v>
      </c>
      <c r="F389" s="20">
        <v>2</v>
      </c>
      <c r="K389" s="28">
        <f>((Table12[[#This Row],[SPOT PTS]]/2)*15)-65</f>
        <v>1217.5</v>
      </c>
      <c r="L389" s="28">
        <f t="shared" si="11"/>
        <v>12280</v>
      </c>
    </row>
    <row r="390" spans="1:12" ht="19.95" customHeight="1" thickBot="1" x14ac:dyDescent="0.35">
      <c r="A390" s="24">
        <v>15</v>
      </c>
      <c r="B390" s="25">
        <v>0.3923611111111111</v>
      </c>
      <c r="C390" s="26" t="s">
        <v>6</v>
      </c>
      <c r="D390" s="26">
        <v>-62</v>
      </c>
      <c r="E390" s="26" t="s">
        <v>29</v>
      </c>
      <c r="F390" s="27">
        <v>1</v>
      </c>
      <c r="K390" s="28">
        <f>((Table12[[#This Row],[SPOT PTS]]/2)*15)-65</f>
        <v>-530</v>
      </c>
      <c r="L390" s="28">
        <f t="shared" si="11"/>
        <v>11750</v>
      </c>
    </row>
    <row r="391" spans="1:12" ht="19.95" customHeight="1" thickBot="1" x14ac:dyDescent="0.35">
      <c r="A391" s="24">
        <v>16</v>
      </c>
      <c r="B391" s="25">
        <v>0.3888888888888889</v>
      </c>
      <c r="C391" s="26" t="s">
        <v>6</v>
      </c>
      <c r="D391" s="26">
        <v>-80</v>
      </c>
      <c r="E391" s="26" t="s">
        <v>21</v>
      </c>
      <c r="F391" s="27">
        <v>1</v>
      </c>
      <c r="K391" s="28">
        <f>((Table12[[#This Row],[SPOT PTS]]/2)*15)-65</f>
        <v>-665</v>
      </c>
      <c r="L391" s="28">
        <f t="shared" si="11"/>
        <v>11085</v>
      </c>
    </row>
    <row r="392" spans="1:12" ht="19.95" customHeight="1" thickBot="1" x14ac:dyDescent="0.35">
      <c r="A392" s="24">
        <v>17</v>
      </c>
      <c r="B392" s="25">
        <v>0.46527777777777773</v>
      </c>
      <c r="C392" s="26" t="s">
        <v>6</v>
      </c>
      <c r="D392" s="26">
        <v>-54</v>
      </c>
      <c r="E392" s="26" t="s">
        <v>23</v>
      </c>
      <c r="F392" s="27">
        <v>1</v>
      </c>
      <c r="K392" s="28">
        <f>((Table12[[#This Row],[SPOT PTS]]/2)*15)-65</f>
        <v>-470</v>
      </c>
      <c r="L392" s="28">
        <f t="shared" si="11"/>
        <v>10615</v>
      </c>
    </row>
    <row r="393" spans="1:12" ht="19.95" customHeight="1" thickBot="1" x14ac:dyDescent="0.35">
      <c r="A393" s="24">
        <v>20</v>
      </c>
      <c r="B393" s="25">
        <v>6.9444444444444434E-2</v>
      </c>
      <c r="C393" s="26" t="s">
        <v>6</v>
      </c>
      <c r="D393" s="26">
        <v>-66</v>
      </c>
      <c r="E393" s="26" t="s">
        <v>25</v>
      </c>
      <c r="F393" s="27">
        <v>2</v>
      </c>
      <c r="K393" s="28">
        <f>((Table12[[#This Row],[SPOT PTS]]/2)*15)-65</f>
        <v>-560</v>
      </c>
      <c r="L393" s="28">
        <f t="shared" si="11"/>
        <v>10055</v>
      </c>
    </row>
    <row r="394" spans="1:12" ht="19.95" customHeight="1" x14ac:dyDescent="0.3">
      <c r="A394" s="13">
        <v>21</v>
      </c>
      <c r="B394" s="14">
        <v>0.3923611111111111</v>
      </c>
      <c r="C394" s="15" t="s">
        <v>6</v>
      </c>
      <c r="D394" s="15">
        <v>-72</v>
      </c>
      <c r="E394" s="15" t="s">
        <v>27</v>
      </c>
      <c r="F394" s="16">
        <v>1</v>
      </c>
      <c r="K394" s="28">
        <f>((Table12[[#This Row],[SPOT PTS]]/2)*15)-65</f>
        <v>-605</v>
      </c>
      <c r="L394" s="28">
        <f t="shared" si="11"/>
        <v>9450</v>
      </c>
    </row>
    <row r="395" spans="1:12" ht="19.95" customHeight="1" thickBot="1" x14ac:dyDescent="0.35">
      <c r="A395" s="17">
        <v>21</v>
      </c>
      <c r="B395" s="18">
        <v>0.46180555555555558</v>
      </c>
      <c r="C395" s="19" t="s">
        <v>6</v>
      </c>
      <c r="D395" s="19">
        <v>-44</v>
      </c>
      <c r="E395" s="19" t="s">
        <v>27</v>
      </c>
      <c r="F395" s="20">
        <v>1</v>
      </c>
      <c r="K395" s="28">
        <f>((Table12[[#This Row],[SPOT PTS]]/2)*15)-65</f>
        <v>-395</v>
      </c>
      <c r="L395" s="28">
        <f t="shared" si="11"/>
        <v>9055</v>
      </c>
    </row>
    <row r="396" spans="1:12" ht="19.95" customHeight="1" x14ac:dyDescent="0.3">
      <c r="A396" s="13">
        <v>22</v>
      </c>
      <c r="B396" s="14">
        <v>0.41319444444444442</v>
      </c>
      <c r="C396" s="15" t="s">
        <v>6</v>
      </c>
      <c r="D396" s="15">
        <v>-33</v>
      </c>
      <c r="E396" s="15" t="s">
        <v>29</v>
      </c>
      <c r="F396" s="16">
        <v>1</v>
      </c>
      <c r="K396" s="28">
        <f>((Table12[[#This Row],[SPOT PTS]]/2)*15)-65</f>
        <v>-312.5</v>
      </c>
      <c r="L396" s="28">
        <f t="shared" si="11"/>
        <v>8742.5</v>
      </c>
    </row>
    <row r="397" spans="1:12" ht="19.95" customHeight="1" thickBot="1" x14ac:dyDescent="0.35">
      <c r="A397" s="17">
        <v>22</v>
      </c>
      <c r="B397" s="18">
        <v>0.50694444444444442</v>
      </c>
      <c r="C397" s="19" t="s">
        <v>9</v>
      </c>
      <c r="D397" s="19">
        <v>101</v>
      </c>
      <c r="E397" s="19" t="s">
        <v>29</v>
      </c>
      <c r="F397" s="20">
        <v>2</v>
      </c>
      <c r="K397" s="28">
        <f>((Table12[[#This Row],[SPOT PTS]]/2)*15)-65</f>
        <v>692.5</v>
      </c>
      <c r="L397" s="28">
        <f t="shared" si="11"/>
        <v>9435</v>
      </c>
    </row>
    <row r="398" spans="1:12" ht="19.95" customHeight="1" x14ac:dyDescent="0.3">
      <c r="A398" s="13">
        <v>23</v>
      </c>
      <c r="B398" s="14">
        <v>0.3888888888888889</v>
      </c>
      <c r="C398" s="15" t="s">
        <v>6</v>
      </c>
      <c r="D398" s="15">
        <v>-80</v>
      </c>
      <c r="E398" s="15" t="s">
        <v>21</v>
      </c>
      <c r="F398" s="16">
        <v>1</v>
      </c>
      <c r="K398" s="28">
        <f>((Table12[[#This Row],[SPOT PTS]]/2)*15)-65</f>
        <v>-665</v>
      </c>
      <c r="L398" s="28">
        <f t="shared" si="11"/>
        <v>8770</v>
      </c>
    </row>
    <row r="399" spans="1:12" ht="19.95" customHeight="1" x14ac:dyDescent="0.3">
      <c r="A399" s="21">
        <v>23</v>
      </c>
      <c r="B399" s="22">
        <v>0.53472222222222221</v>
      </c>
      <c r="C399" s="1" t="s">
        <v>6</v>
      </c>
      <c r="D399" s="1">
        <v>-29</v>
      </c>
      <c r="E399" s="1" t="s">
        <v>21</v>
      </c>
      <c r="F399" s="23">
        <v>2</v>
      </c>
      <c r="K399" s="28">
        <f>((Table12[[#This Row],[SPOT PTS]]/2)*15)-65</f>
        <v>-282.5</v>
      </c>
      <c r="L399" s="28">
        <f t="shared" si="11"/>
        <v>8487.5</v>
      </c>
    </row>
    <row r="400" spans="1:12" ht="19.95" customHeight="1" thickBot="1" x14ac:dyDescent="0.35">
      <c r="A400" s="17">
        <v>23</v>
      </c>
      <c r="B400" s="18">
        <v>5.9027777777777783E-2</v>
      </c>
      <c r="C400" s="19" t="s">
        <v>9</v>
      </c>
      <c r="D400" s="19">
        <v>110</v>
      </c>
      <c r="E400" s="19" t="s">
        <v>21</v>
      </c>
      <c r="F400" s="20">
        <v>2</v>
      </c>
      <c r="K400" s="28">
        <f>((Table12[[#This Row],[SPOT PTS]]/2)*15)-65</f>
        <v>760</v>
      </c>
      <c r="L400" s="28">
        <f t="shared" si="11"/>
        <v>9247.5</v>
      </c>
    </row>
    <row r="401" spans="1:12" ht="19.95" customHeight="1" x14ac:dyDescent="0.3">
      <c r="A401" s="13">
        <v>24</v>
      </c>
      <c r="B401" s="14">
        <v>0.47222222222222227</v>
      </c>
      <c r="C401" s="15" t="s">
        <v>6</v>
      </c>
      <c r="D401" s="15">
        <v>-50</v>
      </c>
      <c r="E401" s="15" t="s">
        <v>23</v>
      </c>
      <c r="F401" s="16">
        <v>1</v>
      </c>
      <c r="K401" s="28">
        <f>((Table12[[#This Row],[SPOT PTS]]/2)*15)-65</f>
        <v>-440</v>
      </c>
      <c r="L401" s="28">
        <f t="shared" si="11"/>
        <v>8807.5</v>
      </c>
    </row>
    <row r="402" spans="1:12" ht="19.95" customHeight="1" thickBot="1" x14ac:dyDescent="0.35">
      <c r="A402" s="17">
        <v>24</v>
      </c>
      <c r="B402" s="18">
        <v>0.1111111111111111</v>
      </c>
      <c r="C402" s="19" t="s">
        <v>9</v>
      </c>
      <c r="D402" s="19">
        <v>168</v>
      </c>
      <c r="E402" s="19" t="s">
        <v>23</v>
      </c>
      <c r="F402" s="20">
        <v>2</v>
      </c>
      <c r="K402" s="28">
        <f>((Table12[[#This Row],[SPOT PTS]]/2)*15)-65</f>
        <v>1195</v>
      </c>
      <c r="L402" s="28">
        <f t="shared" si="11"/>
        <v>10002.5</v>
      </c>
    </row>
    <row r="403" spans="1:12" ht="19.95" customHeight="1" x14ac:dyDescent="0.3">
      <c r="A403" s="13">
        <v>27</v>
      </c>
      <c r="B403" s="14">
        <v>0.41319444444444442</v>
      </c>
      <c r="C403" s="15" t="s">
        <v>6</v>
      </c>
      <c r="D403" s="15">
        <v>-80</v>
      </c>
      <c r="E403" s="15" t="s">
        <v>25</v>
      </c>
      <c r="F403" s="16">
        <v>1</v>
      </c>
      <c r="K403" s="28">
        <f>((Table12[[#This Row],[SPOT PTS]]/2)*15)-65</f>
        <v>-665</v>
      </c>
      <c r="L403" s="28">
        <f t="shared" si="11"/>
        <v>9337.5</v>
      </c>
    </row>
    <row r="404" spans="1:12" ht="19.95" customHeight="1" x14ac:dyDescent="0.3">
      <c r="A404" s="21">
        <v>27</v>
      </c>
      <c r="B404" s="22">
        <v>0.47222222222222227</v>
      </c>
      <c r="C404" s="1" t="s">
        <v>6</v>
      </c>
      <c r="D404" s="1">
        <v>-32</v>
      </c>
      <c r="E404" s="1" t="s">
        <v>25</v>
      </c>
      <c r="F404" s="23">
        <v>1</v>
      </c>
      <c r="K404" s="28">
        <f>((Table12[[#This Row],[SPOT PTS]]/2)*15)-65</f>
        <v>-305</v>
      </c>
      <c r="L404" s="28">
        <f t="shared" si="11"/>
        <v>9032.5</v>
      </c>
    </row>
    <row r="405" spans="1:12" ht="19.95" customHeight="1" thickBot="1" x14ac:dyDescent="0.35">
      <c r="A405" s="17">
        <v>27</v>
      </c>
      <c r="B405" s="18">
        <v>0.53819444444444442</v>
      </c>
      <c r="C405" s="19" t="s">
        <v>6</v>
      </c>
      <c r="D405" s="19">
        <v>-49</v>
      </c>
      <c r="E405" s="19" t="s">
        <v>25</v>
      </c>
      <c r="F405" s="20">
        <v>2</v>
      </c>
      <c r="K405" s="28">
        <f>((Table12[[#This Row],[SPOT PTS]]/2)*15)-65</f>
        <v>-432.5</v>
      </c>
      <c r="L405" s="28">
        <f t="shared" si="11"/>
        <v>8600</v>
      </c>
    </row>
    <row r="406" spans="1:12" ht="19.95" customHeight="1" thickBot="1" x14ac:dyDescent="0.35">
      <c r="A406" s="24">
        <v>28</v>
      </c>
      <c r="B406" s="25">
        <v>0.40277777777777773</v>
      </c>
      <c r="C406" s="26" t="s">
        <v>9</v>
      </c>
      <c r="D406" s="26">
        <v>159</v>
      </c>
      <c r="E406" s="26" t="s">
        <v>27</v>
      </c>
      <c r="F406" s="27">
        <v>1</v>
      </c>
      <c r="K406" s="28">
        <f>((Table12[[#This Row],[SPOT PTS]]/2)*15)-65</f>
        <v>1127.5</v>
      </c>
      <c r="L406" s="28">
        <f t="shared" si="11"/>
        <v>9727.5</v>
      </c>
    </row>
    <row r="407" spans="1:12" ht="19.95" customHeight="1" thickBot="1" x14ac:dyDescent="0.35">
      <c r="A407" s="24">
        <v>29</v>
      </c>
      <c r="B407" s="25">
        <v>0.41319444444444442</v>
      </c>
      <c r="C407" s="26" t="s">
        <v>9</v>
      </c>
      <c r="D407" s="26">
        <v>95</v>
      </c>
      <c r="E407" s="26" t="s">
        <v>29</v>
      </c>
      <c r="F407" s="27">
        <v>1</v>
      </c>
      <c r="K407" s="28">
        <f>((Table12[[#This Row],[SPOT PTS]]/2)*15)-65</f>
        <v>647.5</v>
      </c>
      <c r="L407" s="28">
        <f t="shared" si="11"/>
        <v>10375</v>
      </c>
    </row>
    <row r="408" spans="1:12" ht="19.95" customHeight="1" thickBot="1" x14ac:dyDescent="0.35">
      <c r="A408" s="24">
        <v>30</v>
      </c>
      <c r="B408" s="25">
        <v>7.2916666666666671E-2</v>
      </c>
      <c r="C408" s="26" t="s">
        <v>6</v>
      </c>
      <c r="D408" s="26">
        <v>-31</v>
      </c>
      <c r="E408" s="26" t="s">
        <v>21</v>
      </c>
      <c r="F408" s="27">
        <v>2</v>
      </c>
      <c r="K408" s="28">
        <f>((Table12[[#This Row],[SPOT PTS]]/2)*15)-65</f>
        <v>-297.5</v>
      </c>
      <c r="L408" s="28">
        <f t="shared" si="11"/>
        <v>10077.5</v>
      </c>
    </row>
    <row r="409" spans="1:12" ht="19.95" customHeight="1" x14ac:dyDescent="0.3">
      <c r="A409" s="13">
        <v>31</v>
      </c>
      <c r="B409" s="14">
        <v>0.40625</v>
      </c>
      <c r="C409" s="15" t="s">
        <v>6</v>
      </c>
      <c r="D409" s="15">
        <v>-54</v>
      </c>
      <c r="E409" s="15" t="s">
        <v>23</v>
      </c>
      <c r="F409" s="16">
        <v>1</v>
      </c>
      <c r="K409" s="28">
        <f>((Table12[[#This Row],[SPOT PTS]]/2)*15)-65</f>
        <v>-470</v>
      </c>
      <c r="L409" s="28">
        <f t="shared" si="11"/>
        <v>9607.5</v>
      </c>
    </row>
    <row r="410" spans="1:12" ht="19.95" customHeight="1" thickBot="1" x14ac:dyDescent="0.35">
      <c r="A410" s="17">
        <v>31</v>
      </c>
      <c r="B410" s="18">
        <v>0.4548611111111111</v>
      </c>
      <c r="C410" s="19" t="s">
        <v>6</v>
      </c>
      <c r="D410" s="19">
        <v>-23</v>
      </c>
      <c r="E410" s="19" t="s">
        <v>23</v>
      </c>
      <c r="F410" s="20">
        <v>1</v>
      </c>
      <c r="K410" s="28">
        <f>((Table12[[#This Row],[SPOT PTS]]/2)*15)-65</f>
        <v>-237.5</v>
      </c>
      <c r="L410" s="28">
        <f t="shared" si="11"/>
        <v>9370</v>
      </c>
    </row>
  </sheetData>
  <mergeCells count="12">
    <mergeCell ref="A370:F370"/>
    <mergeCell ref="A172:F172"/>
    <mergeCell ref="A1:F1"/>
    <mergeCell ref="A29:F29"/>
    <mergeCell ref="A65:F65"/>
    <mergeCell ref="A104:F104"/>
    <mergeCell ref="A138:F138"/>
    <mergeCell ref="A309:F309"/>
    <mergeCell ref="A344:F344"/>
    <mergeCell ref="A279:F279"/>
    <mergeCell ref="A243:F243"/>
    <mergeCell ref="A209:F209"/>
  </mergeCells>
  <conditionalFormatting sqref="A1:F24 B25:F25 A26:F32 A33:A34 C33:F34 A35:F59 C60:F60 A60:A61 B61:F61 A62:F66 A67 C67:F67 A68:F173 B174:F174 A175:F187 B188:F188 A189:F342 B343:F343 A344:F353 B354:F354 A355:F1048576">
    <cfRule type="containsText" dxfId="97" priority="3" operator="containsText" text="TARGET">
      <formula>NOT(ISERROR(SEARCH("TARGET",A1)))</formula>
    </cfRule>
    <cfRule type="containsText" dxfId="96" priority="4" operator="containsText" text="STOPLOSS">
      <formula>NOT(ISERROR(SEARCH("STOPLOSS",A1)))</formula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2 C30 C66 C105 C139 C173 C210 C244 C280 C310 C345 C371" xr:uid="{1137C416-C71B-4964-B463-6A8A5C04714B}">
      <formula1>"Stoploss, Target"</formula1>
    </dataValidation>
    <dataValidation type="list" allowBlank="1" showInputMessage="1" showErrorMessage="1" sqref="C3:C28 C31:C48 C50:C64 C67:C103 C106:C137 C140:C171 C174:C208 C211:C242 C245:C278 C281:C308 C311:C343 C346:C369 C372:C1048576" xr:uid="{F60987F2-1673-4FF5-B0F3-19CC6FBACDC2}">
      <formula1>"STOPLOSS,TARGET"</formula1>
    </dataValidation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3E62-69C4-45D8-9453-00FB224FBC9C}">
  <dimension ref="A1:L410"/>
  <sheetViews>
    <sheetView topLeftCell="A19" workbookViewId="0">
      <selection activeCell="G13" sqref="G13"/>
    </sheetView>
  </sheetViews>
  <sheetFormatPr defaultColWidth="16.88671875" defaultRowHeight="14.4" x14ac:dyDescent="0.3"/>
  <cols>
    <col min="1" max="6" width="15.109375" style="1" customWidth="1"/>
    <col min="7" max="7" width="14.33203125" style="1" customWidth="1"/>
    <col min="8" max="8" width="23.33203125" style="1" bestFit="1" customWidth="1"/>
    <col min="9" max="9" width="13.5546875" style="1" customWidth="1"/>
    <col min="10" max="10" width="13.109375" style="1" customWidth="1"/>
    <col min="11" max="12" width="16.88671875" style="28"/>
    <col min="13" max="16384" width="16.88671875" style="1"/>
  </cols>
  <sheetData>
    <row r="1" spans="1:12" ht="19.95" customHeight="1" x14ac:dyDescent="0.3">
      <c r="A1" s="40" t="s">
        <v>45</v>
      </c>
      <c r="B1" s="40"/>
      <c r="C1" s="40"/>
      <c r="D1" s="40"/>
      <c r="E1" s="40"/>
      <c r="F1" s="40"/>
    </row>
    <row r="2" spans="1:12" ht="19.95" customHeight="1" thickBot="1" x14ac:dyDescent="0.35">
      <c r="A2" s="10" t="s">
        <v>46</v>
      </c>
      <c r="B2" s="10" t="s">
        <v>47</v>
      </c>
      <c r="C2" s="10" t="s">
        <v>0</v>
      </c>
      <c r="D2" s="10" t="s">
        <v>48</v>
      </c>
      <c r="E2" s="10" t="s">
        <v>14</v>
      </c>
      <c r="F2" s="10" t="s">
        <v>49</v>
      </c>
      <c r="H2" s="2" t="s">
        <v>38</v>
      </c>
      <c r="I2" s="2">
        <f>COUNT(Table114[DATE])</f>
        <v>26</v>
      </c>
      <c r="L2" s="28">
        <v>10000</v>
      </c>
    </row>
    <row r="3" spans="1:12" ht="19.95" customHeight="1" x14ac:dyDescent="0.3">
      <c r="A3" s="13">
        <v>1</v>
      </c>
      <c r="B3" s="14">
        <v>0.3923611111111111</v>
      </c>
      <c r="C3" s="15" t="s">
        <v>6</v>
      </c>
      <c r="D3" s="15">
        <v>-63</v>
      </c>
      <c r="E3" s="15" t="s">
        <v>23</v>
      </c>
      <c r="F3" s="16">
        <v>1</v>
      </c>
      <c r="H3" s="2" t="s">
        <v>39</v>
      </c>
      <c r="I3" s="3">
        <f>((COUNTIF(Table114[OUTCOME],"TARGET"))/I2)</f>
        <v>0.46153846153846156</v>
      </c>
      <c r="K3" s="28">
        <f>(Table114[[#This Row],[SPOT PTS]]/2)*15-65</f>
        <v>-537.5</v>
      </c>
      <c r="L3" s="28">
        <f>K3+L2</f>
        <v>9462.5</v>
      </c>
    </row>
    <row r="4" spans="1:12" ht="19.95" customHeight="1" thickBot="1" x14ac:dyDescent="0.35">
      <c r="A4" s="17">
        <v>1</v>
      </c>
      <c r="B4" s="18">
        <v>0.40972222222222227</v>
      </c>
      <c r="C4" s="19" t="s">
        <v>9</v>
      </c>
      <c r="D4" s="19">
        <v>51</v>
      </c>
      <c r="E4" s="19" t="s">
        <v>23</v>
      </c>
      <c r="F4" s="20">
        <v>1</v>
      </c>
      <c r="H4" s="2" t="s">
        <v>40</v>
      </c>
      <c r="I4" s="2">
        <f>SUM(Table114[SPOT PTS])</f>
        <v>1301</v>
      </c>
      <c r="K4" s="28">
        <f>(Table114[[#This Row],[SPOT PTS]]/2)*15-65</f>
        <v>317.5</v>
      </c>
      <c r="L4" s="28">
        <f t="shared" ref="L4:L28" si="0">K4+L3</f>
        <v>9780</v>
      </c>
    </row>
    <row r="5" spans="1:12" ht="19.95" customHeight="1" x14ac:dyDescent="0.3">
      <c r="A5" s="13">
        <v>4</v>
      </c>
      <c r="B5" s="14">
        <v>0.3923611111111111</v>
      </c>
      <c r="C5" s="15" t="s">
        <v>6</v>
      </c>
      <c r="D5" s="15">
        <v>-46</v>
      </c>
      <c r="E5" s="15" t="s">
        <v>25</v>
      </c>
      <c r="F5" s="16">
        <v>1</v>
      </c>
      <c r="H5" s="2" t="s">
        <v>10</v>
      </c>
      <c r="I5" s="2">
        <f>65*I2</f>
        <v>1690</v>
      </c>
      <c r="K5" s="28">
        <f>(Table114[[#This Row],[SPOT PTS]]/2)*15-65</f>
        <v>-410</v>
      </c>
      <c r="L5" s="28">
        <f t="shared" si="0"/>
        <v>9370</v>
      </c>
    </row>
    <row r="6" spans="1:12" ht="19.95" customHeight="1" thickBot="1" x14ac:dyDescent="0.35">
      <c r="A6" s="17">
        <v>4</v>
      </c>
      <c r="B6" s="18">
        <v>0.41666666666666669</v>
      </c>
      <c r="C6" s="19" t="s">
        <v>9</v>
      </c>
      <c r="D6" s="19">
        <v>145</v>
      </c>
      <c r="E6" s="19" t="s">
        <v>25</v>
      </c>
      <c r="F6" s="20">
        <v>1</v>
      </c>
      <c r="H6" s="2" t="s">
        <v>41</v>
      </c>
      <c r="I6" s="2">
        <f>SUMIF(Table114[OUTCOME],"STOPLOSS",Table114[SPOT PTS])</f>
        <v>-762</v>
      </c>
      <c r="K6" s="28">
        <f>(Table114[[#This Row],[SPOT PTS]]/2)*15-65</f>
        <v>1022.5</v>
      </c>
      <c r="L6" s="28">
        <f t="shared" si="0"/>
        <v>10392.5</v>
      </c>
    </row>
    <row r="7" spans="1:12" ht="19.95" customHeight="1" x14ac:dyDescent="0.3">
      <c r="A7" s="13">
        <v>5</v>
      </c>
      <c r="B7" s="14">
        <v>0.4826388888888889</v>
      </c>
      <c r="C7" s="15" t="s">
        <v>6</v>
      </c>
      <c r="D7" s="15">
        <v>-45</v>
      </c>
      <c r="E7" s="15" t="s">
        <v>27</v>
      </c>
      <c r="F7" s="16">
        <v>1</v>
      </c>
      <c r="H7" s="2" t="s">
        <v>42</v>
      </c>
      <c r="I7" s="2">
        <f>SUMIF(Table114[OUTCOME],"TARGET",Table114[SPOT PTS])</f>
        <v>2063</v>
      </c>
      <c r="K7" s="28">
        <f>(Table114[[#This Row],[SPOT PTS]]/2)*15-65</f>
        <v>-402.5</v>
      </c>
      <c r="L7" s="28">
        <f t="shared" si="0"/>
        <v>9990</v>
      </c>
    </row>
    <row r="8" spans="1:12" ht="19.95" customHeight="1" thickBot="1" x14ac:dyDescent="0.35">
      <c r="A8" s="17">
        <v>5</v>
      </c>
      <c r="B8" s="18">
        <v>0.53125</v>
      </c>
      <c r="C8" s="19" t="s">
        <v>9</v>
      </c>
      <c r="D8" s="19">
        <v>62</v>
      </c>
      <c r="E8" s="19" t="s">
        <v>27</v>
      </c>
      <c r="F8" s="20">
        <v>2</v>
      </c>
      <c r="H8" s="2" t="s">
        <v>43</v>
      </c>
      <c r="I8" s="6">
        <f>(L28-L2)/L2</f>
        <v>0.80674999999999997</v>
      </c>
      <c r="K8" s="28">
        <f>(Table114[[#This Row],[SPOT PTS]]/2)*15-65</f>
        <v>400</v>
      </c>
      <c r="L8" s="28">
        <f t="shared" si="0"/>
        <v>10390</v>
      </c>
    </row>
    <row r="9" spans="1:12" ht="19.95" customHeight="1" x14ac:dyDescent="0.3">
      <c r="A9" s="13">
        <v>6</v>
      </c>
      <c r="B9" s="14">
        <v>0.3923611111111111</v>
      </c>
      <c r="C9" s="15" t="s">
        <v>6</v>
      </c>
      <c r="D9" s="15">
        <v>-58</v>
      </c>
      <c r="E9" s="15" t="s">
        <v>29</v>
      </c>
      <c r="F9" s="16">
        <v>1</v>
      </c>
      <c r="H9" s="2" t="s">
        <v>44</v>
      </c>
      <c r="I9" s="9">
        <f>((I4/2)*15)-I5</f>
        <v>8067.5</v>
      </c>
      <c r="K9" s="28">
        <f>(Table114[[#This Row],[SPOT PTS]]/2)*15-65</f>
        <v>-500</v>
      </c>
      <c r="L9" s="28">
        <f t="shared" si="0"/>
        <v>9890</v>
      </c>
    </row>
    <row r="10" spans="1:12" ht="19.95" customHeight="1" thickBot="1" x14ac:dyDescent="0.35">
      <c r="A10" s="17">
        <v>6</v>
      </c>
      <c r="B10" s="18">
        <v>0.4513888888888889</v>
      </c>
      <c r="C10" s="19" t="s">
        <v>6</v>
      </c>
      <c r="D10" s="19">
        <v>-38</v>
      </c>
      <c r="E10" s="19" t="s">
        <v>29</v>
      </c>
      <c r="F10" s="20">
        <v>1</v>
      </c>
      <c r="K10" s="28">
        <f>(Table114[[#This Row],[SPOT PTS]]/2)*15-65</f>
        <v>-350</v>
      </c>
      <c r="L10" s="28">
        <f t="shared" si="0"/>
        <v>9540</v>
      </c>
    </row>
    <row r="11" spans="1:12" ht="19.95" customHeight="1" thickBot="1" x14ac:dyDescent="0.35">
      <c r="A11" s="24">
        <v>7</v>
      </c>
      <c r="B11" s="25">
        <v>0.39930555555555558</v>
      </c>
      <c r="C11" s="26" t="s">
        <v>6</v>
      </c>
      <c r="D11" s="26">
        <v>-56</v>
      </c>
      <c r="E11" s="26" t="s">
        <v>21</v>
      </c>
      <c r="F11" s="27">
        <v>1</v>
      </c>
      <c r="K11" s="28">
        <f>(Table114[[#This Row],[SPOT PTS]]/2)*15-65</f>
        <v>-485</v>
      </c>
      <c r="L11" s="28">
        <f t="shared" si="0"/>
        <v>9055</v>
      </c>
    </row>
    <row r="12" spans="1:12" ht="19.95" customHeight="1" thickBot="1" x14ac:dyDescent="0.35">
      <c r="A12" s="24">
        <v>8</v>
      </c>
      <c r="B12" s="25">
        <v>0.3888888888888889</v>
      </c>
      <c r="C12" s="26" t="s">
        <v>6</v>
      </c>
      <c r="D12" s="26">
        <v>-80</v>
      </c>
      <c r="E12" s="26" t="s">
        <v>23</v>
      </c>
      <c r="F12" s="27">
        <v>1</v>
      </c>
      <c r="K12" s="28">
        <f>(Table114[[#This Row],[SPOT PTS]]/2)*15-65</f>
        <v>-665</v>
      </c>
      <c r="L12" s="28">
        <f t="shared" si="0"/>
        <v>8390</v>
      </c>
    </row>
    <row r="13" spans="1:12" ht="19.95" customHeight="1" thickBot="1" x14ac:dyDescent="0.35">
      <c r="A13" s="24">
        <v>11</v>
      </c>
      <c r="B13" s="25">
        <v>0.39930555555555558</v>
      </c>
      <c r="C13" s="26" t="s">
        <v>9</v>
      </c>
      <c r="D13" s="26">
        <v>203</v>
      </c>
      <c r="E13" s="26" t="s">
        <v>25</v>
      </c>
      <c r="F13" s="27">
        <v>1</v>
      </c>
      <c r="K13" s="28">
        <f>(Table114[[#This Row],[SPOT PTS]]/2)*15-65</f>
        <v>1457.5</v>
      </c>
      <c r="L13" s="28">
        <f t="shared" si="0"/>
        <v>9847.5</v>
      </c>
    </row>
    <row r="14" spans="1:12" ht="19.95" customHeight="1" thickBot="1" x14ac:dyDescent="0.35">
      <c r="A14" s="24">
        <v>13</v>
      </c>
      <c r="B14" s="25">
        <v>0.40625</v>
      </c>
      <c r="C14" s="26" t="s">
        <v>9</v>
      </c>
      <c r="D14" s="26">
        <v>145</v>
      </c>
      <c r="E14" s="26" t="s">
        <v>29</v>
      </c>
      <c r="F14" s="27">
        <v>1</v>
      </c>
      <c r="K14" s="28">
        <f>(Table114[[#This Row],[SPOT PTS]]/2)*15-65</f>
        <v>1022.5</v>
      </c>
      <c r="L14" s="28">
        <f t="shared" si="0"/>
        <v>10870</v>
      </c>
    </row>
    <row r="15" spans="1:12" ht="19.95" customHeight="1" thickBot="1" x14ac:dyDescent="0.35">
      <c r="A15" s="21">
        <v>14</v>
      </c>
      <c r="B15" s="22">
        <v>0.39583333333333331</v>
      </c>
      <c r="C15" s="1" t="s">
        <v>6</v>
      </c>
      <c r="D15" s="1">
        <v>-80</v>
      </c>
      <c r="E15" s="1" t="s">
        <v>21</v>
      </c>
      <c r="F15" s="23">
        <v>1</v>
      </c>
      <c r="K15" s="28">
        <f>(Table114[[#This Row],[SPOT PTS]]/2)*15-65</f>
        <v>-665</v>
      </c>
      <c r="L15" s="28">
        <f t="shared" si="0"/>
        <v>10205</v>
      </c>
    </row>
    <row r="16" spans="1:12" ht="19.95" customHeight="1" thickBot="1" x14ac:dyDescent="0.35">
      <c r="A16" s="24">
        <v>15</v>
      </c>
      <c r="B16" s="25">
        <v>0.5</v>
      </c>
      <c r="C16" s="26" t="s">
        <v>6</v>
      </c>
      <c r="D16" s="26">
        <v>-27</v>
      </c>
      <c r="E16" s="26" t="s">
        <v>23</v>
      </c>
      <c r="F16" s="27">
        <v>1</v>
      </c>
      <c r="K16" s="28">
        <f>(Table114[[#This Row],[SPOT PTS]]/2)*15-65</f>
        <v>-267.5</v>
      </c>
      <c r="L16" s="28">
        <f t="shared" si="0"/>
        <v>9937.5</v>
      </c>
    </row>
    <row r="17" spans="1:12" ht="19.95" customHeight="1" thickBot="1" x14ac:dyDescent="0.35">
      <c r="A17" s="24">
        <v>18</v>
      </c>
      <c r="B17" s="25">
        <v>0.3923611111111111</v>
      </c>
      <c r="C17" s="26" t="s">
        <v>9</v>
      </c>
      <c r="D17" s="26">
        <v>275</v>
      </c>
      <c r="E17" s="26" t="s">
        <v>25</v>
      </c>
      <c r="F17" s="27">
        <v>1</v>
      </c>
      <c r="K17" s="28">
        <f>(Table114[[#This Row],[SPOT PTS]]/2)*15-65</f>
        <v>1997.5</v>
      </c>
      <c r="L17" s="28">
        <f t="shared" si="0"/>
        <v>11935</v>
      </c>
    </row>
    <row r="18" spans="1:12" ht="19.95" customHeight="1" x14ac:dyDescent="0.3">
      <c r="A18" s="13">
        <v>19</v>
      </c>
      <c r="B18" s="14">
        <v>0.3888888888888889</v>
      </c>
      <c r="C18" s="15" t="s">
        <v>6</v>
      </c>
      <c r="D18" s="15">
        <v>-112</v>
      </c>
      <c r="E18" s="15" t="s">
        <v>27</v>
      </c>
      <c r="F18" s="16">
        <v>1</v>
      </c>
      <c r="K18" s="28">
        <f>(Table114[[#This Row],[SPOT PTS]]/2)*15-65</f>
        <v>-905</v>
      </c>
      <c r="L18" s="28">
        <f t="shared" si="0"/>
        <v>11030</v>
      </c>
    </row>
    <row r="19" spans="1:12" ht="19.95" customHeight="1" x14ac:dyDescent="0.3">
      <c r="A19" s="21">
        <v>19</v>
      </c>
      <c r="B19" s="22">
        <v>0.44097222222222227</v>
      </c>
      <c r="C19" s="1" t="s">
        <v>6</v>
      </c>
      <c r="D19" s="1">
        <v>-42</v>
      </c>
      <c r="E19" s="1" t="s">
        <v>27</v>
      </c>
      <c r="F19" s="23">
        <v>1</v>
      </c>
      <c r="K19" s="28">
        <f>(Table114[[#This Row],[SPOT PTS]]/2)*15-65</f>
        <v>-380</v>
      </c>
      <c r="L19" s="28">
        <f t="shared" si="0"/>
        <v>10650</v>
      </c>
    </row>
    <row r="20" spans="1:12" ht="19.95" customHeight="1" thickBot="1" x14ac:dyDescent="0.35">
      <c r="A20" s="17">
        <v>19</v>
      </c>
      <c r="B20" s="18">
        <v>8.3333333333333329E-2</v>
      </c>
      <c r="C20" s="19" t="s">
        <v>6</v>
      </c>
      <c r="D20" s="19">
        <v>-47</v>
      </c>
      <c r="E20" s="19" t="s">
        <v>27</v>
      </c>
      <c r="F20" s="20">
        <v>2</v>
      </c>
      <c r="K20" s="28">
        <f>(Table114[[#This Row],[SPOT PTS]]/2)*15-65</f>
        <v>-417.5</v>
      </c>
      <c r="L20" s="28">
        <f t="shared" si="0"/>
        <v>10232.5</v>
      </c>
    </row>
    <row r="21" spans="1:12" ht="19.95" customHeight="1" x14ac:dyDescent="0.3">
      <c r="A21" s="13">
        <v>20</v>
      </c>
      <c r="B21" s="14">
        <v>0.43402777777777773</v>
      </c>
      <c r="C21" s="15" t="s">
        <v>6</v>
      </c>
      <c r="D21" s="15">
        <v>-45</v>
      </c>
      <c r="E21" s="15" t="s">
        <v>29</v>
      </c>
      <c r="F21" s="16">
        <v>1</v>
      </c>
      <c r="K21" s="28">
        <f>(Table114[[#This Row],[SPOT PTS]]/2)*15-65</f>
        <v>-402.5</v>
      </c>
      <c r="L21" s="28">
        <f t="shared" si="0"/>
        <v>9830</v>
      </c>
    </row>
    <row r="22" spans="1:12" ht="19.95" customHeight="1" thickBot="1" x14ac:dyDescent="0.35">
      <c r="A22" s="17">
        <v>20</v>
      </c>
      <c r="B22" s="18">
        <v>0.45833333333333331</v>
      </c>
      <c r="C22" s="19" t="s">
        <v>6</v>
      </c>
      <c r="D22" s="19">
        <v>-23</v>
      </c>
      <c r="E22" s="19" t="s">
        <v>29</v>
      </c>
      <c r="F22" s="20">
        <v>1</v>
      </c>
      <c r="K22" s="28">
        <f>(Table114[[#This Row],[SPOT PTS]]/2)*15-65</f>
        <v>-237.5</v>
      </c>
      <c r="L22" s="28">
        <f t="shared" si="0"/>
        <v>9592.5</v>
      </c>
    </row>
    <row r="23" spans="1:12" ht="19.95" customHeight="1" thickBot="1" x14ac:dyDescent="0.35">
      <c r="A23" s="24">
        <v>21</v>
      </c>
      <c r="B23" s="25">
        <v>0.52777777777777779</v>
      </c>
      <c r="C23" s="26" t="s">
        <v>9</v>
      </c>
      <c r="D23" s="26">
        <v>73</v>
      </c>
      <c r="E23" s="26" t="s">
        <v>21</v>
      </c>
      <c r="F23" s="27">
        <v>2</v>
      </c>
      <c r="K23" s="28">
        <f>(Table114[[#This Row],[SPOT PTS]]/2)*15-65</f>
        <v>482.5</v>
      </c>
      <c r="L23" s="28">
        <f t="shared" si="0"/>
        <v>10075</v>
      </c>
    </row>
    <row r="24" spans="1:12" ht="19.95" customHeight="1" thickBot="1" x14ac:dyDescent="0.35">
      <c r="A24" s="13">
        <v>22</v>
      </c>
      <c r="B24" s="14">
        <v>0.1076388888888889</v>
      </c>
      <c r="C24" s="15" t="s">
        <v>9</v>
      </c>
      <c r="D24" s="15">
        <v>97</v>
      </c>
      <c r="E24" s="15" t="s">
        <v>23</v>
      </c>
      <c r="F24" s="16">
        <v>2</v>
      </c>
      <c r="K24" s="28">
        <f>(Table114[[#This Row],[SPOT PTS]]/2)*15-65</f>
        <v>662.5</v>
      </c>
      <c r="L24" s="28">
        <f t="shared" si="0"/>
        <v>10737.5</v>
      </c>
    </row>
    <row r="25" spans="1:12" ht="19.95" customHeight="1" thickBot="1" x14ac:dyDescent="0.35">
      <c r="A25" s="24">
        <v>25</v>
      </c>
      <c r="B25" s="25">
        <v>0.3923611111111111</v>
      </c>
      <c r="C25" s="26" t="s">
        <v>9</v>
      </c>
      <c r="D25" s="26">
        <v>284</v>
      </c>
      <c r="E25" s="26" t="s">
        <v>25</v>
      </c>
      <c r="F25" s="27">
        <v>1</v>
      </c>
      <c r="K25" s="28">
        <f>(Table114[[#This Row],[SPOT PTS]]/2)*15-65</f>
        <v>2065</v>
      </c>
      <c r="L25" s="28">
        <f t="shared" si="0"/>
        <v>12802.5</v>
      </c>
    </row>
    <row r="26" spans="1:12" ht="19.95" customHeight="1" thickBot="1" x14ac:dyDescent="0.35">
      <c r="A26" s="24">
        <v>27</v>
      </c>
      <c r="B26" s="25">
        <v>0.47916666666666669</v>
      </c>
      <c r="C26" s="26" t="s">
        <v>9</v>
      </c>
      <c r="D26" s="26">
        <v>275</v>
      </c>
      <c r="E26" s="26" t="s">
        <v>29</v>
      </c>
      <c r="F26" s="27">
        <v>1</v>
      </c>
      <c r="K26" s="28">
        <f>(Table114[[#This Row],[SPOT PTS]]/2)*15-65</f>
        <v>1997.5</v>
      </c>
      <c r="L26" s="28">
        <f t="shared" si="0"/>
        <v>14800</v>
      </c>
    </row>
    <row r="27" spans="1:12" ht="19.95" customHeight="1" thickBot="1" x14ac:dyDescent="0.35">
      <c r="A27" s="21">
        <v>28</v>
      </c>
      <c r="B27" s="22">
        <v>0.43402777777777773</v>
      </c>
      <c r="C27" s="1" t="s">
        <v>9</v>
      </c>
      <c r="D27" s="1">
        <v>215</v>
      </c>
      <c r="E27" s="1" t="s">
        <v>21</v>
      </c>
      <c r="F27" s="23">
        <v>1</v>
      </c>
      <c r="K27" s="28">
        <f>(Table114[[#This Row],[SPOT PTS]]/2)*15-65</f>
        <v>1547.5</v>
      </c>
      <c r="L27" s="28">
        <f t="shared" si="0"/>
        <v>16347.5</v>
      </c>
    </row>
    <row r="28" spans="1:12" ht="19.95" customHeight="1" thickBot="1" x14ac:dyDescent="0.35">
      <c r="A28" s="24">
        <v>29</v>
      </c>
      <c r="B28" s="25">
        <v>0.3923611111111111</v>
      </c>
      <c r="C28" s="26" t="s">
        <v>9</v>
      </c>
      <c r="D28" s="26">
        <v>238</v>
      </c>
      <c r="E28" s="26" t="s">
        <v>23</v>
      </c>
      <c r="F28" s="27">
        <v>1</v>
      </c>
      <c r="K28" s="28">
        <f>(Table114[[#This Row],[SPOT PTS]]/2)*15-65</f>
        <v>1720</v>
      </c>
      <c r="L28" s="28">
        <f t="shared" si="0"/>
        <v>18067.5</v>
      </c>
    </row>
    <row r="29" spans="1:12" ht="19.95" customHeight="1" x14ac:dyDescent="0.3">
      <c r="A29" s="40" t="s">
        <v>50</v>
      </c>
      <c r="B29" s="40"/>
      <c r="C29" s="40"/>
      <c r="D29" s="40"/>
      <c r="E29" s="40"/>
      <c r="F29" s="40"/>
    </row>
    <row r="30" spans="1:12" ht="19.95" customHeight="1" thickBot="1" x14ac:dyDescent="0.35">
      <c r="A30" s="10" t="s">
        <v>46</v>
      </c>
      <c r="B30" s="10" t="s">
        <v>47</v>
      </c>
      <c r="C30" s="10" t="s">
        <v>0</v>
      </c>
      <c r="D30" s="10" t="s">
        <v>48</v>
      </c>
      <c r="E30" s="10" t="s">
        <v>14</v>
      </c>
      <c r="F30" s="10" t="s">
        <v>49</v>
      </c>
      <c r="H30" s="2" t="s">
        <v>38</v>
      </c>
      <c r="I30" s="2">
        <f>COUNT(Table215[DATE])</f>
        <v>34</v>
      </c>
      <c r="L30" s="28">
        <f>L28</f>
        <v>18067.5</v>
      </c>
    </row>
    <row r="31" spans="1:12" ht="19.95" customHeight="1" x14ac:dyDescent="0.3">
      <c r="A31" s="13">
        <v>1</v>
      </c>
      <c r="B31" s="14">
        <v>0.39583333333333331</v>
      </c>
      <c r="C31" s="15" t="s">
        <v>6</v>
      </c>
      <c r="D31" s="15">
        <v>-78</v>
      </c>
      <c r="E31" s="15" t="s">
        <v>25</v>
      </c>
      <c r="F31" s="16">
        <v>1</v>
      </c>
      <c r="H31" s="2" t="s">
        <v>39</v>
      </c>
      <c r="I31" s="3">
        <f>((COUNTIF(Table215[OUTCOME],"TARGET"))/I30)</f>
        <v>0.41176470588235292</v>
      </c>
      <c r="K31" s="28">
        <f>(Table215[[#This Row],[SPOT PTS]]/2)*15-65</f>
        <v>-650</v>
      </c>
      <c r="L31" s="28">
        <f>K31+L30</f>
        <v>17417.5</v>
      </c>
    </row>
    <row r="32" spans="1:12" ht="19.95" customHeight="1" thickBot="1" x14ac:dyDescent="0.35">
      <c r="A32" s="17">
        <v>1</v>
      </c>
      <c r="B32" s="18">
        <v>0.49652777777777773</v>
      </c>
      <c r="C32" s="19" t="s">
        <v>9</v>
      </c>
      <c r="D32" s="19">
        <v>245</v>
      </c>
      <c r="E32" s="19" t="s">
        <v>25</v>
      </c>
      <c r="F32" s="20">
        <v>1</v>
      </c>
      <c r="H32" s="2" t="s">
        <v>40</v>
      </c>
      <c r="I32" s="2">
        <f>SUM(Table215[SPOT PTS])</f>
        <v>1808</v>
      </c>
      <c r="K32" s="28">
        <f>(Table215[[#This Row],[SPOT PTS]]/2)*15-65</f>
        <v>1772.5</v>
      </c>
      <c r="L32" s="28">
        <f t="shared" ref="L32:L64" si="1">K32+L31</f>
        <v>19190</v>
      </c>
    </row>
    <row r="33" spans="1:12" ht="19.95" customHeight="1" x14ac:dyDescent="0.3">
      <c r="A33" s="13">
        <v>2</v>
      </c>
      <c r="B33" s="22">
        <v>0.40625</v>
      </c>
      <c r="C33" s="15" t="s">
        <v>6</v>
      </c>
      <c r="D33" s="15">
        <v>-77</v>
      </c>
      <c r="E33" s="15" t="s">
        <v>27</v>
      </c>
      <c r="F33" s="16">
        <v>1</v>
      </c>
      <c r="H33" s="2" t="s">
        <v>10</v>
      </c>
      <c r="I33" s="2">
        <f>65*I30</f>
        <v>2210</v>
      </c>
      <c r="K33" s="28">
        <f>(Table215[[#This Row],[SPOT PTS]]/2)*15-65</f>
        <v>-642.5</v>
      </c>
      <c r="L33" s="28">
        <f t="shared" si="1"/>
        <v>18547.5</v>
      </c>
    </row>
    <row r="34" spans="1:12" ht="19.95" customHeight="1" thickBot="1" x14ac:dyDescent="0.35">
      <c r="A34" s="17">
        <v>2</v>
      </c>
      <c r="B34" s="22">
        <v>0.4201388888888889</v>
      </c>
      <c r="C34" s="19" t="s">
        <v>9</v>
      </c>
      <c r="D34" s="19">
        <v>303</v>
      </c>
      <c r="E34" s="19" t="s">
        <v>27</v>
      </c>
      <c r="F34" s="20">
        <v>1</v>
      </c>
      <c r="H34" s="2" t="s">
        <v>41</v>
      </c>
      <c r="I34" s="2">
        <f>SUMIF(Table215[OUTCOME],"STOPLOSS",Table215[SPOT PTS])</f>
        <v>-1377</v>
      </c>
      <c r="K34" s="28">
        <f>(Table215[[#This Row],[SPOT PTS]]/2)*15-65</f>
        <v>2207.5</v>
      </c>
      <c r="L34" s="28">
        <f t="shared" si="1"/>
        <v>20755</v>
      </c>
    </row>
    <row r="35" spans="1:12" ht="19.95" customHeight="1" x14ac:dyDescent="0.3">
      <c r="A35" s="13">
        <v>3</v>
      </c>
      <c r="B35" s="14">
        <v>0.40625</v>
      </c>
      <c r="C35" s="15" t="s">
        <v>6</v>
      </c>
      <c r="D35" s="15">
        <v>-80</v>
      </c>
      <c r="E35" s="15" t="s">
        <v>29</v>
      </c>
      <c r="F35" s="16">
        <v>1</v>
      </c>
      <c r="H35" s="2" t="s">
        <v>42</v>
      </c>
      <c r="I35" s="2">
        <f>SUMIF(Table215[OUTCOME],"TARGET",Table215[SPOT PTS])</f>
        <v>3185</v>
      </c>
      <c r="K35" s="28">
        <f>(Table215[[#This Row],[SPOT PTS]]/2)*15-65</f>
        <v>-665</v>
      </c>
      <c r="L35" s="28">
        <f t="shared" si="1"/>
        <v>20090</v>
      </c>
    </row>
    <row r="36" spans="1:12" ht="19.95" customHeight="1" x14ac:dyDescent="0.3">
      <c r="A36" s="21">
        <v>3</v>
      </c>
      <c r="B36" s="22">
        <v>0.44444444444444442</v>
      </c>
      <c r="C36" s="1" t="s">
        <v>6</v>
      </c>
      <c r="D36" s="1">
        <v>-80</v>
      </c>
      <c r="E36" s="1" t="s">
        <v>29</v>
      </c>
      <c r="F36" s="23">
        <v>1</v>
      </c>
      <c r="H36" s="2" t="s">
        <v>43</v>
      </c>
      <c r="I36" s="6">
        <f>(L64-L30)/L30</f>
        <v>0.62819980628199801</v>
      </c>
      <c r="K36" s="28">
        <f>(Table215[[#This Row],[SPOT PTS]]/2)*15-65</f>
        <v>-665</v>
      </c>
      <c r="L36" s="28">
        <f t="shared" si="1"/>
        <v>19425</v>
      </c>
    </row>
    <row r="37" spans="1:12" ht="19.95" customHeight="1" thickBot="1" x14ac:dyDescent="0.35">
      <c r="A37" s="17">
        <v>3</v>
      </c>
      <c r="B37" s="18">
        <v>0.1111111111111111</v>
      </c>
      <c r="C37" s="19" t="s">
        <v>9</v>
      </c>
      <c r="D37" s="19">
        <v>118</v>
      </c>
      <c r="E37" s="19" t="s">
        <v>29</v>
      </c>
      <c r="F37" s="20">
        <v>2</v>
      </c>
      <c r="H37" s="2" t="s">
        <v>44</v>
      </c>
      <c r="I37" s="9">
        <f>((I32/2)*15)-I33</f>
        <v>11350</v>
      </c>
      <c r="K37" s="28">
        <f>(Table215[[#This Row],[SPOT PTS]]/2)*15-65</f>
        <v>820</v>
      </c>
      <c r="L37" s="28">
        <f t="shared" si="1"/>
        <v>20245</v>
      </c>
    </row>
    <row r="38" spans="1:12" ht="19.95" customHeight="1" x14ac:dyDescent="0.3">
      <c r="A38" s="13">
        <v>4</v>
      </c>
      <c r="B38" s="14">
        <v>0.47916666666666669</v>
      </c>
      <c r="C38" s="15" t="s">
        <v>6</v>
      </c>
      <c r="D38" s="15">
        <v>-41</v>
      </c>
      <c r="E38" s="15" t="s">
        <v>21</v>
      </c>
      <c r="F38" s="16">
        <v>1</v>
      </c>
      <c r="G38" s="29"/>
      <c r="K38" s="28">
        <f>(Table215[[#This Row],[SPOT PTS]]/2)*15-65</f>
        <v>-372.5</v>
      </c>
      <c r="L38" s="28">
        <f t="shared" si="1"/>
        <v>19872.5</v>
      </c>
    </row>
    <row r="39" spans="1:12" ht="19.95" customHeight="1" x14ac:dyDescent="0.3">
      <c r="A39" s="21">
        <v>4</v>
      </c>
      <c r="B39" s="22">
        <v>0.50694444444444442</v>
      </c>
      <c r="C39" s="1" t="s">
        <v>6</v>
      </c>
      <c r="D39" s="1">
        <v>-40</v>
      </c>
      <c r="E39" s="1" t="s">
        <v>21</v>
      </c>
      <c r="F39" s="23">
        <v>2</v>
      </c>
      <c r="K39" s="28">
        <f>(Table215[[#This Row],[SPOT PTS]]/2)*15-65</f>
        <v>-365</v>
      </c>
      <c r="L39" s="28">
        <f t="shared" si="1"/>
        <v>19507.5</v>
      </c>
    </row>
    <row r="40" spans="1:12" ht="19.95" customHeight="1" thickBot="1" x14ac:dyDescent="0.35">
      <c r="A40" s="17">
        <v>4</v>
      </c>
      <c r="B40" s="18">
        <v>0.52777777777777779</v>
      </c>
      <c r="C40" s="19" t="s">
        <v>6</v>
      </c>
      <c r="D40" s="19">
        <v>-70</v>
      </c>
      <c r="E40" s="19" t="s">
        <v>21</v>
      </c>
      <c r="F40" s="20">
        <v>2</v>
      </c>
      <c r="K40" s="28">
        <f>(Table215[[#This Row],[SPOT PTS]]/2)*15-65</f>
        <v>-590</v>
      </c>
      <c r="L40" s="28">
        <f t="shared" si="1"/>
        <v>18917.5</v>
      </c>
    </row>
    <row r="41" spans="1:12" ht="19.95" customHeight="1" x14ac:dyDescent="0.3">
      <c r="A41" s="13">
        <v>5</v>
      </c>
      <c r="B41" s="14">
        <v>0.40972222222222227</v>
      </c>
      <c r="C41" s="15" t="s">
        <v>6</v>
      </c>
      <c r="D41" s="15">
        <v>-80</v>
      </c>
      <c r="E41" s="15" t="s">
        <v>23</v>
      </c>
      <c r="F41" s="16">
        <v>1</v>
      </c>
      <c r="K41" s="28">
        <f>(Table215[[#This Row],[SPOT PTS]]/2)*15-65</f>
        <v>-665</v>
      </c>
      <c r="L41" s="28">
        <f t="shared" si="1"/>
        <v>18252.5</v>
      </c>
    </row>
    <row r="42" spans="1:12" ht="19.95" customHeight="1" thickBot="1" x14ac:dyDescent="0.35">
      <c r="A42" s="17">
        <v>5</v>
      </c>
      <c r="B42" s="18">
        <v>0.4236111111111111</v>
      </c>
      <c r="C42" s="19" t="s">
        <v>6</v>
      </c>
      <c r="D42" s="19">
        <v>-80</v>
      </c>
      <c r="E42" s="19" t="s">
        <v>23</v>
      </c>
      <c r="F42" s="20">
        <v>1</v>
      </c>
      <c r="K42" s="28">
        <f>(Table215[[#This Row],[SPOT PTS]]/2)*15-65</f>
        <v>-665</v>
      </c>
      <c r="L42" s="28">
        <f t="shared" si="1"/>
        <v>17587.5</v>
      </c>
    </row>
    <row r="43" spans="1:12" ht="19.95" customHeight="1" x14ac:dyDescent="0.3">
      <c r="A43" s="13">
        <v>8</v>
      </c>
      <c r="B43" s="14">
        <v>0.39583333333333331</v>
      </c>
      <c r="C43" s="15" t="s">
        <v>6</v>
      </c>
      <c r="D43" s="15">
        <v>-70</v>
      </c>
      <c r="E43" s="15" t="s">
        <v>25</v>
      </c>
      <c r="F43" s="16">
        <v>1</v>
      </c>
      <c r="K43" s="28">
        <f>(Table215[[#This Row],[SPOT PTS]]/2)*15-65</f>
        <v>-590</v>
      </c>
      <c r="L43" s="28">
        <f t="shared" si="1"/>
        <v>16997.5</v>
      </c>
    </row>
    <row r="44" spans="1:12" ht="19.95" customHeight="1" x14ac:dyDescent="0.3">
      <c r="A44" s="21">
        <v>8</v>
      </c>
      <c r="B44" s="22">
        <v>0.42708333333333331</v>
      </c>
      <c r="C44" s="1" t="s">
        <v>6</v>
      </c>
      <c r="D44" s="1">
        <v>-76</v>
      </c>
      <c r="E44" s="1" t="s">
        <v>25</v>
      </c>
      <c r="F44" s="23">
        <v>1</v>
      </c>
      <c r="K44" s="28">
        <f>(Table215[[#This Row],[SPOT PTS]]/2)*15-65</f>
        <v>-635</v>
      </c>
      <c r="L44" s="28">
        <f t="shared" si="1"/>
        <v>16362.5</v>
      </c>
    </row>
    <row r="45" spans="1:12" ht="19.95" customHeight="1" thickBot="1" x14ac:dyDescent="0.35">
      <c r="A45" s="17">
        <v>8</v>
      </c>
      <c r="B45" s="18">
        <v>8.6805555555555566E-2</v>
      </c>
      <c r="C45" s="19" t="s">
        <v>9</v>
      </c>
      <c r="D45" s="19">
        <v>169</v>
      </c>
      <c r="E45" s="19" t="s">
        <v>25</v>
      </c>
      <c r="F45" s="20">
        <v>2</v>
      </c>
      <c r="K45" s="28">
        <f>(Table215[[#This Row],[SPOT PTS]]/2)*15-65</f>
        <v>1202.5</v>
      </c>
      <c r="L45" s="28">
        <f t="shared" si="1"/>
        <v>17565</v>
      </c>
    </row>
    <row r="46" spans="1:12" ht="19.95" customHeight="1" x14ac:dyDescent="0.3">
      <c r="A46" s="13">
        <v>9</v>
      </c>
      <c r="B46" s="14">
        <v>0.44444444444444442</v>
      </c>
      <c r="C46" s="15" t="s">
        <v>6</v>
      </c>
      <c r="D46" s="15">
        <v>-80</v>
      </c>
      <c r="E46" s="15" t="s">
        <v>27</v>
      </c>
      <c r="F46" s="16">
        <v>1</v>
      </c>
      <c r="K46" s="28">
        <f>(Table215[[#This Row],[SPOT PTS]]/2)*15-65</f>
        <v>-665</v>
      </c>
      <c r="L46" s="28">
        <f t="shared" si="1"/>
        <v>16900</v>
      </c>
    </row>
    <row r="47" spans="1:12" ht="19.95" customHeight="1" thickBot="1" x14ac:dyDescent="0.35">
      <c r="A47" s="17">
        <v>9</v>
      </c>
      <c r="B47" s="18">
        <v>0.47569444444444442</v>
      </c>
      <c r="C47" s="19" t="s">
        <v>9</v>
      </c>
      <c r="D47" s="19">
        <v>131</v>
      </c>
      <c r="E47" s="19" t="s">
        <v>27</v>
      </c>
      <c r="F47" s="20">
        <v>1</v>
      </c>
      <c r="K47" s="28">
        <f>(Table215[[#This Row],[SPOT PTS]]/2)*15-65</f>
        <v>917.5</v>
      </c>
      <c r="L47" s="28">
        <f t="shared" si="1"/>
        <v>17817.5</v>
      </c>
    </row>
    <row r="48" spans="1:12" ht="19.95" customHeight="1" thickBot="1" x14ac:dyDescent="0.35">
      <c r="A48" s="24">
        <v>10</v>
      </c>
      <c r="B48" s="25">
        <v>0.47916666666666669</v>
      </c>
      <c r="C48" s="26" t="s">
        <v>6</v>
      </c>
      <c r="D48" s="26">
        <v>-50</v>
      </c>
      <c r="E48" s="26" t="s">
        <v>29</v>
      </c>
      <c r="F48" s="27">
        <v>1</v>
      </c>
      <c r="K48" s="28">
        <f>(Table215[[#This Row],[SPOT PTS]]/2)*15-65</f>
        <v>-440</v>
      </c>
      <c r="L48" s="28">
        <f t="shared" si="1"/>
        <v>17377.5</v>
      </c>
    </row>
    <row r="49" spans="1:12" ht="19.95" customHeight="1" thickBot="1" x14ac:dyDescent="0.35">
      <c r="A49" s="24">
        <v>11</v>
      </c>
      <c r="B49" s="25">
        <v>0.41319444444444442</v>
      </c>
      <c r="C49" s="26" t="s">
        <v>9</v>
      </c>
      <c r="D49" s="26">
        <v>193</v>
      </c>
      <c r="E49" s="26" t="s">
        <v>21</v>
      </c>
      <c r="F49" s="27">
        <v>1</v>
      </c>
      <c r="K49" s="28">
        <f>(Table215[[#This Row],[SPOT PTS]]/2)*15-65</f>
        <v>1382.5</v>
      </c>
      <c r="L49" s="28">
        <f t="shared" si="1"/>
        <v>18760</v>
      </c>
    </row>
    <row r="50" spans="1:12" ht="19.95" customHeight="1" x14ac:dyDescent="0.3">
      <c r="A50" s="13">
        <v>12</v>
      </c>
      <c r="B50" s="14">
        <v>0.42708333333333331</v>
      </c>
      <c r="C50" s="15" t="s">
        <v>6</v>
      </c>
      <c r="D50" s="15">
        <v>-55</v>
      </c>
      <c r="E50" s="15" t="s">
        <v>23</v>
      </c>
      <c r="F50" s="16">
        <v>1</v>
      </c>
      <c r="K50" s="28">
        <f>(Table215[[#This Row],[SPOT PTS]]/2)*15-65</f>
        <v>-477.5</v>
      </c>
      <c r="L50" s="28">
        <f t="shared" si="1"/>
        <v>18282.5</v>
      </c>
    </row>
    <row r="51" spans="1:12" ht="19.95" customHeight="1" thickBot="1" x14ac:dyDescent="0.35">
      <c r="A51" s="17">
        <v>12</v>
      </c>
      <c r="B51" s="18">
        <v>0.46180555555555558</v>
      </c>
      <c r="C51" s="19" t="s">
        <v>9</v>
      </c>
      <c r="D51" s="19">
        <v>191</v>
      </c>
      <c r="E51" s="19" t="s">
        <v>23</v>
      </c>
      <c r="F51" s="20">
        <v>1</v>
      </c>
      <c r="K51" s="28">
        <f>(Table215[[#This Row],[SPOT PTS]]/2)*15-65</f>
        <v>1367.5</v>
      </c>
      <c r="L51" s="28">
        <f t="shared" si="1"/>
        <v>19650</v>
      </c>
    </row>
    <row r="52" spans="1:12" ht="19.95" customHeight="1" x14ac:dyDescent="0.3">
      <c r="A52" s="13">
        <v>15</v>
      </c>
      <c r="B52" s="14">
        <v>0.39930555555555558</v>
      </c>
      <c r="C52" s="15" t="s">
        <v>6</v>
      </c>
      <c r="D52" s="15">
        <v>-80</v>
      </c>
      <c r="E52" s="15" t="s">
        <v>25</v>
      </c>
      <c r="F52" s="16">
        <v>1</v>
      </c>
      <c r="K52" s="28">
        <f>(Table215[[#This Row],[SPOT PTS]]/2)*15-65</f>
        <v>-665</v>
      </c>
      <c r="L52" s="28">
        <f t="shared" si="1"/>
        <v>18985</v>
      </c>
    </row>
    <row r="53" spans="1:12" ht="19.95" customHeight="1" x14ac:dyDescent="0.3">
      <c r="A53" s="21">
        <v>15</v>
      </c>
      <c r="B53" s="22">
        <v>0.47222222222222227</v>
      </c>
      <c r="C53" s="1" t="s">
        <v>6</v>
      </c>
      <c r="D53" s="1">
        <v>-39</v>
      </c>
      <c r="E53" s="1" t="s">
        <v>25</v>
      </c>
      <c r="F53" s="23">
        <v>1</v>
      </c>
      <c r="K53" s="28">
        <f>(Table215[[#This Row],[SPOT PTS]]/2)*15-65</f>
        <v>-357.5</v>
      </c>
      <c r="L53" s="28">
        <f t="shared" si="1"/>
        <v>18627.5</v>
      </c>
    </row>
    <row r="54" spans="1:12" ht="19.95" customHeight="1" thickBot="1" x14ac:dyDescent="0.35">
      <c r="A54" s="17">
        <v>15</v>
      </c>
      <c r="B54" s="18">
        <v>9.375E-2</v>
      </c>
      <c r="C54" s="19" t="s">
        <v>6</v>
      </c>
      <c r="D54" s="19">
        <v>-80</v>
      </c>
      <c r="E54" s="19" t="s">
        <v>25</v>
      </c>
      <c r="F54" s="20">
        <v>2</v>
      </c>
      <c r="K54" s="28">
        <f>(Table215[[#This Row],[SPOT PTS]]/2)*15-65</f>
        <v>-665</v>
      </c>
      <c r="L54" s="28">
        <f t="shared" si="1"/>
        <v>17962.5</v>
      </c>
    </row>
    <row r="55" spans="1:12" ht="19.95" customHeight="1" thickBot="1" x14ac:dyDescent="0.35">
      <c r="A55" s="24">
        <v>16</v>
      </c>
      <c r="B55" s="25">
        <v>0.39930555555555558</v>
      </c>
      <c r="C55" s="26" t="s">
        <v>9</v>
      </c>
      <c r="D55" s="26">
        <v>290</v>
      </c>
      <c r="E55" s="26" t="s">
        <v>27</v>
      </c>
      <c r="F55" s="27">
        <v>1</v>
      </c>
      <c r="K55" s="28">
        <f>(Table215[[#This Row],[SPOT PTS]]/2)*15-65</f>
        <v>2110</v>
      </c>
      <c r="L55" s="28">
        <f t="shared" si="1"/>
        <v>20072.5</v>
      </c>
    </row>
    <row r="56" spans="1:12" ht="19.95" customHeight="1" thickBot="1" x14ac:dyDescent="0.35">
      <c r="A56" s="24">
        <v>17</v>
      </c>
      <c r="B56" s="25">
        <v>0.46875</v>
      </c>
      <c r="C56" s="26" t="s">
        <v>9</v>
      </c>
      <c r="D56" s="26">
        <v>253</v>
      </c>
      <c r="E56" s="26" t="s">
        <v>29</v>
      </c>
      <c r="F56" s="27">
        <v>1</v>
      </c>
      <c r="K56" s="28">
        <f>(Table215[[#This Row],[SPOT PTS]]/2)*15-65</f>
        <v>1832.5</v>
      </c>
      <c r="L56" s="28">
        <f t="shared" si="1"/>
        <v>21905</v>
      </c>
    </row>
    <row r="57" spans="1:12" ht="19.95" customHeight="1" thickBot="1" x14ac:dyDescent="0.35">
      <c r="A57" s="24">
        <v>18</v>
      </c>
      <c r="B57" s="25">
        <v>0.10069444444444443</v>
      </c>
      <c r="C57" s="26" t="s">
        <v>6</v>
      </c>
      <c r="D57" s="26">
        <v>-66</v>
      </c>
      <c r="E57" s="26" t="s">
        <v>21</v>
      </c>
      <c r="F57" s="27">
        <v>2</v>
      </c>
      <c r="K57" s="28">
        <f>(Table215[[#This Row],[SPOT PTS]]/2)*15-65</f>
        <v>-560</v>
      </c>
      <c r="L57" s="28">
        <f t="shared" si="1"/>
        <v>21345</v>
      </c>
    </row>
    <row r="58" spans="1:12" ht="19.95" customHeight="1" thickBot="1" x14ac:dyDescent="0.35">
      <c r="A58" s="24">
        <v>19</v>
      </c>
      <c r="B58" s="25">
        <v>0.44791666666666669</v>
      </c>
      <c r="C58" s="26" t="s">
        <v>9</v>
      </c>
      <c r="D58" s="26">
        <v>288</v>
      </c>
      <c r="E58" s="26" t="s">
        <v>23</v>
      </c>
      <c r="F58" s="27">
        <v>1</v>
      </c>
      <c r="K58" s="28">
        <f>(Table215[[#This Row],[SPOT PTS]]/2)*15-65</f>
        <v>2095</v>
      </c>
      <c r="L58" s="28">
        <f t="shared" si="1"/>
        <v>23440</v>
      </c>
    </row>
    <row r="59" spans="1:12" ht="19.95" customHeight="1" thickBot="1" x14ac:dyDescent="0.35">
      <c r="A59" s="24">
        <v>22</v>
      </c>
      <c r="B59" s="25">
        <v>0.40277777777777773</v>
      </c>
      <c r="C59" s="26" t="s">
        <v>9</v>
      </c>
      <c r="D59" s="26">
        <v>264</v>
      </c>
      <c r="E59" s="26" t="s">
        <v>25</v>
      </c>
      <c r="F59" s="27">
        <v>1</v>
      </c>
      <c r="K59" s="28">
        <f>(Table215[[#This Row],[SPOT PTS]]/2)*15-65</f>
        <v>1915</v>
      </c>
      <c r="L59" s="28">
        <f t="shared" si="1"/>
        <v>25355</v>
      </c>
    </row>
    <row r="60" spans="1:12" ht="19.95" customHeight="1" x14ac:dyDescent="0.3">
      <c r="A60" s="13">
        <v>23</v>
      </c>
      <c r="B60" s="14">
        <v>0.39930555555555558</v>
      </c>
      <c r="C60" s="15" t="s">
        <v>6</v>
      </c>
      <c r="D60" s="15">
        <v>-80</v>
      </c>
      <c r="E60" s="15" t="s">
        <v>27</v>
      </c>
      <c r="F60" s="16">
        <v>1</v>
      </c>
      <c r="K60" s="28">
        <f>(Table215[[#This Row],[SPOT PTS]]/2)*15-65</f>
        <v>-665</v>
      </c>
      <c r="L60" s="28">
        <f t="shared" si="1"/>
        <v>24690</v>
      </c>
    </row>
    <row r="61" spans="1:12" ht="19.95" customHeight="1" thickBot="1" x14ac:dyDescent="0.35">
      <c r="A61" s="17">
        <v>23</v>
      </c>
      <c r="B61" s="18">
        <v>0.44791666666666669</v>
      </c>
      <c r="C61" s="19" t="s">
        <v>9</v>
      </c>
      <c r="D61" s="19">
        <v>180</v>
      </c>
      <c r="E61" s="19" t="s">
        <v>27</v>
      </c>
      <c r="F61" s="20">
        <v>1</v>
      </c>
      <c r="K61" s="28">
        <f>(Table215[[#This Row],[SPOT PTS]]/2)*15-65</f>
        <v>1285</v>
      </c>
      <c r="L61" s="28">
        <f t="shared" si="1"/>
        <v>25975</v>
      </c>
    </row>
    <row r="62" spans="1:12" ht="19.95" customHeight="1" thickBot="1" x14ac:dyDescent="0.35">
      <c r="A62" s="24">
        <v>24</v>
      </c>
      <c r="B62" s="25">
        <v>0.40277777777777773</v>
      </c>
      <c r="C62" s="26" t="s">
        <v>6</v>
      </c>
      <c r="D62" s="26">
        <v>-75</v>
      </c>
      <c r="E62" s="26" t="s">
        <v>29</v>
      </c>
      <c r="F62" s="27">
        <v>1</v>
      </c>
      <c r="K62" s="28">
        <f>(Table215[[#This Row],[SPOT PTS]]/2)*15-65</f>
        <v>-627.5</v>
      </c>
      <c r="L62" s="28">
        <f t="shared" si="1"/>
        <v>25347.5</v>
      </c>
    </row>
    <row r="63" spans="1:12" ht="19.95" customHeight="1" thickBot="1" x14ac:dyDescent="0.35">
      <c r="A63" s="24">
        <v>25</v>
      </c>
      <c r="B63" s="25">
        <v>0.40972222222222227</v>
      </c>
      <c r="C63" s="26" t="s">
        <v>9</v>
      </c>
      <c r="D63" s="26">
        <v>256</v>
      </c>
      <c r="E63" s="26" t="s">
        <v>21</v>
      </c>
      <c r="F63" s="27">
        <v>1</v>
      </c>
      <c r="K63" s="28">
        <f>(Table215[[#This Row],[SPOT PTS]]/2)*15-65</f>
        <v>1855</v>
      </c>
      <c r="L63" s="28">
        <f t="shared" si="1"/>
        <v>27202.5</v>
      </c>
    </row>
    <row r="64" spans="1:12" ht="19.95" customHeight="1" thickBot="1" x14ac:dyDescent="0.35">
      <c r="A64" s="24">
        <v>26</v>
      </c>
      <c r="B64" s="25">
        <v>0.11805555555555557</v>
      </c>
      <c r="C64" s="26" t="s">
        <v>9</v>
      </c>
      <c r="D64" s="26">
        <v>304</v>
      </c>
      <c r="E64" s="26" t="s">
        <v>23</v>
      </c>
      <c r="F64" s="27">
        <v>2</v>
      </c>
      <c r="K64" s="28">
        <f>(Table215[[#This Row],[SPOT PTS]]/2)*15-65</f>
        <v>2215</v>
      </c>
      <c r="L64" s="28">
        <f t="shared" si="1"/>
        <v>29417.5</v>
      </c>
    </row>
    <row r="65" spans="1:12" ht="19.95" customHeight="1" x14ac:dyDescent="0.3">
      <c r="A65" s="40" t="s">
        <v>51</v>
      </c>
      <c r="B65" s="40"/>
      <c r="C65" s="40"/>
      <c r="D65" s="40"/>
      <c r="E65" s="40"/>
      <c r="F65" s="40"/>
    </row>
    <row r="66" spans="1:12" ht="19.95" customHeight="1" thickBot="1" x14ac:dyDescent="0.35">
      <c r="A66" s="10" t="s">
        <v>46</v>
      </c>
      <c r="B66" s="10" t="s">
        <v>47</v>
      </c>
      <c r="C66" s="10" t="s">
        <v>0</v>
      </c>
      <c r="D66" s="10" t="s">
        <v>48</v>
      </c>
      <c r="E66" s="10" t="s">
        <v>14</v>
      </c>
      <c r="F66" s="10" t="s">
        <v>49</v>
      </c>
      <c r="H66" s="2" t="s">
        <v>38</v>
      </c>
      <c r="I66" s="2">
        <f>COUNT(Table316[DATE])</f>
        <v>37</v>
      </c>
      <c r="L66" s="28">
        <f>L64</f>
        <v>29417.5</v>
      </c>
    </row>
    <row r="67" spans="1:12" ht="19.95" customHeight="1" x14ac:dyDescent="0.3">
      <c r="A67" s="13">
        <v>1</v>
      </c>
      <c r="B67" s="14">
        <v>0.3923611111111111</v>
      </c>
      <c r="C67" s="15" t="s">
        <v>6</v>
      </c>
      <c r="D67" s="15">
        <v>-80</v>
      </c>
      <c r="E67" s="15" t="s">
        <v>25</v>
      </c>
      <c r="F67" s="16">
        <v>1</v>
      </c>
      <c r="H67" s="2" t="s">
        <v>39</v>
      </c>
      <c r="I67" s="3">
        <f>((COUNTIF(Table316[OUTCOME],"TARGET"))/I66)</f>
        <v>0.48648648648648651</v>
      </c>
      <c r="K67" s="28">
        <f>(Table316[[#This Row],[SPOT PTS]]/2)*15-65</f>
        <v>-665</v>
      </c>
      <c r="L67" s="28">
        <f>K67+L66</f>
        <v>28752.5</v>
      </c>
    </row>
    <row r="68" spans="1:12" ht="19.95" customHeight="1" x14ac:dyDescent="0.3">
      <c r="A68" s="21">
        <v>1</v>
      </c>
      <c r="B68" s="22">
        <v>0.41319444444444442</v>
      </c>
      <c r="C68" s="1" t="s">
        <v>6</v>
      </c>
      <c r="D68" s="1">
        <v>-80</v>
      </c>
      <c r="E68" s="1" t="s">
        <v>25</v>
      </c>
      <c r="F68" s="23">
        <v>1</v>
      </c>
      <c r="H68" s="2" t="s">
        <v>40</v>
      </c>
      <c r="I68" s="2">
        <f>SUM(Table316[SPOT PTS])</f>
        <v>2429</v>
      </c>
      <c r="K68" s="28">
        <f>(Table316[[#This Row],[SPOT PTS]]/2)*15-65</f>
        <v>-665</v>
      </c>
      <c r="L68" s="28">
        <f t="shared" ref="L68:L103" si="2">K68+L67</f>
        <v>28087.5</v>
      </c>
    </row>
    <row r="69" spans="1:12" ht="19.95" customHeight="1" thickBot="1" x14ac:dyDescent="0.35">
      <c r="A69" s="17">
        <v>1</v>
      </c>
      <c r="B69" s="18">
        <v>0.44097222222222227</v>
      </c>
      <c r="C69" s="19" t="s">
        <v>9</v>
      </c>
      <c r="D69" s="19">
        <v>267</v>
      </c>
      <c r="E69" s="19" t="s">
        <v>25</v>
      </c>
      <c r="F69" s="20">
        <v>1</v>
      </c>
      <c r="H69" s="2" t="s">
        <v>10</v>
      </c>
      <c r="I69" s="2">
        <f>65*I66</f>
        <v>2405</v>
      </c>
      <c r="K69" s="28">
        <f>(Table316[[#This Row],[SPOT PTS]]/2)*15-65</f>
        <v>1937.5</v>
      </c>
      <c r="L69" s="28">
        <f t="shared" si="2"/>
        <v>30025</v>
      </c>
    </row>
    <row r="70" spans="1:12" ht="19.95" customHeight="1" thickBot="1" x14ac:dyDescent="0.35">
      <c r="A70" s="24">
        <v>2</v>
      </c>
      <c r="B70" s="25">
        <v>0.39930555555555558</v>
      </c>
      <c r="C70" s="26" t="s">
        <v>9</v>
      </c>
      <c r="D70" s="26">
        <v>241</v>
      </c>
      <c r="E70" s="26" t="s">
        <v>27</v>
      </c>
      <c r="F70" s="27">
        <v>1</v>
      </c>
      <c r="H70" s="2" t="s">
        <v>41</v>
      </c>
      <c r="I70" s="2">
        <f>SUMIF(Table316[OUTCOME],"STOPLOSS",Table316[SPOT PTS])</f>
        <v>-1219</v>
      </c>
      <c r="K70" s="28">
        <f>(Table316[[#This Row],[SPOT PTS]]/2)*15-65</f>
        <v>1742.5</v>
      </c>
      <c r="L70" s="28">
        <f t="shared" si="2"/>
        <v>31767.5</v>
      </c>
    </row>
    <row r="71" spans="1:12" ht="19.95" customHeight="1" thickBot="1" x14ac:dyDescent="0.35">
      <c r="A71" s="24">
        <v>3</v>
      </c>
      <c r="B71" s="25">
        <v>0.3923611111111111</v>
      </c>
      <c r="C71" s="26" t="s">
        <v>6</v>
      </c>
      <c r="D71" s="26">
        <v>-80</v>
      </c>
      <c r="E71" s="26" t="s">
        <v>29</v>
      </c>
      <c r="F71" s="27">
        <v>1</v>
      </c>
      <c r="H71" s="2" t="s">
        <v>42</v>
      </c>
      <c r="I71" s="2">
        <f>SUMIF(Table316[OUTCOME],"TARGET",Table316[SPOT PTS])</f>
        <v>3648</v>
      </c>
      <c r="K71" s="28">
        <f>(Table316[[#This Row],[SPOT PTS]]/2)*15-65</f>
        <v>-665</v>
      </c>
      <c r="L71" s="28">
        <f t="shared" si="2"/>
        <v>31102.5</v>
      </c>
    </row>
    <row r="72" spans="1:12" ht="19.95" customHeight="1" x14ac:dyDescent="0.3">
      <c r="A72" s="13">
        <v>4</v>
      </c>
      <c r="B72" s="14">
        <v>0.44444444444444442</v>
      </c>
      <c r="C72" s="15" t="s">
        <v>6</v>
      </c>
      <c r="D72" s="15">
        <v>-35</v>
      </c>
      <c r="E72" s="15" t="s">
        <v>21</v>
      </c>
      <c r="F72" s="16">
        <v>1</v>
      </c>
      <c r="H72" s="2" t="s">
        <v>43</v>
      </c>
      <c r="I72" s="6">
        <f>(L103-L66)/L66</f>
        <v>0.53752018356420495</v>
      </c>
      <c r="K72" s="28">
        <f>(Table316[[#This Row],[SPOT PTS]]/2)*15-65</f>
        <v>-327.5</v>
      </c>
      <c r="L72" s="28">
        <f t="shared" si="2"/>
        <v>30775</v>
      </c>
    </row>
    <row r="73" spans="1:12" ht="19.95" customHeight="1" x14ac:dyDescent="0.3">
      <c r="A73" s="21">
        <v>4</v>
      </c>
      <c r="B73" s="22">
        <v>0.47569444444444442</v>
      </c>
      <c r="C73" s="1" t="s">
        <v>6</v>
      </c>
      <c r="D73" s="1">
        <v>-66</v>
      </c>
      <c r="E73" s="1" t="s">
        <v>21</v>
      </c>
      <c r="F73" s="23">
        <v>1</v>
      </c>
      <c r="H73" s="2" t="s">
        <v>44</v>
      </c>
      <c r="I73" s="9">
        <f>((I68/2)*15)-I69</f>
        <v>15812.5</v>
      </c>
      <c r="K73" s="28">
        <f>(Table316[[#This Row],[SPOT PTS]]/2)*15-65</f>
        <v>-560</v>
      </c>
      <c r="L73" s="28">
        <f t="shared" si="2"/>
        <v>30215</v>
      </c>
    </row>
    <row r="74" spans="1:12" ht="19.95" customHeight="1" thickBot="1" x14ac:dyDescent="0.35">
      <c r="A74" s="17">
        <v>4</v>
      </c>
      <c r="B74" s="18">
        <v>0.49652777777777773</v>
      </c>
      <c r="C74" s="19" t="s">
        <v>6</v>
      </c>
      <c r="D74" s="19">
        <v>-43</v>
      </c>
      <c r="E74" s="19" t="s">
        <v>21</v>
      </c>
      <c r="F74" s="20">
        <v>1</v>
      </c>
      <c r="K74" s="28">
        <f>(Table316[[#This Row],[SPOT PTS]]/2)*15-65</f>
        <v>-387.5</v>
      </c>
      <c r="L74" s="28">
        <f t="shared" si="2"/>
        <v>29827.5</v>
      </c>
    </row>
    <row r="75" spans="1:12" ht="19.95" customHeight="1" thickBot="1" x14ac:dyDescent="0.35">
      <c r="A75" s="24">
        <v>5</v>
      </c>
      <c r="B75" s="25">
        <v>0.42708333333333331</v>
      </c>
      <c r="C75" s="26" t="s">
        <v>9</v>
      </c>
      <c r="D75" s="26">
        <v>241</v>
      </c>
      <c r="E75" s="26" t="s">
        <v>23</v>
      </c>
      <c r="F75" s="27">
        <v>1</v>
      </c>
      <c r="K75" s="28">
        <f>(Table316[[#This Row],[SPOT PTS]]/2)*15-65</f>
        <v>1742.5</v>
      </c>
      <c r="L75" s="28">
        <f t="shared" si="2"/>
        <v>31570</v>
      </c>
    </row>
    <row r="76" spans="1:12" ht="19.95" customHeight="1" x14ac:dyDescent="0.3">
      <c r="A76" s="13">
        <v>8</v>
      </c>
      <c r="B76" s="14">
        <v>0.4201388888888889</v>
      </c>
      <c r="C76" s="15" t="s">
        <v>6</v>
      </c>
      <c r="D76" s="15">
        <v>-43</v>
      </c>
      <c r="E76" s="15" t="s">
        <v>25</v>
      </c>
      <c r="F76" s="16">
        <v>1</v>
      </c>
      <c r="K76" s="28">
        <f>(Table316[[#This Row],[SPOT PTS]]/2)*15-65</f>
        <v>-387.5</v>
      </c>
      <c r="L76" s="28">
        <f t="shared" si="2"/>
        <v>31182.5</v>
      </c>
    </row>
    <row r="77" spans="1:12" ht="19.95" customHeight="1" thickBot="1" x14ac:dyDescent="0.35">
      <c r="A77" s="17">
        <v>8</v>
      </c>
      <c r="B77" s="18">
        <v>5.5555555555555552E-2</v>
      </c>
      <c r="C77" s="19" t="s">
        <v>9</v>
      </c>
      <c r="D77" s="19">
        <v>166</v>
      </c>
      <c r="E77" s="19" t="s">
        <v>25</v>
      </c>
      <c r="F77" s="20">
        <v>2</v>
      </c>
      <c r="K77" s="28">
        <f>(Table316[[#This Row],[SPOT PTS]]/2)*15-65</f>
        <v>1180</v>
      </c>
      <c r="L77" s="28">
        <f t="shared" si="2"/>
        <v>32362.5</v>
      </c>
    </row>
    <row r="78" spans="1:12" ht="19.95" customHeight="1" x14ac:dyDescent="0.3">
      <c r="A78" s="13">
        <v>9</v>
      </c>
      <c r="B78" s="14">
        <v>0.3923611111111111</v>
      </c>
      <c r="C78" s="15" t="s">
        <v>6</v>
      </c>
      <c r="D78" s="15">
        <v>-65</v>
      </c>
      <c r="E78" s="15" t="s">
        <v>27</v>
      </c>
      <c r="F78" s="16">
        <v>1</v>
      </c>
      <c r="K78" s="28">
        <f>(Table316[[#This Row],[SPOT PTS]]/2)*15-65</f>
        <v>-552.5</v>
      </c>
      <c r="L78" s="28">
        <f t="shared" si="2"/>
        <v>31810</v>
      </c>
    </row>
    <row r="79" spans="1:12" ht="19.95" customHeight="1" x14ac:dyDescent="0.3">
      <c r="A79" s="21">
        <v>9</v>
      </c>
      <c r="B79" s="22">
        <v>0.4236111111111111</v>
      </c>
      <c r="C79" s="1" t="s">
        <v>6</v>
      </c>
      <c r="D79" s="1">
        <v>-51</v>
      </c>
      <c r="E79" s="1" t="s">
        <v>27</v>
      </c>
      <c r="F79" s="23">
        <v>1</v>
      </c>
      <c r="K79" s="28">
        <f>(Table316[[#This Row],[SPOT PTS]]/2)*15-65</f>
        <v>-447.5</v>
      </c>
      <c r="L79" s="28">
        <f t="shared" si="2"/>
        <v>31362.5</v>
      </c>
    </row>
    <row r="80" spans="1:12" ht="19.95" customHeight="1" thickBot="1" x14ac:dyDescent="0.35">
      <c r="A80" s="17">
        <v>9</v>
      </c>
      <c r="B80" s="18">
        <v>6.9444444444444434E-2</v>
      </c>
      <c r="C80" s="19" t="s">
        <v>9</v>
      </c>
      <c r="D80" s="19">
        <v>145</v>
      </c>
      <c r="E80" s="19" t="s">
        <v>27</v>
      </c>
      <c r="F80" s="20">
        <v>2</v>
      </c>
      <c r="K80" s="28">
        <f>(Table316[[#This Row],[SPOT PTS]]/2)*15-65</f>
        <v>1022.5</v>
      </c>
      <c r="L80" s="28">
        <f t="shared" si="2"/>
        <v>32385</v>
      </c>
    </row>
    <row r="81" spans="1:12" ht="19.95" customHeight="1" x14ac:dyDescent="0.3">
      <c r="A81" s="13">
        <v>10</v>
      </c>
      <c r="B81" s="14">
        <v>0.3888888888888889</v>
      </c>
      <c r="C81" s="15" t="s">
        <v>6</v>
      </c>
      <c r="D81" s="15">
        <v>-80</v>
      </c>
      <c r="E81" s="15" t="s">
        <v>29</v>
      </c>
      <c r="F81" s="16">
        <v>1</v>
      </c>
      <c r="K81" s="28">
        <f>(Table316[[#This Row],[SPOT PTS]]/2)*15-65</f>
        <v>-665</v>
      </c>
      <c r="L81" s="28">
        <f t="shared" si="2"/>
        <v>31720</v>
      </c>
    </row>
    <row r="82" spans="1:12" ht="19.95" customHeight="1" thickBot="1" x14ac:dyDescent="0.35">
      <c r="A82" s="17">
        <v>10</v>
      </c>
      <c r="B82" s="18">
        <v>0.4826388888888889</v>
      </c>
      <c r="C82" s="19" t="s">
        <v>9</v>
      </c>
      <c r="D82" s="19">
        <v>158</v>
      </c>
      <c r="E82" s="19" t="s">
        <v>29</v>
      </c>
      <c r="F82" s="20">
        <v>1</v>
      </c>
      <c r="K82" s="28">
        <f>(Table316[[#This Row],[SPOT PTS]]/2)*15-65</f>
        <v>1120</v>
      </c>
      <c r="L82" s="28">
        <f t="shared" si="2"/>
        <v>32840</v>
      </c>
    </row>
    <row r="83" spans="1:12" ht="19.95" customHeight="1" thickBot="1" x14ac:dyDescent="0.35">
      <c r="A83" s="24">
        <v>12</v>
      </c>
      <c r="B83" s="25">
        <v>0.3923611111111111</v>
      </c>
      <c r="C83" s="26" t="s">
        <v>9</v>
      </c>
      <c r="D83" s="26">
        <v>214</v>
      </c>
      <c r="E83" s="26" t="s">
        <v>23</v>
      </c>
      <c r="F83" s="27">
        <v>1</v>
      </c>
      <c r="K83" s="28">
        <f>(Table316[[#This Row],[SPOT PTS]]/2)*15-65</f>
        <v>1540</v>
      </c>
      <c r="L83" s="28">
        <f t="shared" si="2"/>
        <v>34380</v>
      </c>
    </row>
    <row r="84" spans="1:12" ht="19.95" customHeight="1" thickBot="1" x14ac:dyDescent="0.35">
      <c r="A84" s="24">
        <v>15</v>
      </c>
      <c r="B84" s="25">
        <v>7.6388888888888895E-2</v>
      </c>
      <c r="C84" s="26" t="s">
        <v>6</v>
      </c>
      <c r="D84" s="26">
        <v>-75</v>
      </c>
      <c r="E84" s="26" t="s">
        <v>25</v>
      </c>
      <c r="F84" s="27">
        <v>2</v>
      </c>
      <c r="K84" s="28">
        <f>(Table316[[#This Row],[SPOT PTS]]/2)*15-65</f>
        <v>-627.5</v>
      </c>
      <c r="L84" s="28">
        <f t="shared" si="2"/>
        <v>33752.5</v>
      </c>
    </row>
    <row r="85" spans="1:12" ht="19.95" customHeight="1" thickBot="1" x14ac:dyDescent="0.35">
      <c r="A85" s="24">
        <v>16</v>
      </c>
      <c r="B85" s="25">
        <v>0.44097222222222227</v>
      </c>
      <c r="C85" s="26" t="s">
        <v>9</v>
      </c>
      <c r="D85" s="26">
        <v>237</v>
      </c>
      <c r="E85" s="26" t="s">
        <v>27</v>
      </c>
      <c r="F85" s="27">
        <v>1</v>
      </c>
      <c r="K85" s="28">
        <f>(Table316[[#This Row],[SPOT PTS]]/2)*15-65</f>
        <v>1712.5</v>
      </c>
      <c r="L85" s="28">
        <f t="shared" si="2"/>
        <v>35465</v>
      </c>
    </row>
    <row r="86" spans="1:12" ht="19.95" customHeight="1" thickBot="1" x14ac:dyDescent="0.35">
      <c r="A86" s="24">
        <v>17</v>
      </c>
      <c r="B86" s="25">
        <v>0.4826388888888889</v>
      </c>
      <c r="C86" s="26" t="s">
        <v>9</v>
      </c>
      <c r="D86" s="26">
        <v>261</v>
      </c>
      <c r="E86" s="26" t="s">
        <v>29</v>
      </c>
      <c r="F86" s="27">
        <v>1</v>
      </c>
      <c r="K86" s="28">
        <f>(Table316[[#This Row],[SPOT PTS]]/2)*15-65</f>
        <v>1892.5</v>
      </c>
      <c r="L86" s="28">
        <f t="shared" si="2"/>
        <v>37357.5</v>
      </c>
    </row>
    <row r="87" spans="1:12" ht="19.95" customHeight="1" x14ac:dyDescent="0.3">
      <c r="A87" s="13">
        <v>18</v>
      </c>
      <c r="B87" s="14">
        <v>0.3923611111111111</v>
      </c>
      <c r="C87" s="15" t="s">
        <v>6</v>
      </c>
      <c r="D87" s="15">
        <v>-80</v>
      </c>
      <c r="E87" s="15" t="s">
        <v>21</v>
      </c>
      <c r="F87" s="16">
        <v>1</v>
      </c>
      <c r="K87" s="28">
        <f>(Table316[[#This Row],[SPOT PTS]]/2)*15-65</f>
        <v>-665</v>
      </c>
      <c r="L87" s="28">
        <f t="shared" si="2"/>
        <v>36692.5</v>
      </c>
    </row>
    <row r="88" spans="1:12" ht="19.95" customHeight="1" thickBot="1" x14ac:dyDescent="0.35">
      <c r="A88" s="17">
        <v>18</v>
      </c>
      <c r="B88" s="18">
        <v>0.41319444444444442</v>
      </c>
      <c r="C88" s="19" t="s">
        <v>9</v>
      </c>
      <c r="D88" s="19">
        <v>153</v>
      </c>
      <c r="E88" s="19" t="s">
        <v>21</v>
      </c>
      <c r="F88" s="20">
        <v>1</v>
      </c>
      <c r="K88" s="28">
        <f>(Table316[[#This Row],[SPOT PTS]]/2)*15-65</f>
        <v>1082.5</v>
      </c>
      <c r="L88" s="28">
        <f t="shared" si="2"/>
        <v>37775</v>
      </c>
    </row>
    <row r="89" spans="1:12" ht="19.95" customHeight="1" x14ac:dyDescent="0.3">
      <c r="A89" s="13">
        <v>19</v>
      </c>
      <c r="B89" s="14">
        <v>0.42708333333333331</v>
      </c>
      <c r="C89" s="15" t="s">
        <v>6</v>
      </c>
      <c r="D89" s="15">
        <v>-80</v>
      </c>
      <c r="E89" s="15" t="s">
        <v>23</v>
      </c>
      <c r="F89" s="16">
        <v>1</v>
      </c>
      <c r="K89" s="28">
        <f>(Table316[[#This Row],[SPOT PTS]]/2)*15-65</f>
        <v>-665</v>
      </c>
      <c r="L89" s="28">
        <f t="shared" si="2"/>
        <v>37110</v>
      </c>
    </row>
    <row r="90" spans="1:12" ht="19.95" customHeight="1" thickBot="1" x14ac:dyDescent="0.35">
      <c r="A90" s="17">
        <v>19</v>
      </c>
      <c r="B90" s="18">
        <v>0.46875</v>
      </c>
      <c r="C90" s="19" t="s">
        <v>9</v>
      </c>
      <c r="D90" s="19">
        <v>240</v>
      </c>
      <c r="E90" s="19" t="s">
        <v>23</v>
      </c>
      <c r="F90" s="20">
        <v>1</v>
      </c>
      <c r="K90" s="28">
        <f>(Table316[[#This Row],[SPOT PTS]]/2)*15-65</f>
        <v>1735</v>
      </c>
      <c r="L90" s="28">
        <f t="shared" si="2"/>
        <v>38845</v>
      </c>
    </row>
    <row r="91" spans="1:12" ht="19.95" customHeight="1" thickBot="1" x14ac:dyDescent="0.35">
      <c r="A91" s="24">
        <v>22</v>
      </c>
      <c r="B91" s="25">
        <v>0.41319444444444442</v>
      </c>
      <c r="C91" s="26" t="s">
        <v>9</v>
      </c>
      <c r="D91" s="26">
        <v>237</v>
      </c>
      <c r="E91" s="26" t="s">
        <v>25</v>
      </c>
      <c r="F91" s="27">
        <v>1</v>
      </c>
      <c r="K91" s="28">
        <f>(Table316[[#This Row],[SPOT PTS]]/2)*15-65</f>
        <v>1712.5</v>
      </c>
      <c r="L91" s="28">
        <f t="shared" si="2"/>
        <v>40557.5</v>
      </c>
    </row>
    <row r="92" spans="1:12" ht="19.95" customHeight="1" thickBot="1" x14ac:dyDescent="0.35">
      <c r="A92" s="24">
        <v>23</v>
      </c>
      <c r="B92" s="25">
        <v>0.39930555555555558</v>
      </c>
      <c r="C92" s="26" t="s">
        <v>9</v>
      </c>
      <c r="D92" s="26">
        <v>198</v>
      </c>
      <c r="E92" s="26" t="s">
        <v>27</v>
      </c>
      <c r="F92" s="27">
        <v>1</v>
      </c>
      <c r="K92" s="28">
        <f>(Table316[[#This Row],[SPOT PTS]]/2)*15-65</f>
        <v>1420</v>
      </c>
      <c r="L92" s="28">
        <f t="shared" si="2"/>
        <v>41977.5</v>
      </c>
    </row>
    <row r="93" spans="1:12" ht="19.95" customHeight="1" x14ac:dyDescent="0.3">
      <c r="A93" s="13">
        <v>24</v>
      </c>
      <c r="B93" s="14">
        <v>0.50347222222222221</v>
      </c>
      <c r="C93" s="15" t="s">
        <v>6</v>
      </c>
      <c r="D93" s="15">
        <v>-47</v>
      </c>
      <c r="E93" s="15" t="s">
        <v>29</v>
      </c>
      <c r="F93" s="16">
        <v>2</v>
      </c>
      <c r="K93" s="28">
        <f>(Table316[[#This Row],[SPOT PTS]]/2)*15-65</f>
        <v>-417.5</v>
      </c>
      <c r="L93" s="28">
        <f t="shared" si="2"/>
        <v>41560</v>
      </c>
    </row>
    <row r="94" spans="1:12" ht="19.95" customHeight="1" thickBot="1" x14ac:dyDescent="0.35">
      <c r="A94" s="17">
        <v>24</v>
      </c>
      <c r="B94" s="18">
        <v>0.87847222222222221</v>
      </c>
      <c r="C94" s="19" t="s">
        <v>9</v>
      </c>
      <c r="D94" s="19">
        <v>151</v>
      </c>
      <c r="E94" s="19" t="s">
        <v>29</v>
      </c>
      <c r="F94" s="20">
        <v>2</v>
      </c>
      <c r="K94" s="28">
        <f>(Table316[[#This Row],[SPOT PTS]]/2)*15-65</f>
        <v>1067.5</v>
      </c>
      <c r="L94" s="28">
        <f t="shared" si="2"/>
        <v>42627.5</v>
      </c>
    </row>
    <row r="95" spans="1:12" ht="19.95" customHeight="1" x14ac:dyDescent="0.3">
      <c r="A95" s="13">
        <v>25</v>
      </c>
      <c r="B95" s="14">
        <v>4.5138888888888888E-2</v>
      </c>
      <c r="C95" s="15" t="s">
        <v>6</v>
      </c>
      <c r="D95" s="15">
        <v>-80</v>
      </c>
      <c r="E95" s="15" t="s">
        <v>21</v>
      </c>
      <c r="F95" s="16">
        <v>2</v>
      </c>
      <c r="K95" s="28">
        <f>(Table316[[#This Row],[SPOT PTS]]/2)*15-65</f>
        <v>-665</v>
      </c>
      <c r="L95" s="28">
        <f t="shared" si="2"/>
        <v>41962.5</v>
      </c>
    </row>
    <row r="96" spans="1:12" ht="19.95" customHeight="1" x14ac:dyDescent="0.3">
      <c r="A96" s="21">
        <v>25</v>
      </c>
      <c r="B96" s="22">
        <v>9.0277777777777776E-2</v>
      </c>
      <c r="C96" s="1" t="s">
        <v>6</v>
      </c>
      <c r="D96" s="1">
        <v>-80</v>
      </c>
      <c r="E96" s="1" t="s">
        <v>21</v>
      </c>
      <c r="F96" s="23">
        <v>2</v>
      </c>
      <c r="K96" s="28">
        <f>(Table316[[#This Row],[SPOT PTS]]/2)*15-65</f>
        <v>-665</v>
      </c>
      <c r="L96" s="28">
        <f t="shared" si="2"/>
        <v>41297.5</v>
      </c>
    </row>
    <row r="97" spans="1:12" ht="19.95" customHeight="1" thickBot="1" x14ac:dyDescent="0.35">
      <c r="A97" s="17">
        <v>25</v>
      </c>
      <c r="B97" s="18">
        <v>0.12152777777777778</v>
      </c>
      <c r="C97" s="19" t="s">
        <v>9</v>
      </c>
      <c r="D97" s="19">
        <v>281</v>
      </c>
      <c r="E97" s="19" t="s">
        <v>21</v>
      </c>
      <c r="F97" s="20">
        <v>2</v>
      </c>
      <c r="K97" s="28">
        <f>(Table316[[#This Row],[SPOT PTS]]/2)*15-65</f>
        <v>2042.5</v>
      </c>
      <c r="L97" s="28">
        <f t="shared" si="2"/>
        <v>43340</v>
      </c>
    </row>
    <row r="98" spans="1:12" ht="19.95" customHeight="1" x14ac:dyDescent="0.3">
      <c r="A98" s="13">
        <v>26</v>
      </c>
      <c r="B98" s="14">
        <v>0.39930555555555558</v>
      </c>
      <c r="C98" s="15" t="s">
        <v>6</v>
      </c>
      <c r="D98" s="15">
        <v>-80</v>
      </c>
      <c r="E98" s="15" t="s">
        <v>23</v>
      </c>
      <c r="F98" s="16">
        <v>1</v>
      </c>
      <c r="K98" s="28">
        <f>(Table316[[#This Row],[SPOT PTS]]/2)*15-65</f>
        <v>-665</v>
      </c>
      <c r="L98" s="28">
        <f t="shared" si="2"/>
        <v>42675</v>
      </c>
    </row>
    <row r="99" spans="1:12" ht="19.95" customHeight="1" thickBot="1" x14ac:dyDescent="0.35">
      <c r="A99" s="17">
        <v>26</v>
      </c>
      <c r="B99" s="18">
        <v>0.5</v>
      </c>
      <c r="C99" s="19" t="s">
        <v>9</v>
      </c>
      <c r="D99" s="19">
        <v>180</v>
      </c>
      <c r="E99" s="19" t="s">
        <v>23</v>
      </c>
      <c r="F99" s="20">
        <v>1</v>
      </c>
      <c r="K99" s="28">
        <f>(Table316[[#This Row],[SPOT PTS]]/2)*15-65</f>
        <v>1285</v>
      </c>
      <c r="L99" s="28">
        <f t="shared" si="2"/>
        <v>43960</v>
      </c>
    </row>
    <row r="100" spans="1:12" ht="19.95" customHeight="1" x14ac:dyDescent="0.3">
      <c r="A100" s="13">
        <v>30</v>
      </c>
      <c r="B100" s="14">
        <v>0.4375</v>
      </c>
      <c r="C100" s="15" t="s">
        <v>6</v>
      </c>
      <c r="D100" s="15">
        <v>-28</v>
      </c>
      <c r="E100" s="15" t="s">
        <v>27</v>
      </c>
      <c r="F100" s="16">
        <v>1</v>
      </c>
      <c r="K100" s="28">
        <f>(Table316[[#This Row],[SPOT PTS]]/2)*15-65</f>
        <v>-275</v>
      </c>
      <c r="L100" s="28">
        <f t="shared" si="2"/>
        <v>43685</v>
      </c>
    </row>
    <row r="101" spans="1:12" ht="19.95" customHeight="1" thickBot="1" x14ac:dyDescent="0.35">
      <c r="A101" s="17">
        <v>30</v>
      </c>
      <c r="B101" s="18">
        <v>0.47569444444444442</v>
      </c>
      <c r="C101" s="19" t="s">
        <v>9</v>
      </c>
      <c r="D101" s="19">
        <v>174</v>
      </c>
      <c r="E101" s="19" t="s">
        <v>27</v>
      </c>
      <c r="F101" s="20">
        <v>1</v>
      </c>
      <c r="K101" s="28">
        <f>(Table316[[#This Row],[SPOT PTS]]/2)*15-65</f>
        <v>1240</v>
      </c>
      <c r="L101" s="28">
        <f t="shared" si="2"/>
        <v>44925</v>
      </c>
    </row>
    <row r="102" spans="1:12" ht="19.95" customHeight="1" x14ac:dyDescent="0.3">
      <c r="A102" s="13">
        <v>31</v>
      </c>
      <c r="B102" s="14">
        <v>0.51736111111111105</v>
      </c>
      <c r="C102" s="15" t="s">
        <v>6</v>
      </c>
      <c r="D102" s="15">
        <v>-46</v>
      </c>
      <c r="E102" s="15" t="s">
        <v>29</v>
      </c>
      <c r="F102" s="16">
        <v>2</v>
      </c>
      <c r="K102" s="28">
        <f>(Table316[[#This Row],[SPOT PTS]]/2)*15-65</f>
        <v>-410</v>
      </c>
      <c r="L102" s="28">
        <f t="shared" si="2"/>
        <v>44515</v>
      </c>
    </row>
    <row r="103" spans="1:12" ht="19.95" customHeight="1" thickBot="1" x14ac:dyDescent="0.35">
      <c r="A103" s="17">
        <v>31</v>
      </c>
      <c r="B103" s="18">
        <v>4.8611111111111112E-2</v>
      </c>
      <c r="C103" s="19" t="s">
        <v>9</v>
      </c>
      <c r="D103" s="19">
        <v>104</v>
      </c>
      <c r="E103" s="19" t="s">
        <v>29</v>
      </c>
      <c r="F103" s="20">
        <v>2</v>
      </c>
      <c r="K103" s="28">
        <f>(Table316[[#This Row],[SPOT PTS]]/2)*15-65</f>
        <v>715</v>
      </c>
      <c r="L103" s="28">
        <f t="shared" si="2"/>
        <v>45230</v>
      </c>
    </row>
    <row r="104" spans="1:12" ht="19.95" customHeight="1" x14ac:dyDescent="0.3">
      <c r="A104" s="40" t="s">
        <v>52</v>
      </c>
      <c r="B104" s="40"/>
      <c r="C104" s="40"/>
      <c r="D104" s="40"/>
      <c r="E104" s="40"/>
      <c r="F104" s="40"/>
    </row>
    <row r="105" spans="1:12" ht="19.95" customHeight="1" thickBot="1" x14ac:dyDescent="0.35">
      <c r="A105" s="10" t="s">
        <v>46</v>
      </c>
      <c r="B105" s="10" t="s">
        <v>47</v>
      </c>
      <c r="C105" s="10" t="s">
        <v>0</v>
      </c>
      <c r="D105" s="10" t="s">
        <v>48</v>
      </c>
      <c r="E105" s="10" t="s">
        <v>14</v>
      </c>
      <c r="F105" s="10" t="s">
        <v>49</v>
      </c>
      <c r="H105" s="2" t="s">
        <v>38</v>
      </c>
      <c r="I105" s="2">
        <f>COUNT(Table417[DATE])</f>
        <v>32</v>
      </c>
      <c r="L105" s="28">
        <f>L103</f>
        <v>45230</v>
      </c>
    </row>
    <row r="106" spans="1:12" ht="19.95" customHeight="1" thickBot="1" x14ac:dyDescent="0.35">
      <c r="A106" s="24">
        <v>1</v>
      </c>
      <c r="B106" s="25">
        <v>0.3888888888888889</v>
      </c>
      <c r="C106" s="26" t="s">
        <v>9</v>
      </c>
      <c r="D106" s="26">
        <v>235</v>
      </c>
      <c r="E106" s="26" t="s">
        <v>21</v>
      </c>
      <c r="F106" s="27">
        <v>1</v>
      </c>
      <c r="H106" s="2" t="s">
        <v>39</v>
      </c>
      <c r="I106" s="3">
        <f>((COUNTIF(Table417[OUTCOME],"TARGET"))/I105)</f>
        <v>0.375</v>
      </c>
      <c r="K106" s="28">
        <f>(Table417[[#This Row],[SPOT PTS]]/2)*15-65</f>
        <v>1697.5</v>
      </c>
      <c r="L106" s="28">
        <f>K106+L105</f>
        <v>46927.5</v>
      </c>
    </row>
    <row r="107" spans="1:12" ht="19.95" customHeight="1" x14ac:dyDescent="0.3">
      <c r="A107" s="13">
        <v>5</v>
      </c>
      <c r="B107" s="14">
        <v>0.48958333333333331</v>
      </c>
      <c r="C107" s="15" t="s">
        <v>6</v>
      </c>
      <c r="D107" s="15">
        <v>-80</v>
      </c>
      <c r="E107" s="15" t="s">
        <v>25</v>
      </c>
      <c r="F107" s="16">
        <v>1</v>
      </c>
      <c r="H107" s="2" t="s">
        <v>40</v>
      </c>
      <c r="I107" s="2">
        <f>SUM(Table417[SPOT PTS])</f>
        <v>989</v>
      </c>
      <c r="K107" s="28">
        <f>(Table417[[#This Row],[SPOT PTS]]/2)*15-65</f>
        <v>-665</v>
      </c>
      <c r="L107" s="28">
        <f t="shared" ref="L107:L137" si="3">K107+L106</f>
        <v>46262.5</v>
      </c>
    </row>
    <row r="108" spans="1:12" ht="19.95" customHeight="1" thickBot="1" x14ac:dyDescent="0.35">
      <c r="A108" s="17">
        <v>5</v>
      </c>
      <c r="B108" s="18">
        <v>6.25E-2</v>
      </c>
      <c r="C108" s="19" t="s">
        <v>6</v>
      </c>
      <c r="D108" s="19">
        <v>-53</v>
      </c>
      <c r="E108" s="19" t="s">
        <v>25</v>
      </c>
      <c r="F108" s="20">
        <v>1</v>
      </c>
      <c r="H108" s="2" t="s">
        <v>10</v>
      </c>
      <c r="I108" s="2">
        <f>65*I105</f>
        <v>2080</v>
      </c>
      <c r="K108" s="28">
        <f>(Table417[[#This Row],[SPOT PTS]]/2)*15-65</f>
        <v>-462.5</v>
      </c>
      <c r="L108" s="28">
        <f t="shared" si="3"/>
        <v>45800</v>
      </c>
    </row>
    <row r="109" spans="1:12" ht="19.95" customHeight="1" thickBot="1" x14ac:dyDescent="0.35">
      <c r="A109" s="24">
        <v>6</v>
      </c>
      <c r="B109" s="25">
        <v>0.40625</v>
      </c>
      <c r="C109" s="26" t="s">
        <v>9</v>
      </c>
      <c r="D109" s="26">
        <v>251</v>
      </c>
      <c r="E109" s="26" t="s">
        <v>27</v>
      </c>
      <c r="F109" s="27">
        <v>1</v>
      </c>
      <c r="H109" s="2" t="s">
        <v>41</v>
      </c>
      <c r="I109" s="2">
        <f>SUMIF(Table417[OUTCOME],"STOPLOSS",Table417[SPOT PTS])</f>
        <v>-1221</v>
      </c>
      <c r="K109" s="28">
        <f>(Table417[[#This Row],[SPOT PTS]]/2)*15-65</f>
        <v>1817.5</v>
      </c>
      <c r="L109" s="28">
        <f t="shared" si="3"/>
        <v>47617.5</v>
      </c>
    </row>
    <row r="110" spans="1:12" ht="19.95" customHeight="1" x14ac:dyDescent="0.3">
      <c r="A110" s="13">
        <v>7</v>
      </c>
      <c r="B110" s="14">
        <v>0.4236111111111111</v>
      </c>
      <c r="C110" s="15" t="s">
        <v>6</v>
      </c>
      <c r="D110" s="15">
        <v>-80</v>
      </c>
      <c r="E110" s="15" t="s">
        <v>29</v>
      </c>
      <c r="F110" s="16">
        <v>1</v>
      </c>
      <c r="H110" s="2" t="s">
        <v>42</v>
      </c>
      <c r="I110" s="2">
        <f>SUMIF(Table417[OUTCOME],"TARGET",Table417[SPOT PTS])</f>
        <v>2210</v>
      </c>
      <c r="K110" s="28">
        <f>(Table417[[#This Row],[SPOT PTS]]/2)*15-65</f>
        <v>-665</v>
      </c>
      <c r="L110" s="28">
        <f t="shared" si="3"/>
        <v>46952.5</v>
      </c>
    </row>
    <row r="111" spans="1:12" ht="19.95" customHeight="1" x14ac:dyDescent="0.3">
      <c r="A111" s="21">
        <v>7</v>
      </c>
      <c r="B111" s="22">
        <v>0.47222222222222227</v>
      </c>
      <c r="C111" s="1" t="s">
        <v>6</v>
      </c>
      <c r="D111" s="1">
        <v>-80</v>
      </c>
      <c r="E111" s="1" t="s">
        <v>29</v>
      </c>
      <c r="F111" s="23">
        <v>1</v>
      </c>
      <c r="H111" s="2" t="s">
        <v>43</v>
      </c>
      <c r="I111" s="6">
        <f>(L137-L105)/L105</f>
        <v>0.11800795931903604</v>
      </c>
      <c r="K111" s="28">
        <f>(Table417[[#This Row],[SPOT PTS]]/2)*15-65</f>
        <v>-665</v>
      </c>
      <c r="L111" s="28">
        <f t="shared" si="3"/>
        <v>46287.5</v>
      </c>
    </row>
    <row r="112" spans="1:12" ht="19.95" customHeight="1" thickBot="1" x14ac:dyDescent="0.35">
      <c r="A112" s="17">
        <v>7</v>
      </c>
      <c r="B112" s="18">
        <v>0.1111111111111111</v>
      </c>
      <c r="C112" s="19" t="s">
        <v>9</v>
      </c>
      <c r="D112" s="19">
        <v>86</v>
      </c>
      <c r="E112" s="19" t="s">
        <v>29</v>
      </c>
      <c r="F112" s="20">
        <v>2</v>
      </c>
      <c r="H112" s="2" t="s">
        <v>44</v>
      </c>
      <c r="I112" s="9">
        <f>((I107/2)*15)-I108</f>
        <v>5337.5</v>
      </c>
      <c r="K112" s="28">
        <f>(Table417[[#This Row],[SPOT PTS]]/2)*15-65</f>
        <v>580</v>
      </c>
      <c r="L112" s="28">
        <f t="shared" si="3"/>
        <v>46867.5</v>
      </c>
    </row>
    <row r="113" spans="1:12" ht="19.95" customHeight="1" thickBot="1" x14ac:dyDescent="0.35">
      <c r="A113" s="24">
        <v>8</v>
      </c>
      <c r="B113" s="25">
        <v>0.39930555555555558</v>
      </c>
      <c r="C113" s="26" t="s">
        <v>9</v>
      </c>
      <c r="D113" s="26">
        <v>172</v>
      </c>
      <c r="E113" s="26" t="s">
        <v>21</v>
      </c>
      <c r="F113" s="27">
        <v>1</v>
      </c>
      <c r="K113" s="28">
        <f>(Table417[[#This Row],[SPOT PTS]]/2)*15-65</f>
        <v>1225</v>
      </c>
      <c r="L113" s="28">
        <f t="shared" si="3"/>
        <v>48092.5</v>
      </c>
    </row>
    <row r="114" spans="1:12" ht="19.95" customHeight="1" thickBot="1" x14ac:dyDescent="0.35">
      <c r="A114" s="24">
        <v>9</v>
      </c>
      <c r="B114" s="25">
        <v>0.44444444444444442</v>
      </c>
      <c r="C114" s="26" t="s">
        <v>9</v>
      </c>
      <c r="D114" s="26">
        <v>165</v>
      </c>
      <c r="E114" s="26" t="s">
        <v>23</v>
      </c>
      <c r="F114" s="27">
        <v>1</v>
      </c>
      <c r="K114" s="28">
        <f>(Table417[[#This Row],[SPOT PTS]]/2)*15-65</f>
        <v>1172.5</v>
      </c>
      <c r="L114" s="28">
        <f t="shared" si="3"/>
        <v>49265</v>
      </c>
    </row>
    <row r="115" spans="1:12" ht="19.95" customHeight="1" thickBot="1" x14ac:dyDescent="0.35">
      <c r="A115" s="24">
        <v>12</v>
      </c>
      <c r="B115" s="25">
        <v>0.45833333333333331</v>
      </c>
      <c r="C115" s="26" t="s">
        <v>6</v>
      </c>
      <c r="D115" s="26">
        <v>-63</v>
      </c>
      <c r="E115" s="26" t="s">
        <v>25</v>
      </c>
      <c r="F115" s="27">
        <v>1</v>
      </c>
      <c r="K115" s="28">
        <f>(Table417[[#This Row],[SPOT PTS]]/2)*15-65</f>
        <v>-537.5</v>
      </c>
      <c r="L115" s="28">
        <f t="shared" si="3"/>
        <v>48727.5</v>
      </c>
    </row>
    <row r="116" spans="1:12" ht="19.95" customHeight="1" x14ac:dyDescent="0.3">
      <c r="A116" s="13">
        <v>13</v>
      </c>
      <c r="B116" s="14">
        <v>0.41319444444444442</v>
      </c>
      <c r="C116" s="15" t="s">
        <v>6</v>
      </c>
      <c r="D116" s="15">
        <v>-80</v>
      </c>
      <c r="E116" s="15" t="s">
        <v>27</v>
      </c>
      <c r="F116" s="16">
        <v>1</v>
      </c>
      <c r="K116" s="28">
        <f>(Table417[[#This Row],[SPOT PTS]]/2)*15-65</f>
        <v>-665</v>
      </c>
      <c r="L116" s="28">
        <f t="shared" si="3"/>
        <v>48062.5</v>
      </c>
    </row>
    <row r="117" spans="1:12" ht="19.95" customHeight="1" thickBot="1" x14ac:dyDescent="0.35">
      <c r="A117" s="17">
        <v>13</v>
      </c>
      <c r="B117" s="18">
        <v>0.53819444444444442</v>
      </c>
      <c r="C117" s="19" t="s">
        <v>6</v>
      </c>
      <c r="D117" s="19">
        <v>-72</v>
      </c>
      <c r="E117" s="19" t="s">
        <v>27</v>
      </c>
      <c r="F117" s="20">
        <v>2</v>
      </c>
      <c r="K117" s="28">
        <f>(Table417[[#This Row],[SPOT PTS]]/2)*15-65</f>
        <v>-605</v>
      </c>
      <c r="L117" s="28">
        <f t="shared" si="3"/>
        <v>47457.5</v>
      </c>
    </row>
    <row r="118" spans="1:12" ht="19.95" customHeight="1" thickBot="1" x14ac:dyDescent="0.35">
      <c r="A118" s="24">
        <v>15</v>
      </c>
      <c r="B118" s="25">
        <v>0.39583333333333331</v>
      </c>
      <c r="C118" s="26" t="s">
        <v>9</v>
      </c>
      <c r="D118" s="26">
        <v>308</v>
      </c>
      <c r="E118" s="26" t="s">
        <v>21</v>
      </c>
      <c r="F118" s="27">
        <v>1</v>
      </c>
      <c r="K118" s="28">
        <f>(Table417[[#This Row],[SPOT PTS]]/2)*15-65</f>
        <v>2245</v>
      </c>
      <c r="L118" s="28">
        <f t="shared" si="3"/>
        <v>49702.5</v>
      </c>
    </row>
    <row r="119" spans="1:12" ht="19.95" customHeight="1" thickBot="1" x14ac:dyDescent="0.35">
      <c r="A119" s="24">
        <v>16</v>
      </c>
      <c r="B119" s="25">
        <v>0.10416666666666667</v>
      </c>
      <c r="C119" s="26" t="s">
        <v>9</v>
      </c>
      <c r="D119" s="26">
        <v>171</v>
      </c>
      <c r="E119" s="26" t="s">
        <v>23</v>
      </c>
      <c r="F119" s="27">
        <v>2</v>
      </c>
      <c r="K119" s="28">
        <f>(Table417[[#This Row],[SPOT PTS]]/2)*15-65</f>
        <v>1217.5</v>
      </c>
      <c r="L119" s="28">
        <f t="shared" si="3"/>
        <v>50920</v>
      </c>
    </row>
    <row r="120" spans="1:12" ht="19.95" customHeight="1" x14ac:dyDescent="0.3">
      <c r="A120" s="13">
        <v>19</v>
      </c>
      <c r="B120" s="14">
        <v>4.5138888888888888E-2</v>
      </c>
      <c r="C120" s="15" t="s">
        <v>6</v>
      </c>
      <c r="D120" s="15">
        <v>-52</v>
      </c>
      <c r="E120" s="15" t="s">
        <v>25</v>
      </c>
      <c r="F120" s="16">
        <v>2</v>
      </c>
      <c r="K120" s="28">
        <f>(Table417[[#This Row],[SPOT PTS]]/2)*15-65</f>
        <v>-455</v>
      </c>
      <c r="L120" s="28">
        <f t="shared" si="3"/>
        <v>50465</v>
      </c>
    </row>
    <row r="121" spans="1:12" ht="19.95" customHeight="1" thickBot="1" x14ac:dyDescent="0.35">
      <c r="A121" s="17">
        <v>19</v>
      </c>
      <c r="B121" s="18">
        <v>9.375E-2</v>
      </c>
      <c r="C121" s="19" t="s">
        <v>6</v>
      </c>
      <c r="D121" s="19">
        <v>-80</v>
      </c>
      <c r="E121" s="19" t="s">
        <v>25</v>
      </c>
      <c r="F121" s="20">
        <v>2</v>
      </c>
      <c r="K121" s="28">
        <f>(Table417[[#This Row],[SPOT PTS]]/2)*15-65</f>
        <v>-665</v>
      </c>
      <c r="L121" s="28">
        <f t="shared" si="3"/>
        <v>49800</v>
      </c>
    </row>
    <row r="122" spans="1:12" ht="19.95" customHeight="1" thickBot="1" x14ac:dyDescent="0.35">
      <c r="A122" s="24">
        <v>20</v>
      </c>
      <c r="B122" s="25">
        <v>0.39583333333333331</v>
      </c>
      <c r="C122" s="26" t="s">
        <v>9</v>
      </c>
      <c r="D122" s="26">
        <v>244</v>
      </c>
      <c r="E122" s="26" t="s">
        <v>27</v>
      </c>
      <c r="F122" s="27">
        <v>1</v>
      </c>
      <c r="K122" s="28">
        <f>(Table417[[#This Row],[SPOT PTS]]/2)*15-65</f>
        <v>1765</v>
      </c>
      <c r="L122" s="28">
        <f t="shared" si="3"/>
        <v>51565</v>
      </c>
    </row>
    <row r="123" spans="1:12" ht="19.95" customHeight="1" x14ac:dyDescent="0.3">
      <c r="A123" s="13">
        <v>22</v>
      </c>
      <c r="B123" s="14">
        <v>0.44444444444444442</v>
      </c>
      <c r="C123" s="15" t="s">
        <v>6</v>
      </c>
      <c r="D123" s="15">
        <v>-43</v>
      </c>
      <c r="E123" s="15" t="s">
        <v>21</v>
      </c>
      <c r="F123" s="16">
        <v>1</v>
      </c>
      <c r="K123" s="28">
        <f>(Table417[[#This Row],[SPOT PTS]]/2)*15-65</f>
        <v>-387.5</v>
      </c>
      <c r="L123" s="28">
        <f t="shared" si="3"/>
        <v>51177.5</v>
      </c>
    </row>
    <row r="124" spans="1:12" ht="19.95" customHeight="1" thickBot="1" x14ac:dyDescent="0.35">
      <c r="A124" s="17">
        <v>22</v>
      </c>
      <c r="B124" s="18">
        <v>0.5</v>
      </c>
      <c r="C124" s="19" t="s">
        <v>6</v>
      </c>
      <c r="D124" s="19">
        <v>-43</v>
      </c>
      <c r="E124" s="19" t="s">
        <v>21</v>
      </c>
      <c r="F124" s="20">
        <v>1</v>
      </c>
      <c r="K124" s="28">
        <f>(Table417[[#This Row],[SPOT PTS]]/2)*15-65</f>
        <v>-387.5</v>
      </c>
      <c r="L124" s="28">
        <f t="shared" si="3"/>
        <v>50790</v>
      </c>
    </row>
    <row r="125" spans="1:12" ht="19.95" customHeight="1" x14ac:dyDescent="0.3">
      <c r="A125" s="13">
        <v>23</v>
      </c>
      <c r="B125" s="14">
        <v>0.44097222222222227</v>
      </c>
      <c r="C125" s="15" t="s">
        <v>6</v>
      </c>
      <c r="D125" s="15">
        <v>-66</v>
      </c>
      <c r="E125" s="15" t="s">
        <v>23</v>
      </c>
      <c r="F125" s="16">
        <v>1</v>
      </c>
      <c r="K125" s="28">
        <f>(Table417[[#This Row],[SPOT PTS]]/2)*15-65</f>
        <v>-560</v>
      </c>
      <c r="L125" s="28">
        <f t="shared" si="3"/>
        <v>50230</v>
      </c>
    </row>
    <row r="126" spans="1:12" ht="19.95" customHeight="1" thickBot="1" x14ac:dyDescent="0.35">
      <c r="A126" s="17">
        <v>23</v>
      </c>
      <c r="B126" s="18">
        <v>0.4861111111111111</v>
      </c>
      <c r="C126" s="19" t="s">
        <v>9</v>
      </c>
      <c r="D126" s="19">
        <v>116</v>
      </c>
      <c r="E126" s="19" t="s">
        <v>23</v>
      </c>
      <c r="F126" s="20">
        <v>1</v>
      </c>
      <c r="K126" s="28">
        <f>(Table417[[#This Row],[SPOT PTS]]/2)*15-65</f>
        <v>805</v>
      </c>
      <c r="L126" s="28">
        <f t="shared" si="3"/>
        <v>51035</v>
      </c>
    </row>
    <row r="127" spans="1:12" ht="19.95" customHeight="1" x14ac:dyDescent="0.3">
      <c r="A127" s="13">
        <v>26</v>
      </c>
      <c r="B127" s="14">
        <v>0.40277777777777773</v>
      </c>
      <c r="C127" s="15" t="s">
        <v>6</v>
      </c>
      <c r="D127" s="15">
        <v>-65</v>
      </c>
      <c r="E127" s="15" t="s">
        <v>25</v>
      </c>
      <c r="F127" s="16">
        <v>1</v>
      </c>
      <c r="K127" s="28">
        <f>(Table417[[#This Row],[SPOT PTS]]/2)*15-65</f>
        <v>-552.5</v>
      </c>
      <c r="L127" s="28">
        <f t="shared" si="3"/>
        <v>50482.5</v>
      </c>
    </row>
    <row r="128" spans="1:12" ht="19.95" customHeight="1" x14ac:dyDescent="0.3">
      <c r="A128" s="21">
        <v>26</v>
      </c>
      <c r="B128" s="22">
        <v>0.4201388888888889</v>
      </c>
      <c r="C128" s="1" t="s">
        <v>6</v>
      </c>
      <c r="D128" s="1">
        <v>-61</v>
      </c>
      <c r="E128" s="1" t="s">
        <v>25</v>
      </c>
      <c r="F128" s="23">
        <v>1</v>
      </c>
      <c r="K128" s="28">
        <f>(Table417[[#This Row],[SPOT PTS]]/2)*15-65</f>
        <v>-522.5</v>
      </c>
      <c r="L128" s="28">
        <f t="shared" si="3"/>
        <v>49960</v>
      </c>
    </row>
    <row r="129" spans="1:12" ht="19.95" customHeight="1" thickBot="1" x14ac:dyDescent="0.35">
      <c r="A129" s="17">
        <v>26</v>
      </c>
      <c r="B129" s="18">
        <v>8.6805555555555566E-2</v>
      </c>
      <c r="C129" s="19" t="s">
        <v>9</v>
      </c>
      <c r="D129" s="19">
        <v>176</v>
      </c>
      <c r="E129" s="19" t="s">
        <v>25</v>
      </c>
      <c r="F129" s="20">
        <v>2</v>
      </c>
      <c r="K129" s="28">
        <f>(Table417[[#This Row],[SPOT PTS]]/2)*15-65</f>
        <v>1255</v>
      </c>
      <c r="L129" s="28">
        <f t="shared" si="3"/>
        <v>51215</v>
      </c>
    </row>
    <row r="130" spans="1:12" ht="19.95" customHeight="1" x14ac:dyDescent="0.3">
      <c r="A130" s="13">
        <v>27</v>
      </c>
      <c r="B130" s="14">
        <v>0.50694444444444442</v>
      </c>
      <c r="C130" s="15" t="s">
        <v>6</v>
      </c>
      <c r="D130" s="15">
        <v>-22</v>
      </c>
      <c r="E130" s="15" t="s">
        <v>27</v>
      </c>
      <c r="F130" s="16">
        <v>2</v>
      </c>
      <c r="K130" s="28">
        <f>(Table417[[#This Row],[SPOT PTS]]/2)*15-65</f>
        <v>-230</v>
      </c>
      <c r="L130" s="28">
        <f t="shared" si="3"/>
        <v>50985</v>
      </c>
    </row>
    <row r="131" spans="1:12" ht="19.95" customHeight="1" thickBot="1" x14ac:dyDescent="0.35">
      <c r="A131" s="17">
        <v>27</v>
      </c>
      <c r="B131" s="18">
        <v>0.50694444444444442</v>
      </c>
      <c r="C131" s="19" t="s">
        <v>6</v>
      </c>
      <c r="D131" s="19">
        <v>-36</v>
      </c>
      <c r="E131" s="19" t="s">
        <v>27</v>
      </c>
      <c r="F131" s="20">
        <v>2</v>
      </c>
      <c r="K131" s="28">
        <f>(Table417[[#This Row],[SPOT PTS]]/2)*15-65</f>
        <v>-335</v>
      </c>
      <c r="L131" s="28">
        <f t="shared" si="3"/>
        <v>50650</v>
      </c>
    </row>
    <row r="132" spans="1:12" ht="19.95" customHeight="1" x14ac:dyDescent="0.3">
      <c r="A132" s="13">
        <v>28</v>
      </c>
      <c r="B132" s="14">
        <v>0.39930555555555558</v>
      </c>
      <c r="C132" s="15" t="s">
        <v>6</v>
      </c>
      <c r="D132" s="15">
        <v>-53</v>
      </c>
      <c r="E132" s="15" t="s">
        <v>29</v>
      </c>
      <c r="F132" s="16">
        <v>1</v>
      </c>
      <c r="K132" s="28">
        <f>(Table417[[#This Row],[SPOT PTS]]/2)*15-65</f>
        <v>-462.5</v>
      </c>
      <c r="L132" s="28">
        <f t="shared" si="3"/>
        <v>50187.5</v>
      </c>
    </row>
    <row r="133" spans="1:12" ht="19.95" customHeight="1" x14ac:dyDescent="0.3">
      <c r="A133" s="21">
        <v>28</v>
      </c>
      <c r="B133" s="22">
        <v>0.41319444444444442</v>
      </c>
      <c r="C133" s="1" t="s">
        <v>6</v>
      </c>
      <c r="D133" s="1">
        <v>-63</v>
      </c>
      <c r="E133" s="1" t="s">
        <v>29</v>
      </c>
      <c r="F133" s="23">
        <v>1</v>
      </c>
      <c r="K133" s="28">
        <f>(Table417[[#This Row],[SPOT PTS]]/2)*15-65</f>
        <v>-537.5</v>
      </c>
      <c r="L133" s="28">
        <f t="shared" si="3"/>
        <v>49650</v>
      </c>
    </row>
    <row r="134" spans="1:12" ht="19.95" customHeight="1" thickBot="1" x14ac:dyDescent="0.35">
      <c r="A134" s="17">
        <v>28</v>
      </c>
      <c r="B134" s="18">
        <v>6.5972222222222224E-2</v>
      </c>
      <c r="C134" s="19" t="s">
        <v>6</v>
      </c>
      <c r="D134" s="19">
        <v>-49</v>
      </c>
      <c r="E134" s="19" t="s">
        <v>29</v>
      </c>
      <c r="F134" s="20">
        <v>2</v>
      </c>
      <c r="K134" s="28">
        <f>(Table417[[#This Row],[SPOT PTS]]/2)*15-65</f>
        <v>-432.5</v>
      </c>
      <c r="L134" s="28">
        <f t="shared" si="3"/>
        <v>49217.5</v>
      </c>
    </row>
    <row r="135" spans="1:12" ht="19.95" customHeight="1" thickBot="1" x14ac:dyDescent="0.35">
      <c r="A135" s="24">
        <v>29</v>
      </c>
      <c r="B135" s="25">
        <v>0.40277777777777773</v>
      </c>
      <c r="C135" s="26" t="s">
        <v>9</v>
      </c>
      <c r="D135" s="26">
        <v>183</v>
      </c>
      <c r="E135" s="26" t="s">
        <v>21</v>
      </c>
      <c r="F135" s="27">
        <v>1</v>
      </c>
      <c r="K135" s="28">
        <f>(Table417[[#This Row],[SPOT PTS]]/2)*15-65</f>
        <v>1307.5</v>
      </c>
      <c r="L135" s="28">
        <f t="shared" si="3"/>
        <v>50525</v>
      </c>
    </row>
    <row r="136" spans="1:12" ht="19.95" customHeight="1" x14ac:dyDescent="0.3">
      <c r="A136" s="13">
        <v>30</v>
      </c>
      <c r="B136" s="14">
        <v>0.40972222222222227</v>
      </c>
      <c r="C136" s="15" t="s">
        <v>6</v>
      </c>
      <c r="D136" s="15">
        <v>-80</v>
      </c>
      <c r="E136" s="15" t="s">
        <v>23</v>
      </c>
      <c r="F136" s="16">
        <v>1</v>
      </c>
      <c r="K136" s="28">
        <f>(Table417[[#This Row],[SPOT PTS]]/2)*15-65</f>
        <v>-665</v>
      </c>
      <c r="L136" s="28">
        <f t="shared" si="3"/>
        <v>49860</v>
      </c>
    </row>
    <row r="137" spans="1:12" ht="19.95" customHeight="1" thickBot="1" x14ac:dyDescent="0.35">
      <c r="A137" s="17">
        <v>30</v>
      </c>
      <c r="B137" s="18">
        <v>0.11805555555555557</v>
      </c>
      <c r="C137" s="19" t="s">
        <v>9</v>
      </c>
      <c r="D137" s="19">
        <v>103</v>
      </c>
      <c r="E137" s="19" t="s">
        <v>23</v>
      </c>
      <c r="F137" s="20">
        <v>2</v>
      </c>
      <c r="K137" s="28">
        <f>(Table417[[#This Row],[SPOT PTS]]/2)*15-65</f>
        <v>707.5</v>
      </c>
      <c r="L137" s="28">
        <f t="shared" si="3"/>
        <v>50567.5</v>
      </c>
    </row>
    <row r="138" spans="1:12" ht="19.95" customHeight="1" x14ac:dyDescent="0.3">
      <c r="A138" s="40" t="s">
        <v>30</v>
      </c>
      <c r="B138" s="40"/>
      <c r="C138" s="40"/>
      <c r="D138" s="40"/>
      <c r="E138" s="40"/>
      <c r="F138" s="40"/>
    </row>
    <row r="139" spans="1:12" ht="19.95" customHeight="1" thickBot="1" x14ac:dyDescent="0.35">
      <c r="A139" s="10" t="s">
        <v>46</v>
      </c>
      <c r="B139" s="10" t="s">
        <v>47</v>
      </c>
      <c r="C139" s="10" t="s">
        <v>0</v>
      </c>
      <c r="D139" s="10" t="s">
        <v>48</v>
      </c>
      <c r="E139" s="10" t="s">
        <v>14</v>
      </c>
      <c r="F139" s="10" t="s">
        <v>49</v>
      </c>
      <c r="H139" s="2" t="s">
        <v>38</v>
      </c>
      <c r="I139" s="2">
        <f>COUNT(Table518[DATE])</f>
        <v>32</v>
      </c>
      <c r="L139" s="28">
        <f>L137</f>
        <v>50567.5</v>
      </c>
    </row>
    <row r="140" spans="1:12" ht="19.95" customHeight="1" thickBot="1" x14ac:dyDescent="0.35">
      <c r="A140" s="24">
        <v>3</v>
      </c>
      <c r="B140" s="25">
        <v>0.4513888888888889</v>
      </c>
      <c r="C140" s="26" t="s">
        <v>9</v>
      </c>
      <c r="D140" s="26">
        <v>242</v>
      </c>
      <c r="E140" s="26" t="s">
        <v>25</v>
      </c>
      <c r="F140" s="27">
        <v>1</v>
      </c>
      <c r="H140" s="2" t="s">
        <v>39</v>
      </c>
      <c r="I140" s="3">
        <f>((COUNTIF(Table518[OUTCOME],"TARGET"))/I139)</f>
        <v>0.40625</v>
      </c>
      <c r="K140" s="28">
        <f>((Table518[[#This Row],[SPOT PTS]]/2)*15)-65</f>
        <v>1750</v>
      </c>
      <c r="L140" s="28">
        <f>K140+L139</f>
        <v>52317.5</v>
      </c>
    </row>
    <row r="141" spans="1:12" ht="19.95" customHeight="1" x14ac:dyDescent="0.3">
      <c r="A141" s="13">
        <v>4</v>
      </c>
      <c r="B141" s="14">
        <v>0.3923611111111111</v>
      </c>
      <c r="C141" s="15" t="s">
        <v>6</v>
      </c>
      <c r="D141" s="15">
        <v>-80</v>
      </c>
      <c r="E141" s="15" t="s">
        <v>27</v>
      </c>
      <c r="F141" s="16">
        <v>1</v>
      </c>
      <c r="H141" s="2" t="s">
        <v>40</v>
      </c>
      <c r="I141" s="2">
        <f>SUM(Table518[SPOT PTS])</f>
        <v>889</v>
      </c>
      <c r="K141" s="28">
        <f>((Table518[[#This Row],[SPOT PTS]]/2)*15)-65</f>
        <v>-665</v>
      </c>
      <c r="L141" s="28">
        <f t="shared" ref="L141:L171" si="4">K141+L140</f>
        <v>51652.5</v>
      </c>
    </row>
    <row r="142" spans="1:12" ht="19.95" customHeight="1" x14ac:dyDescent="0.3">
      <c r="A142" s="21">
        <v>4</v>
      </c>
      <c r="B142" s="22">
        <v>0.4236111111111111</v>
      </c>
      <c r="C142" s="1" t="s">
        <v>6</v>
      </c>
      <c r="D142" s="1">
        <v>-67</v>
      </c>
      <c r="E142" s="1" t="s">
        <v>27</v>
      </c>
      <c r="F142" s="23">
        <v>1</v>
      </c>
      <c r="H142" s="2" t="s">
        <v>10</v>
      </c>
      <c r="I142" s="2">
        <f>65*I139</f>
        <v>2080</v>
      </c>
      <c r="K142" s="28">
        <f>((Table518[[#This Row],[SPOT PTS]]/2)*15)-65</f>
        <v>-567.5</v>
      </c>
      <c r="L142" s="28">
        <f t="shared" si="4"/>
        <v>51085</v>
      </c>
    </row>
    <row r="143" spans="1:12" ht="19.95" customHeight="1" thickBot="1" x14ac:dyDescent="0.35">
      <c r="A143" s="17">
        <v>4</v>
      </c>
      <c r="B143" s="18">
        <v>0.46875</v>
      </c>
      <c r="C143" s="19" t="s">
        <v>6</v>
      </c>
      <c r="D143" s="19">
        <v>-46</v>
      </c>
      <c r="E143" s="19" t="s">
        <v>27</v>
      </c>
      <c r="F143" s="20">
        <v>1</v>
      </c>
      <c r="H143" s="2" t="s">
        <v>41</v>
      </c>
      <c r="I143" s="2">
        <f>SUMIF(Table518[OUTCOME],"STOPLOSS",Table518[SPOT PTS])</f>
        <v>-1008</v>
      </c>
      <c r="K143" s="28">
        <f>((Table518[[#This Row],[SPOT PTS]]/2)*15)-65</f>
        <v>-410</v>
      </c>
      <c r="L143" s="28">
        <f t="shared" si="4"/>
        <v>50675</v>
      </c>
    </row>
    <row r="144" spans="1:12" ht="19.95" customHeight="1" x14ac:dyDescent="0.3">
      <c r="A144" s="13">
        <v>5</v>
      </c>
      <c r="B144" s="14">
        <v>0.3923611111111111</v>
      </c>
      <c r="C144" s="15" t="s">
        <v>6</v>
      </c>
      <c r="D144" s="15">
        <v>-80</v>
      </c>
      <c r="E144" s="15" t="s">
        <v>29</v>
      </c>
      <c r="F144" s="16">
        <v>1</v>
      </c>
      <c r="H144" s="2" t="s">
        <v>42</v>
      </c>
      <c r="I144" s="2">
        <f>SUMIF(Table518[OUTCOME],"TARGET",Table518[SPOT PTS])</f>
        <v>1897</v>
      </c>
      <c r="K144" s="28">
        <f>((Table518[[#This Row],[SPOT PTS]]/2)*15)-65</f>
        <v>-665</v>
      </c>
      <c r="L144" s="28">
        <f t="shared" si="4"/>
        <v>50010</v>
      </c>
    </row>
    <row r="145" spans="1:12" ht="19.95" customHeight="1" x14ac:dyDescent="0.3">
      <c r="A145" s="21">
        <v>5</v>
      </c>
      <c r="B145" s="22">
        <v>0.40277777777777773</v>
      </c>
      <c r="C145" s="1" t="s">
        <v>6</v>
      </c>
      <c r="D145" s="1">
        <v>-80</v>
      </c>
      <c r="E145" s="1" t="s">
        <v>29</v>
      </c>
      <c r="F145" s="23">
        <v>1</v>
      </c>
      <c r="H145" s="2" t="s">
        <v>43</v>
      </c>
      <c r="I145" s="6">
        <f>(L171-L139)/L139</f>
        <v>9.0720324318979584E-2</v>
      </c>
      <c r="K145" s="28">
        <f>((Table518[[#This Row],[SPOT PTS]]/2)*15)-65</f>
        <v>-665</v>
      </c>
      <c r="L145" s="28">
        <f t="shared" si="4"/>
        <v>49345</v>
      </c>
    </row>
    <row r="146" spans="1:12" ht="19.95" customHeight="1" thickBot="1" x14ac:dyDescent="0.35">
      <c r="A146" s="17">
        <v>5</v>
      </c>
      <c r="B146" s="18">
        <v>0.4513888888888889</v>
      </c>
      <c r="C146" s="19" t="s">
        <v>6</v>
      </c>
      <c r="D146" s="19">
        <v>-77</v>
      </c>
      <c r="E146" s="19" t="s">
        <v>29</v>
      </c>
      <c r="F146" s="20">
        <v>1</v>
      </c>
      <c r="H146" s="2" t="s">
        <v>44</v>
      </c>
      <c r="I146" s="9">
        <f>((I141/2)*15)-I142</f>
        <v>4587.5</v>
      </c>
      <c r="K146" s="28">
        <f>((Table518[[#This Row],[SPOT PTS]]/2)*15)-65</f>
        <v>-642.5</v>
      </c>
      <c r="L146" s="28">
        <f t="shared" si="4"/>
        <v>48702.5</v>
      </c>
    </row>
    <row r="147" spans="1:12" ht="19.95" customHeight="1" thickBot="1" x14ac:dyDescent="0.35">
      <c r="A147" s="24">
        <v>6</v>
      </c>
      <c r="B147" s="25">
        <v>0.46527777777777773</v>
      </c>
      <c r="C147" s="26" t="s">
        <v>9</v>
      </c>
      <c r="D147" s="26">
        <v>96</v>
      </c>
      <c r="E147" s="26" t="s">
        <v>21</v>
      </c>
      <c r="F147" s="27">
        <v>1</v>
      </c>
      <c r="K147" s="28">
        <f>((Table518[[#This Row],[SPOT PTS]]/2)*15)-65</f>
        <v>655</v>
      </c>
      <c r="L147" s="28">
        <f t="shared" si="4"/>
        <v>49357.5</v>
      </c>
    </row>
    <row r="148" spans="1:12" ht="19.95" customHeight="1" thickBot="1" x14ac:dyDescent="0.35">
      <c r="A148" s="24">
        <v>7</v>
      </c>
      <c r="B148" s="25">
        <v>0.39930555555555558</v>
      </c>
      <c r="C148" s="26" t="s">
        <v>9</v>
      </c>
      <c r="D148" s="26">
        <v>140</v>
      </c>
      <c r="E148" s="26" t="s">
        <v>23</v>
      </c>
      <c r="F148" s="27">
        <v>1</v>
      </c>
      <c r="K148" s="28">
        <f>((Table518[[#This Row],[SPOT PTS]]/2)*15)-65</f>
        <v>985</v>
      </c>
      <c r="L148" s="28">
        <f t="shared" si="4"/>
        <v>50342.5</v>
      </c>
    </row>
    <row r="149" spans="1:12" ht="19.95" customHeight="1" thickBot="1" x14ac:dyDescent="0.35">
      <c r="A149" s="24">
        <v>10</v>
      </c>
      <c r="B149" s="25">
        <v>0.39583333333333331</v>
      </c>
      <c r="C149" s="26" t="s">
        <v>9</v>
      </c>
      <c r="D149" s="26">
        <v>124</v>
      </c>
      <c r="E149" s="26" t="s">
        <v>25</v>
      </c>
      <c r="F149" s="27">
        <v>1</v>
      </c>
      <c r="K149" s="28">
        <f>((Table518[[#This Row],[SPOT PTS]]/2)*15)-65</f>
        <v>865</v>
      </c>
      <c r="L149" s="28">
        <f t="shared" si="4"/>
        <v>51207.5</v>
      </c>
    </row>
    <row r="150" spans="1:12" ht="19.95" customHeight="1" thickBot="1" x14ac:dyDescent="0.35">
      <c r="A150" s="24">
        <v>11</v>
      </c>
      <c r="B150" s="25">
        <v>0.4861111111111111</v>
      </c>
      <c r="C150" s="26" t="s">
        <v>9</v>
      </c>
      <c r="D150" s="26">
        <v>149</v>
      </c>
      <c r="E150" s="26" t="s">
        <v>27</v>
      </c>
      <c r="F150" s="27">
        <v>1</v>
      </c>
      <c r="K150" s="28">
        <f>((Table518[[#This Row],[SPOT PTS]]/2)*15)-65</f>
        <v>1052.5</v>
      </c>
      <c r="L150" s="28">
        <f t="shared" si="4"/>
        <v>52260</v>
      </c>
    </row>
    <row r="151" spans="1:12" ht="19.95" customHeight="1" x14ac:dyDescent="0.3">
      <c r="A151" s="13">
        <v>12</v>
      </c>
      <c r="B151" s="14">
        <v>0.49652777777777773</v>
      </c>
      <c r="C151" s="15" t="s">
        <v>6</v>
      </c>
      <c r="D151" s="15">
        <v>-25</v>
      </c>
      <c r="E151" s="15" t="s">
        <v>29</v>
      </c>
      <c r="F151" s="16">
        <v>1</v>
      </c>
      <c r="K151" s="28">
        <f>((Table518[[#This Row],[SPOT PTS]]/2)*15)-65</f>
        <v>-252.5</v>
      </c>
      <c r="L151" s="28">
        <f t="shared" si="4"/>
        <v>52007.5</v>
      </c>
    </row>
    <row r="152" spans="1:12" ht="19.95" customHeight="1" thickBot="1" x14ac:dyDescent="0.35">
      <c r="A152" s="17">
        <v>12</v>
      </c>
      <c r="B152" s="18">
        <v>9.0277777777777776E-2</v>
      </c>
      <c r="C152" s="19" t="s">
        <v>9</v>
      </c>
      <c r="D152" s="19">
        <v>143</v>
      </c>
      <c r="E152" s="19" t="s">
        <v>29</v>
      </c>
      <c r="F152" s="20">
        <v>2</v>
      </c>
      <c r="K152" s="28">
        <f>((Table518[[#This Row],[SPOT PTS]]/2)*15)-65</f>
        <v>1007.5</v>
      </c>
      <c r="L152" s="28">
        <f t="shared" si="4"/>
        <v>53015</v>
      </c>
    </row>
    <row r="153" spans="1:12" ht="19.95" customHeight="1" thickBot="1" x14ac:dyDescent="0.35">
      <c r="A153" s="24">
        <v>13</v>
      </c>
      <c r="B153" s="25">
        <v>0.12152777777777778</v>
      </c>
      <c r="C153" s="26" t="s">
        <v>9</v>
      </c>
      <c r="D153" s="26">
        <v>70</v>
      </c>
      <c r="E153" s="26" t="s">
        <v>21</v>
      </c>
      <c r="F153" s="27">
        <v>2</v>
      </c>
      <c r="K153" s="28">
        <f>((Table518[[#This Row],[SPOT PTS]]/2)*15)-65</f>
        <v>460</v>
      </c>
      <c r="L153" s="28">
        <f t="shared" si="4"/>
        <v>53475</v>
      </c>
    </row>
    <row r="154" spans="1:12" ht="19.95" customHeight="1" x14ac:dyDescent="0.3">
      <c r="A154" s="13">
        <v>17</v>
      </c>
      <c r="B154" s="14">
        <v>0.41319444444444442</v>
      </c>
      <c r="C154" s="15" t="s">
        <v>6</v>
      </c>
      <c r="D154" s="15">
        <v>-30</v>
      </c>
      <c r="E154" s="15" t="s">
        <v>25</v>
      </c>
      <c r="F154" s="16">
        <v>1</v>
      </c>
      <c r="K154" s="28">
        <f>((Table518[[#This Row],[SPOT PTS]]/2)*15)-65</f>
        <v>-290</v>
      </c>
      <c r="L154" s="28">
        <f t="shared" si="4"/>
        <v>53185</v>
      </c>
    </row>
    <row r="155" spans="1:12" ht="19.95" customHeight="1" thickBot="1" x14ac:dyDescent="0.35">
      <c r="A155" s="17">
        <v>17</v>
      </c>
      <c r="B155" s="18">
        <v>0.43055555555555558</v>
      </c>
      <c r="C155" s="19" t="s">
        <v>6</v>
      </c>
      <c r="D155" s="19">
        <v>-47</v>
      </c>
      <c r="E155" s="19" t="s">
        <v>25</v>
      </c>
      <c r="F155" s="20">
        <v>1</v>
      </c>
      <c r="K155" s="28">
        <f>((Table518[[#This Row],[SPOT PTS]]/2)*15)-65</f>
        <v>-417.5</v>
      </c>
      <c r="L155" s="28">
        <f t="shared" si="4"/>
        <v>52767.5</v>
      </c>
    </row>
    <row r="156" spans="1:12" ht="19.95" customHeight="1" x14ac:dyDescent="0.3">
      <c r="A156" s="13">
        <v>18</v>
      </c>
      <c r="B156" s="14">
        <v>0.39583333333333331</v>
      </c>
      <c r="C156" s="15" t="s">
        <v>6</v>
      </c>
      <c r="D156" s="15">
        <v>-80</v>
      </c>
      <c r="E156" s="15" t="s">
        <v>27</v>
      </c>
      <c r="F156" s="16">
        <v>1</v>
      </c>
      <c r="K156" s="28">
        <f>((Table518[[#This Row],[SPOT PTS]]/2)*15)-65</f>
        <v>-665</v>
      </c>
      <c r="L156" s="28">
        <f t="shared" si="4"/>
        <v>52102.5</v>
      </c>
    </row>
    <row r="157" spans="1:12" ht="19.95" customHeight="1" thickBot="1" x14ac:dyDescent="0.35">
      <c r="A157" s="17">
        <v>18</v>
      </c>
      <c r="B157" s="18">
        <v>0.46527777777777773</v>
      </c>
      <c r="C157" s="19" t="s">
        <v>9</v>
      </c>
      <c r="D157" s="19">
        <v>144</v>
      </c>
      <c r="E157" s="19" t="s">
        <v>27</v>
      </c>
      <c r="F157" s="20">
        <v>1</v>
      </c>
      <c r="K157" s="28">
        <f>((Table518[[#This Row],[SPOT PTS]]/2)*15)-65</f>
        <v>1015</v>
      </c>
      <c r="L157" s="28">
        <f t="shared" si="4"/>
        <v>53117.5</v>
      </c>
    </row>
    <row r="158" spans="1:12" ht="19.95" customHeight="1" thickBot="1" x14ac:dyDescent="0.35">
      <c r="A158" s="24">
        <v>19</v>
      </c>
      <c r="B158" s="25">
        <v>0.40277777777777773</v>
      </c>
      <c r="C158" s="26" t="s">
        <v>9</v>
      </c>
      <c r="D158" s="26">
        <v>169</v>
      </c>
      <c r="E158" s="26" t="s">
        <v>29</v>
      </c>
      <c r="F158" s="27">
        <v>1</v>
      </c>
      <c r="K158" s="28">
        <f>((Table518[[#This Row],[SPOT PTS]]/2)*15)-65</f>
        <v>1202.5</v>
      </c>
      <c r="L158" s="28">
        <f t="shared" si="4"/>
        <v>54320</v>
      </c>
    </row>
    <row r="159" spans="1:12" ht="19.95" customHeight="1" thickBot="1" x14ac:dyDescent="0.35">
      <c r="A159" s="24">
        <v>20</v>
      </c>
      <c r="B159" s="25">
        <v>0.3923611111111111</v>
      </c>
      <c r="C159" s="26" t="s">
        <v>9</v>
      </c>
      <c r="D159" s="26">
        <v>201</v>
      </c>
      <c r="E159" s="26" t="s">
        <v>21</v>
      </c>
      <c r="F159" s="27">
        <v>1</v>
      </c>
      <c r="K159" s="28">
        <f>((Table518[[#This Row],[SPOT PTS]]/2)*15)-65</f>
        <v>1442.5</v>
      </c>
      <c r="L159" s="28">
        <f t="shared" si="4"/>
        <v>55762.5</v>
      </c>
    </row>
    <row r="160" spans="1:12" ht="19.95" customHeight="1" x14ac:dyDescent="0.3">
      <c r="A160" s="13">
        <v>21</v>
      </c>
      <c r="B160" s="14">
        <v>0.41666666666666669</v>
      </c>
      <c r="C160" s="15" t="s">
        <v>6</v>
      </c>
      <c r="D160" s="15">
        <v>-37</v>
      </c>
      <c r="E160" s="15" t="s">
        <v>23</v>
      </c>
      <c r="F160" s="16">
        <v>1</v>
      </c>
      <c r="K160" s="28">
        <f>((Table518[[#This Row],[SPOT PTS]]/2)*15)-65</f>
        <v>-342.5</v>
      </c>
      <c r="L160" s="28">
        <f t="shared" si="4"/>
        <v>55420</v>
      </c>
    </row>
    <row r="161" spans="1:12" ht="19.95" customHeight="1" x14ac:dyDescent="0.3">
      <c r="A161" s="21">
        <v>21</v>
      </c>
      <c r="B161" s="22">
        <v>0.4513888888888889</v>
      </c>
      <c r="C161" s="1" t="s">
        <v>6</v>
      </c>
      <c r="D161" s="1">
        <v>-27</v>
      </c>
      <c r="E161" s="1" t="s">
        <v>23</v>
      </c>
      <c r="F161" s="23">
        <v>1</v>
      </c>
      <c r="K161" s="28">
        <f>((Table518[[#This Row],[SPOT PTS]]/2)*15)-65</f>
        <v>-267.5</v>
      </c>
      <c r="L161" s="28">
        <f t="shared" si="4"/>
        <v>55152.5</v>
      </c>
    </row>
    <row r="162" spans="1:12" ht="19.95" customHeight="1" thickBot="1" x14ac:dyDescent="0.35">
      <c r="A162" s="17">
        <v>21</v>
      </c>
      <c r="B162" s="18">
        <v>0.52083333333333337</v>
      </c>
      <c r="C162" s="19" t="s">
        <v>9</v>
      </c>
      <c r="D162" s="19">
        <v>63</v>
      </c>
      <c r="E162" s="19" t="s">
        <v>23</v>
      </c>
      <c r="F162" s="20">
        <v>2</v>
      </c>
      <c r="K162" s="28">
        <f>((Table518[[#This Row],[SPOT PTS]]/2)*15)-65</f>
        <v>407.5</v>
      </c>
      <c r="L162" s="28">
        <f t="shared" si="4"/>
        <v>55560</v>
      </c>
    </row>
    <row r="163" spans="1:12" ht="19.95" customHeight="1" thickBot="1" x14ac:dyDescent="0.35">
      <c r="A163" s="24">
        <v>24</v>
      </c>
      <c r="B163" s="25">
        <v>0.3923611111111111</v>
      </c>
      <c r="C163" s="26" t="s">
        <v>9</v>
      </c>
      <c r="D163" s="26">
        <v>230</v>
      </c>
      <c r="E163" s="26" t="s">
        <v>25</v>
      </c>
      <c r="F163" s="27">
        <v>1</v>
      </c>
      <c r="K163" s="28">
        <f>((Table518[[#This Row],[SPOT PTS]]/2)*15)-65</f>
        <v>1660</v>
      </c>
      <c r="L163" s="28">
        <f t="shared" si="4"/>
        <v>57220</v>
      </c>
    </row>
    <row r="164" spans="1:12" ht="19.95" customHeight="1" thickBot="1" x14ac:dyDescent="0.35">
      <c r="A164" s="24">
        <v>25</v>
      </c>
      <c r="B164" s="25">
        <v>0.49305555555555558</v>
      </c>
      <c r="C164" s="26" t="s">
        <v>9</v>
      </c>
      <c r="D164" s="26">
        <v>126</v>
      </c>
      <c r="E164" s="26" t="s">
        <v>27</v>
      </c>
      <c r="F164" s="27">
        <v>1</v>
      </c>
      <c r="K164" s="28">
        <f>((Table518[[#This Row],[SPOT PTS]]/2)*15)-65</f>
        <v>880</v>
      </c>
      <c r="L164" s="28">
        <f t="shared" si="4"/>
        <v>58100</v>
      </c>
    </row>
    <row r="165" spans="1:12" ht="19.95" customHeight="1" x14ac:dyDescent="0.3">
      <c r="A165" s="13">
        <v>26</v>
      </c>
      <c r="B165" s="14">
        <v>0.4236111111111111</v>
      </c>
      <c r="C165" s="15" t="s">
        <v>6</v>
      </c>
      <c r="D165" s="15">
        <v>-30</v>
      </c>
      <c r="E165" s="15" t="s">
        <v>29</v>
      </c>
      <c r="F165" s="16">
        <v>1</v>
      </c>
      <c r="K165" s="28">
        <f>((Table518[[#This Row],[SPOT PTS]]/2)*15)-65</f>
        <v>-290</v>
      </c>
      <c r="L165" s="28">
        <f t="shared" si="4"/>
        <v>57810</v>
      </c>
    </row>
    <row r="166" spans="1:12" ht="19.95" customHeight="1" x14ac:dyDescent="0.3">
      <c r="A166" s="21">
        <v>26</v>
      </c>
      <c r="B166" s="22">
        <v>0.4375</v>
      </c>
      <c r="C166" s="1" t="s">
        <v>6</v>
      </c>
      <c r="D166" s="1">
        <v>-36</v>
      </c>
      <c r="E166" s="1" t="s">
        <v>29</v>
      </c>
      <c r="F166" s="23">
        <v>1</v>
      </c>
      <c r="K166" s="28">
        <f>((Table518[[#This Row],[SPOT PTS]]/2)*15)-65</f>
        <v>-335</v>
      </c>
      <c r="L166" s="28">
        <f t="shared" si="4"/>
        <v>57475</v>
      </c>
    </row>
    <row r="167" spans="1:12" ht="19.95" customHeight="1" thickBot="1" x14ac:dyDescent="0.35">
      <c r="A167" s="17">
        <v>26</v>
      </c>
      <c r="B167" s="18">
        <v>0.46180555555555558</v>
      </c>
      <c r="C167" s="19" t="s">
        <v>6</v>
      </c>
      <c r="D167" s="19">
        <v>-56</v>
      </c>
      <c r="E167" s="19" t="s">
        <v>29</v>
      </c>
      <c r="F167" s="20">
        <v>1</v>
      </c>
      <c r="K167" s="28">
        <f>((Table518[[#This Row],[SPOT PTS]]/2)*15)-65</f>
        <v>-485</v>
      </c>
      <c r="L167" s="28">
        <f t="shared" si="4"/>
        <v>56990</v>
      </c>
    </row>
    <row r="168" spans="1:12" ht="19.95" customHeight="1" thickBot="1" x14ac:dyDescent="0.35">
      <c r="A168" s="24">
        <v>27</v>
      </c>
      <c r="B168" s="25">
        <v>0.4236111111111111</v>
      </c>
      <c r="C168" s="26" t="s">
        <v>6</v>
      </c>
      <c r="D168" s="26">
        <v>-36</v>
      </c>
      <c r="E168" s="26" t="s">
        <v>21</v>
      </c>
      <c r="F168" s="27">
        <v>1</v>
      </c>
      <c r="K168" s="28">
        <f>((Table518[[#This Row],[SPOT PTS]]/2)*15)-65</f>
        <v>-335</v>
      </c>
      <c r="L168" s="28">
        <f t="shared" si="4"/>
        <v>56655</v>
      </c>
    </row>
    <row r="169" spans="1:12" ht="19.95" customHeight="1" x14ac:dyDescent="0.3">
      <c r="A169" s="13">
        <v>28</v>
      </c>
      <c r="B169" s="14">
        <v>0.3923611111111111</v>
      </c>
      <c r="C169" s="15" t="s">
        <v>6</v>
      </c>
      <c r="D169" s="15">
        <v>-80</v>
      </c>
      <c r="E169" s="15" t="s">
        <v>23</v>
      </c>
      <c r="F169" s="16">
        <v>1</v>
      </c>
      <c r="K169" s="28">
        <f>((Table518[[#This Row],[SPOT PTS]]/2)*15)-65</f>
        <v>-665</v>
      </c>
      <c r="L169" s="28">
        <f t="shared" si="4"/>
        <v>55990</v>
      </c>
    </row>
    <row r="170" spans="1:12" ht="19.95" customHeight="1" thickBot="1" x14ac:dyDescent="0.35">
      <c r="A170" s="17">
        <v>28</v>
      </c>
      <c r="B170" s="18">
        <v>6.9444444444444434E-2</v>
      </c>
      <c r="C170" s="19" t="s">
        <v>6</v>
      </c>
      <c r="D170" s="19">
        <v>-43</v>
      </c>
      <c r="E170" s="19" t="s">
        <v>23</v>
      </c>
      <c r="F170" s="20">
        <v>2</v>
      </c>
      <c r="K170" s="28">
        <f>((Table518[[#This Row],[SPOT PTS]]/2)*15)-65</f>
        <v>-387.5</v>
      </c>
      <c r="L170" s="28">
        <f t="shared" si="4"/>
        <v>55602.5</v>
      </c>
    </row>
    <row r="171" spans="1:12" ht="19.95" customHeight="1" thickBot="1" x14ac:dyDescent="0.35">
      <c r="A171" s="24">
        <v>31</v>
      </c>
      <c r="B171" s="25">
        <v>0.44097222222222227</v>
      </c>
      <c r="C171" s="26" t="s">
        <v>6</v>
      </c>
      <c r="D171" s="26">
        <v>-51</v>
      </c>
      <c r="E171" s="26" t="s">
        <v>25</v>
      </c>
      <c r="F171" s="27">
        <v>1</v>
      </c>
      <c r="K171" s="28">
        <f>((Table518[[#This Row],[SPOT PTS]]/2)*15)-65</f>
        <v>-447.5</v>
      </c>
      <c r="L171" s="28">
        <f t="shared" si="4"/>
        <v>55155</v>
      </c>
    </row>
    <row r="172" spans="1:12" ht="19.95" customHeight="1" x14ac:dyDescent="0.3">
      <c r="A172" s="40" t="s">
        <v>53</v>
      </c>
      <c r="B172" s="40"/>
      <c r="C172" s="40"/>
      <c r="D172" s="40"/>
      <c r="E172" s="40"/>
      <c r="F172" s="40"/>
    </row>
    <row r="173" spans="1:12" ht="19.95" customHeight="1" thickBot="1" x14ac:dyDescent="0.35">
      <c r="A173" s="34" t="s">
        <v>46</v>
      </c>
      <c r="B173" s="10" t="s">
        <v>47</v>
      </c>
      <c r="C173" s="10" t="s">
        <v>0</v>
      </c>
      <c r="D173" s="10" t="s">
        <v>48</v>
      </c>
      <c r="E173" s="10" t="s">
        <v>14</v>
      </c>
      <c r="F173" s="35" t="s">
        <v>49</v>
      </c>
      <c r="H173" s="2" t="s">
        <v>38</v>
      </c>
      <c r="I173" s="2">
        <f>COUNT(Table619[DATE])</f>
        <v>35</v>
      </c>
      <c r="L173" s="28">
        <f>L171</f>
        <v>55155</v>
      </c>
    </row>
    <row r="174" spans="1:12" ht="19.95" customHeight="1" x14ac:dyDescent="0.3">
      <c r="A174" s="30">
        <v>1</v>
      </c>
      <c r="B174" s="31">
        <v>0.39583333333333331</v>
      </c>
      <c r="C174" s="32" t="s">
        <v>6</v>
      </c>
      <c r="D174" s="32">
        <v>-46</v>
      </c>
      <c r="E174" s="32" t="s">
        <v>27</v>
      </c>
      <c r="F174" s="33">
        <v>1</v>
      </c>
      <c r="H174" s="2" t="s">
        <v>39</v>
      </c>
      <c r="I174" s="3">
        <f>((COUNTIF(Table619[OUTCOME],"TARGET"))/I173)</f>
        <v>0.25714285714285712</v>
      </c>
      <c r="K174" s="28">
        <f>((Table619[[#This Row],[SPOT PTS]]/2)*15)-65</f>
        <v>-410</v>
      </c>
      <c r="L174" s="28">
        <f>K174+L173</f>
        <v>54745</v>
      </c>
    </row>
    <row r="175" spans="1:12" ht="19.95" customHeight="1" thickBot="1" x14ac:dyDescent="0.35">
      <c r="A175" s="17">
        <v>1</v>
      </c>
      <c r="B175" s="18">
        <v>0.40277777777777773</v>
      </c>
      <c r="C175" s="19" t="s">
        <v>9</v>
      </c>
      <c r="D175" s="19">
        <v>152</v>
      </c>
      <c r="E175" s="19" t="s">
        <v>27</v>
      </c>
      <c r="F175" s="20">
        <v>1</v>
      </c>
      <c r="H175" s="2" t="s">
        <v>40</v>
      </c>
      <c r="I175" s="2">
        <f>SUM(Table619[SPOT PTS])</f>
        <v>-19</v>
      </c>
      <c r="K175" s="28">
        <f>((Table619[[#This Row],[SPOT PTS]]/2)*15)-65</f>
        <v>1075</v>
      </c>
      <c r="L175" s="28">
        <f t="shared" ref="L175:L208" si="5">K175+L174</f>
        <v>55820</v>
      </c>
    </row>
    <row r="176" spans="1:12" ht="19.95" customHeight="1" thickBot="1" x14ac:dyDescent="0.35">
      <c r="A176" s="36">
        <v>2</v>
      </c>
      <c r="B176" s="37">
        <v>0.46527777777777773</v>
      </c>
      <c r="C176" s="38" t="s">
        <v>6</v>
      </c>
      <c r="D176" s="38">
        <v>-45</v>
      </c>
      <c r="E176" s="38" t="s">
        <v>29</v>
      </c>
      <c r="F176" s="39">
        <v>1</v>
      </c>
      <c r="H176" s="2" t="s">
        <v>10</v>
      </c>
      <c r="I176" s="2">
        <f>65*I173</f>
        <v>2275</v>
      </c>
      <c r="K176" s="28">
        <f>((Table619[[#This Row],[SPOT PTS]]/2)*15)-65</f>
        <v>-402.5</v>
      </c>
      <c r="L176" s="28">
        <f t="shared" si="5"/>
        <v>55417.5</v>
      </c>
    </row>
    <row r="177" spans="1:12" ht="19.95" customHeight="1" x14ac:dyDescent="0.3">
      <c r="A177" s="13">
        <v>3</v>
      </c>
      <c r="B177" s="14">
        <v>0.39583333333333331</v>
      </c>
      <c r="C177" s="15" t="s">
        <v>6</v>
      </c>
      <c r="D177" s="15">
        <v>-54</v>
      </c>
      <c r="E177" s="15" t="s">
        <v>21</v>
      </c>
      <c r="F177" s="16">
        <v>1</v>
      </c>
      <c r="H177" s="2" t="s">
        <v>41</v>
      </c>
      <c r="I177" s="2">
        <f>SUMIF(Table619[OUTCOME],"STOPLOSS",Table619[SPOT PTS])</f>
        <v>-1065</v>
      </c>
      <c r="K177" s="28">
        <f>((Table619[[#This Row],[SPOT PTS]]/2)*15)-65</f>
        <v>-470</v>
      </c>
      <c r="L177" s="28">
        <f t="shared" si="5"/>
        <v>54947.5</v>
      </c>
    </row>
    <row r="178" spans="1:12" ht="19.95" customHeight="1" thickBot="1" x14ac:dyDescent="0.35">
      <c r="A178" s="17">
        <v>3</v>
      </c>
      <c r="B178" s="18">
        <v>0.40625</v>
      </c>
      <c r="C178" s="19" t="s">
        <v>6</v>
      </c>
      <c r="D178" s="19">
        <v>-34</v>
      </c>
      <c r="E178" s="19" t="s">
        <v>21</v>
      </c>
      <c r="F178" s="20">
        <v>1</v>
      </c>
      <c r="H178" s="2" t="s">
        <v>42</v>
      </c>
      <c r="I178" s="2">
        <f>SUMIF(Table619[OUTCOME],"TARGET",Table619[SPOT PTS])</f>
        <v>1046</v>
      </c>
      <c r="K178" s="28">
        <f>((Table619[[#This Row],[SPOT PTS]]/2)*15)-65</f>
        <v>-320</v>
      </c>
      <c r="L178" s="28">
        <f t="shared" si="5"/>
        <v>54627.5</v>
      </c>
    </row>
    <row r="179" spans="1:12" ht="19.95" customHeight="1" x14ac:dyDescent="0.3">
      <c r="A179" s="13">
        <v>4</v>
      </c>
      <c r="B179" s="14">
        <v>0.40625</v>
      </c>
      <c r="C179" s="15" t="s">
        <v>6</v>
      </c>
      <c r="D179" s="15">
        <v>-60</v>
      </c>
      <c r="E179" s="15" t="s">
        <v>23</v>
      </c>
      <c r="F179" s="16">
        <v>1</v>
      </c>
      <c r="H179" s="2" t="s">
        <v>43</v>
      </c>
      <c r="I179" s="6"/>
      <c r="K179" s="28">
        <f>((Table619[[#This Row],[SPOT PTS]]/2)*15)-65</f>
        <v>-515</v>
      </c>
      <c r="L179" s="28">
        <f t="shared" si="5"/>
        <v>54112.5</v>
      </c>
    </row>
    <row r="180" spans="1:12" ht="19.95" customHeight="1" thickBot="1" x14ac:dyDescent="0.35">
      <c r="A180" s="17">
        <v>4</v>
      </c>
      <c r="B180" s="18">
        <v>0.53472222222222221</v>
      </c>
      <c r="C180" s="19" t="s">
        <v>9</v>
      </c>
      <c r="D180" s="19">
        <v>150</v>
      </c>
      <c r="E180" s="19" t="s">
        <v>23</v>
      </c>
      <c r="F180" s="20">
        <v>2</v>
      </c>
      <c r="H180" s="2" t="s">
        <v>44</v>
      </c>
      <c r="I180" s="9">
        <f>((I175/2)*15)-I176</f>
        <v>-2417.5</v>
      </c>
      <c r="K180" s="28">
        <f>((Table619[[#This Row],[SPOT PTS]]/2)*15)-65</f>
        <v>1060</v>
      </c>
      <c r="L180" s="28">
        <f t="shared" si="5"/>
        <v>55172.5</v>
      </c>
    </row>
    <row r="181" spans="1:12" ht="19.95" customHeight="1" thickBot="1" x14ac:dyDescent="0.35">
      <c r="A181" s="24">
        <v>7</v>
      </c>
      <c r="B181" s="25">
        <v>7.2916666666666671E-2</v>
      </c>
      <c r="C181" s="26" t="s">
        <v>6</v>
      </c>
      <c r="D181" s="26">
        <v>-24</v>
      </c>
      <c r="E181" s="26" t="s">
        <v>25</v>
      </c>
      <c r="F181" s="27">
        <v>2</v>
      </c>
      <c r="K181" s="28">
        <f>((Table619[[#This Row],[SPOT PTS]]/2)*15)-65</f>
        <v>-245</v>
      </c>
      <c r="L181" s="28">
        <f t="shared" si="5"/>
        <v>54927.5</v>
      </c>
    </row>
    <row r="182" spans="1:12" ht="19.95" customHeight="1" thickBot="1" x14ac:dyDescent="0.35">
      <c r="A182" s="24">
        <v>8</v>
      </c>
      <c r="B182" s="25">
        <v>6.9444444444444434E-2</v>
      </c>
      <c r="C182" s="26" t="s">
        <v>9</v>
      </c>
      <c r="D182" s="26">
        <v>108</v>
      </c>
      <c r="E182" s="26" t="s">
        <v>27</v>
      </c>
      <c r="F182" s="27">
        <v>1</v>
      </c>
      <c r="K182" s="28">
        <f>((Table619[[#This Row],[SPOT PTS]]/2)*15)-65</f>
        <v>745</v>
      </c>
      <c r="L182" s="28">
        <f t="shared" si="5"/>
        <v>55672.5</v>
      </c>
    </row>
    <row r="183" spans="1:12" ht="19.95" customHeight="1" thickBot="1" x14ac:dyDescent="0.35">
      <c r="A183" s="24">
        <v>9</v>
      </c>
      <c r="B183" s="25">
        <v>0.4236111111111111</v>
      </c>
      <c r="C183" s="26" t="s">
        <v>9</v>
      </c>
      <c r="D183" s="26">
        <v>132</v>
      </c>
      <c r="E183" s="26" t="s">
        <v>29</v>
      </c>
      <c r="F183" s="27">
        <v>1</v>
      </c>
      <c r="K183" s="28">
        <f>((Table619[[#This Row],[SPOT PTS]]/2)*15)-65</f>
        <v>925</v>
      </c>
      <c r="L183" s="28">
        <f t="shared" si="5"/>
        <v>56597.5</v>
      </c>
    </row>
    <row r="184" spans="1:12" ht="19.95" customHeight="1" x14ac:dyDescent="0.3">
      <c r="A184" s="13">
        <v>11</v>
      </c>
      <c r="B184" s="14">
        <v>0.3923611111111111</v>
      </c>
      <c r="C184" s="15" t="s">
        <v>6</v>
      </c>
      <c r="D184" s="15">
        <v>-60</v>
      </c>
      <c r="E184" s="15" t="s">
        <v>23</v>
      </c>
      <c r="F184" s="16">
        <v>1</v>
      </c>
      <c r="K184" s="28">
        <f>((Table619[[#This Row],[SPOT PTS]]/2)*15)-65</f>
        <v>-515</v>
      </c>
      <c r="L184" s="28">
        <f t="shared" si="5"/>
        <v>56082.5</v>
      </c>
    </row>
    <row r="185" spans="1:12" ht="19.95" customHeight="1" thickBot="1" x14ac:dyDescent="0.35">
      <c r="A185" s="17">
        <v>11</v>
      </c>
      <c r="B185" s="18">
        <v>9.375E-2</v>
      </c>
      <c r="C185" s="19" t="s">
        <v>6</v>
      </c>
      <c r="D185" s="19">
        <v>-37</v>
      </c>
      <c r="E185" s="19" t="s">
        <v>23</v>
      </c>
      <c r="F185" s="20">
        <v>2</v>
      </c>
      <c r="K185" s="28">
        <f>((Table619[[#This Row],[SPOT PTS]]/2)*15)-65</f>
        <v>-342.5</v>
      </c>
      <c r="L185" s="28">
        <f t="shared" si="5"/>
        <v>55740</v>
      </c>
    </row>
    <row r="186" spans="1:12" ht="19.95" customHeight="1" x14ac:dyDescent="0.3">
      <c r="A186" s="13">
        <v>14</v>
      </c>
      <c r="B186" s="14">
        <v>0.50347222222222221</v>
      </c>
      <c r="C186" s="15" t="s">
        <v>6</v>
      </c>
      <c r="D186" s="15">
        <v>-18</v>
      </c>
      <c r="E186" s="15" t="s">
        <v>25</v>
      </c>
      <c r="F186" s="16">
        <v>2</v>
      </c>
      <c r="K186" s="28">
        <f>((Table619[[#This Row],[SPOT PTS]]/2)*15)-65</f>
        <v>-200</v>
      </c>
      <c r="L186" s="28">
        <f t="shared" si="5"/>
        <v>55540</v>
      </c>
    </row>
    <row r="187" spans="1:12" ht="19.95" customHeight="1" thickBot="1" x14ac:dyDescent="0.35">
      <c r="A187" s="17">
        <v>14</v>
      </c>
      <c r="B187" s="18">
        <v>6.9444444444444434E-2</v>
      </c>
      <c r="C187" s="19" t="s">
        <v>6</v>
      </c>
      <c r="D187" s="19">
        <v>-34</v>
      </c>
      <c r="E187" s="19" t="s">
        <v>25</v>
      </c>
      <c r="F187" s="20">
        <v>2</v>
      </c>
      <c r="K187" s="28">
        <f>((Table619[[#This Row],[SPOT PTS]]/2)*15)-65</f>
        <v>-320</v>
      </c>
      <c r="L187" s="28">
        <f t="shared" si="5"/>
        <v>55220</v>
      </c>
    </row>
    <row r="188" spans="1:12" ht="19.95" customHeight="1" thickBot="1" x14ac:dyDescent="0.35">
      <c r="A188" s="24">
        <v>15</v>
      </c>
      <c r="B188" s="25">
        <v>0.39930555555555558</v>
      </c>
      <c r="C188" s="26" t="s">
        <v>6</v>
      </c>
      <c r="D188" s="26">
        <v>-57</v>
      </c>
      <c r="E188" s="26" t="s">
        <v>27</v>
      </c>
      <c r="F188" s="27">
        <v>1</v>
      </c>
      <c r="K188" s="28">
        <f>((Table619[[#This Row],[SPOT PTS]]/2)*15)-65</f>
        <v>-492.5</v>
      </c>
      <c r="L188" s="28">
        <f t="shared" si="5"/>
        <v>54727.5</v>
      </c>
    </row>
    <row r="189" spans="1:12" ht="19.95" customHeight="1" thickBot="1" x14ac:dyDescent="0.35">
      <c r="A189" s="24">
        <v>16</v>
      </c>
      <c r="B189" s="25">
        <v>0.40277777777777773</v>
      </c>
      <c r="C189" s="26" t="s">
        <v>9</v>
      </c>
      <c r="D189" s="26">
        <v>135</v>
      </c>
      <c r="E189" s="26" t="s">
        <v>29</v>
      </c>
      <c r="F189" s="27">
        <v>1</v>
      </c>
      <c r="K189" s="28">
        <f>((Table619[[#This Row],[SPOT PTS]]/2)*15)-65</f>
        <v>947.5</v>
      </c>
      <c r="L189" s="28">
        <f t="shared" si="5"/>
        <v>55675</v>
      </c>
    </row>
    <row r="190" spans="1:12" ht="19.95" customHeight="1" thickBot="1" x14ac:dyDescent="0.35">
      <c r="A190" s="24">
        <v>17</v>
      </c>
      <c r="B190" s="25">
        <v>0.44791666666666669</v>
      </c>
      <c r="C190" s="26" t="s">
        <v>9</v>
      </c>
      <c r="D190" s="26">
        <v>104</v>
      </c>
      <c r="E190" s="26" t="s">
        <v>21</v>
      </c>
      <c r="F190" s="27">
        <v>1</v>
      </c>
      <c r="K190" s="28">
        <f>((Table619[[#This Row],[SPOT PTS]]/2)*15)-65</f>
        <v>715</v>
      </c>
      <c r="L190" s="28">
        <f t="shared" si="5"/>
        <v>56390</v>
      </c>
    </row>
    <row r="191" spans="1:12" ht="19.95" customHeight="1" thickBot="1" x14ac:dyDescent="0.35">
      <c r="A191" s="24">
        <v>18</v>
      </c>
      <c r="B191" s="25">
        <v>0.3888888888888889</v>
      </c>
      <c r="C191" s="26" t="s">
        <v>6</v>
      </c>
      <c r="D191" s="26">
        <v>-81</v>
      </c>
      <c r="E191" s="26" t="s">
        <v>23</v>
      </c>
      <c r="F191" s="27">
        <v>1</v>
      </c>
      <c r="K191" s="28">
        <f>((Table619[[#This Row],[SPOT PTS]]/2)*15)-65</f>
        <v>-672.5</v>
      </c>
      <c r="L191" s="28">
        <f t="shared" si="5"/>
        <v>55717.5</v>
      </c>
    </row>
    <row r="192" spans="1:12" ht="19.95" customHeight="1" x14ac:dyDescent="0.3">
      <c r="A192" s="13">
        <v>21</v>
      </c>
      <c r="B192" s="14">
        <v>0.42708333333333331</v>
      </c>
      <c r="C192" s="15" t="s">
        <v>6</v>
      </c>
      <c r="D192" s="15">
        <v>-64</v>
      </c>
      <c r="E192" s="15" t="s">
        <v>25</v>
      </c>
      <c r="F192" s="16">
        <v>1</v>
      </c>
      <c r="K192" s="28">
        <f>((Table619[[#This Row],[SPOT PTS]]/2)*15)-65</f>
        <v>-545</v>
      </c>
      <c r="L192" s="28">
        <f t="shared" si="5"/>
        <v>55172.5</v>
      </c>
    </row>
    <row r="193" spans="1:12" ht="19.95" customHeight="1" x14ac:dyDescent="0.3">
      <c r="A193" s="21">
        <v>21</v>
      </c>
      <c r="B193" s="22">
        <v>0.44097222222222227</v>
      </c>
      <c r="C193" s="1" t="s">
        <v>6</v>
      </c>
      <c r="D193" s="1">
        <v>-39</v>
      </c>
      <c r="E193" s="1" t="s">
        <v>25</v>
      </c>
      <c r="F193" s="23">
        <v>1</v>
      </c>
      <c r="K193" s="28">
        <f>((Table619[[#This Row],[SPOT PTS]]/2)*15)-65</f>
        <v>-357.5</v>
      </c>
      <c r="L193" s="28">
        <f t="shared" si="5"/>
        <v>54815</v>
      </c>
    </row>
    <row r="194" spans="1:12" ht="19.95" customHeight="1" thickBot="1" x14ac:dyDescent="0.35">
      <c r="A194" s="17">
        <v>21</v>
      </c>
      <c r="B194" s="18">
        <v>5.2083333333333336E-2</v>
      </c>
      <c r="C194" s="19" t="s">
        <v>6</v>
      </c>
      <c r="D194" s="19">
        <v>-66</v>
      </c>
      <c r="E194" s="19" t="s">
        <v>25</v>
      </c>
      <c r="F194" s="20">
        <v>1</v>
      </c>
      <c r="K194" s="28">
        <f>((Table619[[#This Row],[SPOT PTS]]/2)*15)-65</f>
        <v>-560</v>
      </c>
      <c r="L194" s="28">
        <f t="shared" si="5"/>
        <v>54255</v>
      </c>
    </row>
    <row r="195" spans="1:12" ht="19.95" customHeight="1" x14ac:dyDescent="0.3">
      <c r="A195" s="13">
        <v>22</v>
      </c>
      <c r="B195" s="14">
        <v>0.39583333333333331</v>
      </c>
      <c r="C195" s="15" t="s">
        <v>6</v>
      </c>
      <c r="D195" s="15">
        <v>-45</v>
      </c>
      <c r="E195" s="15" t="s">
        <v>27</v>
      </c>
      <c r="F195" s="16">
        <v>1</v>
      </c>
      <c r="K195" s="28">
        <f>((Table619[[#This Row],[SPOT PTS]]/2)*15)-65</f>
        <v>-402.5</v>
      </c>
      <c r="L195" s="28">
        <f t="shared" si="5"/>
        <v>53852.5</v>
      </c>
    </row>
    <row r="196" spans="1:12" ht="19.95" customHeight="1" x14ac:dyDescent="0.3">
      <c r="A196" s="21">
        <v>22</v>
      </c>
      <c r="B196" s="22">
        <v>0.40972222222222227</v>
      </c>
      <c r="C196" s="1" t="s">
        <v>6</v>
      </c>
      <c r="D196" s="1">
        <v>-32</v>
      </c>
      <c r="E196" s="1" t="s">
        <v>27</v>
      </c>
      <c r="F196" s="23">
        <v>1</v>
      </c>
      <c r="K196" s="28">
        <f>((Table619[[#This Row],[SPOT PTS]]/2)*15)-65</f>
        <v>-305</v>
      </c>
      <c r="L196" s="28">
        <f t="shared" si="5"/>
        <v>53547.5</v>
      </c>
    </row>
    <row r="197" spans="1:12" ht="19.95" customHeight="1" thickBot="1" x14ac:dyDescent="0.35">
      <c r="A197" s="17">
        <v>22</v>
      </c>
      <c r="B197" s="18">
        <v>0.43055555555555558</v>
      </c>
      <c r="C197" s="19" t="s">
        <v>6</v>
      </c>
      <c r="D197" s="19">
        <v>-24</v>
      </c>
      <c r="E197" s="19" t="s">
        <v>27</v>
      </c>
      <c r="F197" s="20">
        <v>1</v>
      </c>
      <c r="K197" s="28">
        <f>((Table619[[#This Row],[SPOT PTS]]/2)*15)-65</f>
        <v>-245</v>
      </c>
      <c r="L197" s="28">
        <f t="shared" si="5"/>
        <v>53302.5</v>
      </c>
    </row>
    <row r="198" spans="1:12" ht="19.95" customHeight="1" thickBot="1" x14ac:dyDescent="0.35">
      <c r="A198" s="24">
        <v>23</v>
      </c>
      <c r="B198" s="25">
        <v>0.40625</v>
      </c>
      <c r="C198" s="26" t="s">
        <v>9</v>
      </c>
      <c r="D198" s="26">
        <v>93</v>
      </c>
      <c r="E198" s="26" t="s">
        <v>29</v>
      </c>
      <c r="F198" s="27">
        <v>1</v>
      </c>
      <c r="K198" s="28">
        <f>((Table619[[#This Row],[SPOT PTS]]/2)*15)-65</f>
        <v>632.5</v>
      </c>
      <c r="L198" s="28">
        <f t="shared" si="5"/>
        <v>53935</v>
      </c>
    </row>
    <row r="199" spans="1:12" ht="19.95" customHeight="1" x14ac:dyDescent="0.3">
      <c r="A199" s="13">
        <v>24</v>
      </c>
      <c r="B199" s="14">
        <v>0.40972222222222227</v>
      </c>
      <c r="C199" s="15" t="s">
        <v>6</v>
      </c>
      <c r="D199" s="15">
        <v>-50</v>
      </c>
      <c r="E199" s="15" t="s">
        <v>21</v>
      </c>
      <c r="F199" s="16">
        <v>1</v>
      </c>
      <c r="K199" s="28">
        <f>((Table619[[#This Row],[SPOT PTS]]/2)*15)-65</f>
        <v>-440</v>
      </c>
      <c r="L199" s="28">
        <f t="shared" si="5"/>
        <v>53495</v>
      </c>
    </row>
    <row r="200" spans="1:12" ht="19.95" customHeight="1" thickBot="1" x14ac:dyDescent="0.35">
      <c r="A200" s="17">
        <v>24</v>
      </c>
      <c r="B200" s="18">
        <v>7.6388888888888895E-2</v>
      </c>
      <c r="C200" s="19" t="s">
        <v>6</v>
      </c>
      <c r="D200" s="19">
        <v>-15</v>
      </c>
      <c r="E200" s="19" t="s">
        <v>21</v>
      </c>
      <c r="F200" s="20">
        <v>2</v>
      </c>
      <c r="K200" s="28">
        <f>((Table619[[#This Row],[SPOT PTS]]/2)*15)-65</f>
        <v>-177.5</v>
      </c>
      <c r="L200" s="28">
        <f t="shared" si="5"/>
        <v>53317.5</v>
      </c>
    </row>
    <row r="201" spans="1:12" ht="19.95" customHeight="1" x14ac:dyDescent="0.3">
      <c r="A201" s="13">
        <v>25</v>
      </c>
      <c r="B201" s="14">
        <v>0.40625</v>
      </c>
      <c r="C201" s="15" t="s">
        <v>6</v>
      </c>
      <c r="D201" s="15">
        <v>-44</v>
      </c>
      <c r="E201" s="15" t="s">
        <v>23</v>
      </c>
      <c r="F201" s="16">
        <v>1</v>
      </c>
      <c r="K201" s="28">
        <f>((Table619[[#This Row],[SPOT PTS]]/2)*15)-65</f>
        <v>-395</v>
      </c>
      <c r="L201" s="28">
        <f t="shared" si="5"/>
        <v>52922.5</v>
      </c>
    </row>
    <row r="202" spans="1:12" ht="19.95" customHeight="1" x14ac:dyDescent="0.3">
      <c r="A202" s="21">
        <v>25</v>
      </c>
      <c r="B202" s="22">
        <v>0.51388888888888895</v>
      </c>
      <c r="C202" s="1" t="s">
        <v>6</v>
      </c>
      <c r="D202" s="1">
        <v>-40</v>
      </c>
      <c r="E202" s="1" t="s">
        <v>23</v>
      </c>
      <c r="F202" s="23">
        <v>2</v>
      </c>
      <c r="K202" s="28">
        <f>((Table619[[#This Row],[SPOT PTS]]/2)*15)-65</f>
        <v>-365</v>
      </c>
      <c r="L202" s="28">
        <f t="shared" si="5"/>
        <v>52557.5</v>
      </c>
    </row>
    <row r="203" spans="1:12" ht="19.95" customHeight="1" thickBot="1" x14ac:dyDescent="0.35">
      <c r="A203" s="17">
        <v>25</v>
      </c>
      <c r="B203" s="18">
        <v>9.7222222222222224E-2</v>
      </c>
      <c r="C203" s="19" t="s">
        <v>6</v>
      </c>
      <c r="D203" s="19">
        <v>-31</v>
      </c>
      <c r="E203" s="19" t="s">
        <v>23</v>
      </c>
      <c r="F203" s="20">
        <v>2</v>
      </c>
      <c r="K203" s="28">
        <f>((Table619[[#This Row],[SPOT PTS]]/2)*15)-65</f>
        <v>-297.5</v>
      </c>
      <c r="L203" s="28">
        <f t="shared" si="5"/>
        <v>52260</v>
      </c>
    </row>
    <row r="204" spans="1:12" ht="19.95" customHeight="1" thickBot="1" x14ac:dyDescent="0.35">
      <c r="A204" s="24">
        <v>28</v>
      </c>
      <c r="B204" s="25">
        <v>0.39930555555555558</v>
      </c>
      <c r="C204" s="26" t="s">
        <v>9</v>
      </c>
      <c r="D204" s="26">
        <v>109</v>
      </c>
      <c r="E204" s="26" t="s">
        <v>25</v>
      </c>
      <c r="F204" s="27">
        <v>1</v>
      </c>
      <c r="K204" s="28">
        <f>((Table619[[#This Row],[SPOT PTS]]/2)*15)-65</f>
        <v>752.5</v>
      </c>
      <c r="L204" s="28">
        <f t="shared" si="5"/>
        <v>53012.5</v>
      </c>
    </row>
    <row r="205" spans="1:12" ht="19.95" customHeight="1" x14ac:dyDescent="0.3">
      <c r="A205" s="13">
        <v>29</v>
      </c>
      <c r="B205" s="14">
        <v>0.47916666666666669</v>
      </c>
      <c r="C205" s="15" t="s">
        <v>6</v>
      </c>
      <c r="D205" s="15">
        <v>-23</v>
      </c>
      <c r="E205" s="15" t="s">
        <v>27</v>
      </c>
      <c r="F205" s="16">
        <v>1</v>
      </c>
      <c r="K205" s="28">
        <f>((Table619[[#This Row],[SPOT PTS]]/2)*15)-65</f>
        <v>-237.5</v>
      </c>
      <c r="L205" s="28">
        <f t="shared" si="5"/>
        <v>52775</v>
      </c>
    </row>
    <row r="206" spans="1:12" ht="19.95" customHeight="1" thickBot="1" x14ac:dyDescent="0.35">
      <c r="A206" s="17">
        <v>29</v>
      </c>
      <c r="B206" s="18">
        <v>6.9444444444444434E-2</v>
      </c>
      <c r="C206" s="19" t="s">
        <v>6</v>
      </c>
      <c r="D206" s="19">
        <v>-17</v>
      </c>
      <c r="E206" s="19" t="s">
        <v>27</v>
      </c>
      <c r="F206" s="20">
        <v>2</v>
      </c>
      <c r="K206" s="28">
        <f>((Table619[[#This Row],[SPOT PTS]]/2)*15)-65</f>
        <v>-192.5</v>
      </c>
      <c r="L206" s="28">
        <f t="shared" si="5"/>
        <v>52582.5</v>
      </c>
    </row>
    <row r="207" spans="1:12" ht="19.95" customHeight="1" x14ac:dyDescent="0.3">
      <c r="A207" s="13">
        <v>30</v>
      </c>
      <c r="B207" s="14">
        <v>0.4201388888888889</v>
      </c>
      <c r="C207" s="15" t="s">
        <v>6</v>
      </c>
      <c r="D207" s="15">
        <v>-25</v>
      </c>
      <c r="E207" s="15" t="s">
        <v>29</v>
      </c>
      <c r="F207" s="16">
        <v>1</v>
      </c>
      <c r="K207" s="28">
        <f>((Table619[[#This Row],[SPOT PTS]]/2)*15)-65</f>
        <v>-252.5</v>
      </c>
      <c r="L207" s="28">
        <f t="shared" si="5"/>
        <v>52330</v>
      </c>
    </row>
    <row r="208" spans="1:12" ht="19.95" customHeight="1" thickBot="1" x14ac:dyDescent="0.35">
      <c r="A208" s="17">
        <v>30</v>
      </c>
      <c r="B208" s="18">
        <v>0.46875</v>
      </c>
      <c r="C208" s="19" t="s">
        <v>9</v>
      </c>
      <c r="D208" s="19">
        <v>63</v>
      </c>
      <c r="E208" s="19" t="s">
        <v>29</v>
      </c>
      <c r="F208" s="20">
        <v>1</v>
      </c>
      <c r="K208" s="28">
        <f>((Table619[[#This Row],[SPOT PTS]]/2)*15)-65</f>
        <v>407.5</v>
      </c>
      <c r="L208" s="28">
        <f t="shared" si="5"/>
        <v>52737.5</v>
      </c>
    </row>
    <row r="209" spans="1:12" ht="19.95" customHeight="1" x14ac:dyDescent="0.3">
      <c r="A209" s="40" t="s">
        <v>54</v>
      </c>
      <c r="B209" s="40"/>
      <c r="C209" s="40"/>
      <c r="D209" s="40"/>
      <c r="E209" s="40"/>
      <c r="F209" s="40"/>
    </row>
    <row r="210" spans="1:12" ht="19.95" customHeight="1" thickBot="1" x14ac:dyDescent="0.35">
      <c r="A210" s="34" t="s">
        <v>46</v>
      </c>
      <c r="B210" s="10" t="s">
        <v>47</v>
      </c>
      <c r="C210" s="10" t="s">
        <v>0</v>
      </c>
      <c r="D210" s="10" t="s">
        <v>48</v>
      </c>
      <c r="E210" s="10" t="s">
        <v>14</v>
      </c>
      <c r="F210" s="35" t="s">
        <v>49</v>
      </c>
      <c r="H210" s="2" t="s">
        <v>38</v>
      </c>
      <c r="I210" s="2">
        <f>COUNT(Table720[DATE])</f>
        <v>32</v>
      </c>
      <c r="L210" s="28">
        <f>L208</f>
        <v>52737.5</v>
      </c>
    </row>
    <row r="211" spans="1:12" ht="19.95" customHeight="1" thickBot="1" x14ac:dyDescent="0.35">
      <c r="A211" s="24">
        <v>1</v>
      </c>
      <c r="B211" s="25">
        <v>0.41319444444444442</v>
      </c>
      <c r="C211" s="26" t="s">
        <v>9</v>
      </c>
      <c r="D211" s="26">
        <v>95</v>
      </c>
      <c r="E211" s="26" t="s">
        <v>21</v>
      </c>
      <c r="F211" s="27">
        <v>1</v>
      </c>
      <c r="H211" s="2" t="s">
        <v>39</v>
      </c>
      <c r="I211" s="3">
        <f>((COUNTIF(Table720[OUTCOME],"TARGET"))/I210)</f>
        <v>0.5</v>
      </c>
      <c r="K211" s="28">
        <f>((Table720[[#This Row],[SPOT PTS]]/2)*15)-65</f>
        <v>647.5</v>
      </c>
      <c r="L211" s="28">
        <f>K211+L210</f>
        <v>53385</v>
      </c>
    </row>
    <row r="212" spans="1:12" ht="19.95" customHeight="1" x14ac:dyDescent="0.3">
      <c r="A212" s="13">
        <v>2</v>
      </c>
      <c r="B212" s="14">
        <v>0.47916666666666669</v>
      </c>
      <c r="C212" s="15" t="s">
        <v>6</v>
      </c>
      <c r="D212" s="15">
        <v>-20</v>
      </c>
      <c r="E212" s="15" t="s">
        <v>23</v>
      </c>
      <c r="F212" s="16">
        <v>1</v>
      </c>
      <c r="H212" s="2" t="s">
        <v>40</v>
      </c>
      <c r="I212" s="2">
        <f>SUM(Table720[SPOT PTS])</f>
        <v>1123</v>
      </c>
      <c r="K212" s="28">
        <f>((Table720[[#This Row],[SPOT PTS]]/2)*15)-65</f>
        <v>-215</v>
      </c>
      <c r="L212" s="28">
        <f t="shared" ref="L212:L242" si="6">K212+L211</f>
        <v>53170</v>
      </c>
    </row>
    <row r="213" spans="1:12" ht="19.95" customHeight="1" thickBot="1" x14ac:dyDescent="0.35">
      <c r="A213" s="17">
        <v>2</v>
      </c>
      <c r="B213" s="18">
        <v>4.5138888888888888E-2</v>
      </c>
      <c r="C213" s="19" t="s">
        <v>9</v>
      </c>
      <c r="D213" s="19">
        <v>102</v>
      </c>
      <c r="E213" s="19" t="s">
        <v>23</v>
      </c>
      <c r="F213" s="20">
        <v>2</v>
      </c>
      <c r="H213" s="2" t="s">
        <v>10</v>
      </c>
      <c r="I213" s="2">
        <f>65*I210</f>
        <v>2080</v>
      </c>
      <c r="K213" s="28">
        <f>((Table720[[#This Row],[SPOT PTS]]/2)*15)-65</f>
        <v>700</v>
      </c>
      <c r="L213" s="28">
        <f t="shared" si="6"/>
        <v>53870</v>
      </c>
    </row>
    <row r="214" spans="1:12" ht="19.95" customHeight="1" x14ac:dyDescent="0.3">
      <c r="A214" s="13">
        <v>5</v>
      </c>
      <c r="B214" s="14">
        <v>0.41319444444444442</v>
      </c>
      <c r="C214" s="15" t="s">
        <v>6</v>
      </c>
      <c r="D214" s="15">
        <v>-23</v>
      </c>
      <c r="E214" s="15" t="s">
        <v>25</v>
      </c>
      <c r="F214" s="16">
        <v>1</v>
      </c>
      <c r="H214" s="2" t="s">
        <v>41</v>
      </c>
      <c r="I214" s="2">
        <f>SUMIF(Table720[OUTCOME],"STOPLOSS",Table720[SPOT PTS])</f>
        <v>-606</v>
      </c>
      <c r="K214" s="28">
        <f>((Table720[[#This Row],[SPOT PTS]]/2)*15)-65</f>
        <v>-237.5</v>
      </c>
      <c r="L214" s="28">
        <f t="shared" si="6"/>
        <v>53632.5</v>
      </c>
    </row>
    <row r="215" spans="1:12" ht="19.95" customHeight="1" thickBot="1" x14ac:dyDescent="0.35">
      <c r="A215" s="17">
        <v>5</v>
      </c>
      <c r="B215" s="18">
        <v>9.0277777777777776E-2</v>
      </c>
      <c r="C215" s="19" t="s">
        <v>6</v>
      </c>
      <c r="D215" s="19">
        <v>-18</v>
      </c>
      <c r="E215" s="19" t="s">
        <v>25</v>
      </c>
      <c r="F215" s="20">
        <v>2</v>
      </c>
      <c r="H215" s="2" t="s">
        <v>42</v>
      </c>
      <c r="I215" s="2">
        <f>SUMIF(Table720[OUTCOME],"TARGET",Table720[SPOT PTS])</f>
        <v>1729</v>
      </c>
      <c r="K215" s="28">
        <f>((Table720[[#This Row],[SPOT PTS]]/2)*15)-65</f>
        <v>-200</v>
      </c>
      <c r="L215" s="28">
        <f t="shared" si="6"/>
        <v>53432.5</v>
      </c>
    </row>
    <row r="216" spans="1:12" ht="19.95" customHeight="1" x14ac:dyDescent="0.3">
      <c r="A216" s="13">
        <v>6</v>
      </c>
      <c r="B216" s="14">
        <v>0.4201388888888889</v>
      </c>
      <c r="C216" s="15" t="s">
        <v>6</v>
      </c>
      <c r="D216" s="15">
        <v>-34</v>
      </c>
      <c r="E216" s="15" t="s">
        <v>27</v>
      </c>
      <c r="F216" s="16">
        <v>1</v>
      </c>
      <c r="H216" s="2" t="s">
        <v>43</v>
      </c>
      <c r="I216" s="6"/>
      <c r="K216" s="28">
        <f>((Table720[[#This Row],[SPOT PTS]]/2)*15)-65</f>
        <v>-320</v>
      </c>
      <c r="L216" s="28">
        <f t="shared" si="6"/>
        <v>53112.5</v>
      </c>
    </row>
    <row r="217" spans="1:12" ht="19.95" customHeight="1" x14ac:dyDescent="0.3">
      <c r="A217" s="21">
        <v>6</v>
      </c>
      <c r="B217" s="22">
        <v>0.47569444444444442</v>
      </c>
      <c r="C217" s="1" t="s">
        <v>6</v>
      </c>
      <c r="D217" s="1">
        <v>-42</v>
      </c>
      <c r="E217" s="1" t="s">
        <v>27</v>
      </c>
      <c r="F217" s="23">
        <v>1</v>
      </c>
      <c r="H217" s="2" t="s">
        <v>44</v>
      </c>
      <c r="I217" s="9">
        <f>((I212/2)*15)-I213</f>
        <v>6342.5</v>
      </c>
      <c r="K217" s="28">
        <f>((Table720[[#This Row],[SPOT PTS]]/2)*15)-65</f>
        <v>-380</v>
      </c>
      <c r="L217" s="28">
        <f t="shared" si="6"/>
        <v>52732.5</v>
      </c>
    </row>
    <row r="218" spans="1:12" ht="19.95" customHeight="1" thickBot="1" x14ac:dyDescent="0.35">
      <c r="A218" s="17">
        <v>6</v>
      </c>
      <c r="B218" s="18">
        <v>9.375E-2</v>
      </c>
      <c r="C218" s="19" t="s">
        <v>9</v>
      </c>
      <c r="D218" s="19">
        <v>119</v>
      </c>
      <c r="E218" s="19" t="s">
        <v>27</v>
      </c>
      <c r="F218" s="20">
        <v>2</v>
      </c>
      <c r="K218" s="28">
        <f>((Table720[[#This Row],[SPOT PTS]]/2)*15)-65</f>
        <v>827.5</v>
      </c>
      <c r="L218" s="28">
        <f t="shared" si="6"/>
        <v>53560</v>
      </c>
    </row>
    <row r="219" spans="1:12" ht="19.95" customHeight="1" thickBot="1" x14ac:dyDescent="0.35">
      <c r="A219" s="24">
        <v>7</v>
      </c>
      <c r="B219" s="25">
        <v>0.40277777777777773</v>
      </c>
      <c r="C219" s="26" t="s">
        <v>6</v>
      </c>
      <c r="D219" s="26">
        <v>-33</v>
      </c>
      <c r="E219" s="26" t="s">
        <v>29</v>
      </c>
      <c r="F219" s="27">
        <v>1</v>
      </c>
      <c r="K219" s="28">
        <f>((Table720[[#This Row],[SPOT PTS]]/2)*15)-65</f>
        <v>-312.5</v>
      </c>
      <c r="L219" s="28">
        <f t="shared" si="6"/>
        <v>53247.5</v>
      </c>
    </row>
    <row r="220" spans="1:12" ht="19.95" customHeight="1" thickBot="1" x14ac:dyDescent="0.35">
      <c r="A220" s="24">
        <v>8</v>
      </c>
      <c r="B220" s="25">
        <v>0.47569444444444442</v>
      </c>
      <c r="C220" s="26" t="s">
        <v>9</v>
      </c>
      <c r="D220" s="26">
        <v>60</v>
      </c>
      <c r="E220" s="26" t="s">
        <v>21</v>
      </c>
      <c r="F220" s="27">
        <v>1</v>
      </c>
      <c r="K220" s="28">
        <f>((Table720[[#This Row],[SPOT PTS]]/2)*15)-65</f>
        <v>385</v>
      </c>
      <c r="L220" s="28">
        <f t="shared" si="6"/>
        <v>53632.5</v>
      </c>
    </row>
    <row r="221" spans="1:12" ht="19.95" customHeight="1" thickBot="1" x14ac:dyDescent="0.35">
      <c r="A221" s="24">
        <v>9</v>
      </c>
      <c r="B221" s="25">
        <v>0.4513888888888889</v>
      </c>
      <c r="C221" s="26" t="s">
        <v>9</v>
      </c>
      <c r="D221" s="26">
        <v>130</v>
      </c>
      <c r="E221" s="26" t="s">
        <v>23</v>
      </c>
      <c r="F221" s="27">
        <v>1</v>
      </c>
      <c r="K221" s="28">
        <f>((Table720[[#This Row],[SPOT PTS]]/2)*15)-65</f>
        <v>910</v>
      </c>
      <c r="L221" s="28">
        <f t="shared" si="6"/>
        <v>54542.5</v>
      </c>
    </row>
    <row r="222" spans="1:12" ht="19.95" customHeight="1" thickBot="1" x14ac:dyDescent="0.35">
      <c r="A222" s="24">
        <v>12</v>
      </c>
      <c r="B222" s="25">
        <v>0.39930555555555558</v>
      </c>
      <c r="C222" s="26" t="s">
        <v>6</v>
      </c>
      <c r="D222" s="26">
        <v>-39</v>
      </c>
      <c r="E222" s="26" t="s">
        <v>25</v>
      </c>
      <c r="F222" s="27">
        <v>1</v>
      </c>
      <c r="K222" s="28">
        <f>((Table720[[#This Row],[SPOT PTS]]/2)*15)-65</f>
        <v>-357.5</v>
      </c>
      <c r="L222" s="28">
        <f t="shared" si="6"/>
        <v>54185</v>
      </c>
    </row>
    <row r="223" spans="1:12" ht="19.95" customHeight="1" x14ac:dyDescent="0.3">
      <c r="A223" s="13">
        <v>13</v>
      </c>
      <c r="B223" s="14">
        <v>0.39583333333333331</v>
      </c>
      <c r="C223" s="15" t="s">
        <v>6</v>
      </c>
      <c r="D223" s="15">
        <v>-24</v>
      </c>
      <c r="E223" s="15" t="s">
        <v>27</v>
      </c>
      <c r="F223" s="16">
        <v>1</v>
      </c>
      <c r="K223" s="28">
        <f>((Table720[[#This Row],[SPOT PTS]]/2)*15)-65</f>
        <v>-245</v>
      </c>
      <c r="L223" s="28">
        <f t="shared" si="6"/>
        <v>53940</v>
      </c>
    </row>
    <row r="224" spans="1:12" ht="19.95" customHeight="1" x14ac:dyDescent="0.3">
      <c r="A224" s="21">
        <v>13</v>
      </c>
      <c r="B224" s="22">
        <v>0.51388888888888895</v>
      </c>
      <c r="C224" s="1" t="s">
        <v>6</v>
      </c>
      <c r="D224" s="1">
        <v>-42</v>
      </c>
      <c r="E224" s="1" t="s">
        <v>27</v>
      </c>
      <c r="F224" s="23">
        <v>2</v>
      </c>
      <c r="K224" s="28">
        <f>((Table720[[#This Row],[SPOT PTS]]/2)*15)-65</f>
        <v>-380</v>
      </c>
      <c r="L224" s="28">
        <f t="shared" si="6"/>
        <v>53560</v>
      </c>
    </row>
    <row r="225" spans="1:12" ht="19.95" customHeight="1" thickBot="1" x14ac:dyDescent="0.35">
      <c r="A225" s="17">
        <v>13</v>
      </c>
      <c r="B225" s="18">
        <v>7.2916666666666671E-2</v>
      </c>
      <c r="C225" s="19" t="s">
        <v>6</v>
      </c>
      <c r="D225" s="19">
        <v>-15</v>
      </c>
      <c r="E225" s="19" t="s">
        <v>27</v>
      </c>
      <c r="F225" s="20">
        <v>2</v>
      </c>
      <c r="K225" s="28">
        <f>((Table720[[#This Row],[SPOT PTS]]/2)*15)-65</f>
        <v>-177.5</v>
      </c>
      <c r="L225" s="28">
        <f t="shared" si="6"/>
        <v>53382.5</v>
      </c>
    </row>
    <row r="226" spans="1:12" ht="19.95" customHeight="1" x14ac:dyDescent="0.3">
      <c r="A226" s="13">
        <v>14</v>
      </c>
      <c r="B226" s="14">
        <v>0.45833333333333331</v>
      </c>
      <c r="C226" s="15" t="s">
        <v>6</v>
      </c>
      <c r="D226" s="15">
        <v>-25</v>
      </c>
      <c r="E226" s="15" t="s">
        <v>29</v>
      </c>
      <c r="F226" s="16">
        <v>1</v>
      </c>
      <c r="K226" s="28">
        <f>((Table720[[#This Row],[SPOT PTS]]/2)*15)-65</f>
        <v>-252.5</v>
      </c>
      <c r="L226" s="28">
        <f t="shared" si="6"/>
        <v>53130</v>
      </c>
    </row>
    <row r="227" spans="1:12" ht="19.95" customHeight="1" thickBot="1" x14ac:dyDescent="0.35">
      <c r="A227" s="17">
        <v>14</v>
      </c>
      <c r="B227" s="18">
        <v>5.2083333333333336E-2</v>
      </c>
      <c r="C227" s="19" t="s">
        <v>9</v>
      </c>
      <c r="D227" s="19">
        <v>94</v>
      </c>
      <c r="E227" s="19" t="s">
        <v>29</v>
      </c>
      <c r="F227" s="20">
        <v>2</v>
      </c>
      <c r="K227" s="28">
        <f>((Table720[[#This Row],[SPOT PTS]]/2)*15)-65</f>
        <v>640</v>
      </c>
      <c r="L227" s="28">
        <f t="shared" si="6"/>
        <v>53770</v>
      </c>
    </row>
    <row r="228" spans="1:12" ht="19.95" customHeight="1" thickBot="1" x14ac:dyDescent="0.35">
      <c r="A228" s="24">
        <v>15</v>
      </c>
      <c r="B228" s="25">
        <v>8.3333333333333329E-2</v>
      </c>
      <c r="C228" s="26" t="s">
        <v>9</v>
      </c>
      <c r="D228" s="26">
        <v>12</v>
      </c>
      <c r="E228" s="26" t="s">
        <v>21</v>
      </c>
      <c r="F228" s="27">
        <v>2</v>
      </c>
      <c r="K228" s="28">
        <f>((Table720[[#This Row],[SPOT PTS]]/2)*15)-65</f>
        <v>25</v>
      </c>
      <c r="L228" s="28">
        <f t="shared" si="6"/>
        <v>53795</v>
      </c>
    </row>
    <row r="229" spans="1:12" ht="19.95" customHeight="1" thickBot="1" x14ac:dyDescent="0.35">
      <c r="A229" s="24">
        <v>16</v>
      </c>
      <c r="B229" s="25">
        <v>5.2083333333333336E-2</v>
      </c>
      <c r="C229" s="26" t="s">
        <v>9</v>
      </c>
      <c r="D229" s="26">
        <v>71</v>
      </c>
      <c r="E229" s="26" t="s">
        <v>23</v>
      </c>
      <c r="F229" s="27">
        <v>2</v>
      </c>
      <c r="K229" s="28">
        <f>((Table720[[#This Row],[SPOT PTS]]/2)*15)-65</f>
        <v>467.5</v>
      </c>
      <c r="L229" s="28">
        <f t="shared" si="6"/>
        <v>54262.5</v>
      </c>
    </row>
    <row r="230" spans="1:12" ht="19.95" customHeight="1" thickBot="1" x14ac:dyDescent="0.35">
      <c r="A230" s="24">
        <v>20</v>
      </c>
      <c r="B230" s="25">
        <v>0.42708333333333331</v>
      </c>
      <c r="C230" s="26" t="s">
        <v>9</v>
      </c>
      <c r="D230" s="26">
        <v>102</v>
      </c>
      <c r="E230" s="26" t="s">
        <v>27</v>
      </c>
      <c r="F230" s="27">
        <v>1</v>
      </c>
      <c r="K230" s="28">
        <f>((Table720[[#This Row],[SPOT PTS]]/2)*15)-65</f>
        <v>700</v>
      </c>
      <c r="L230" s="28">
        <f t="shared" si="6"/>
        <v>54962.5</v>
      </c>
    </row>
    <row r="231" spans="1:12" ht="19.95" customHeight="1" x14ac:dyDescent="0.3">
      <c r="A231" s="13">
        <v>22</v>
      </c>
      <c r="B231" s="14">
        <v>0.40625</v>
      </c>
      <c r="C231" s="15" t="s">
        <v>6</v>
      </c>
      <c r="D231" s="15">
        <v>-51</v>
      </c>
      <c r="E231" s="15" t="s">
        <v>21</v>
      </c>
      <c r="F231" s="16">
        <v>1</v>
      </c>
      <c r="K231" s="28">
        <f>((Table720[[#This Row],[SPOT PTS]]/2)*15)-65</f>
        <v>-447.5</v>
      </c>
      <c r="L231" s="28">
        <f t="shared" si="6"/>
        <v>54515</v>
      </c>
    </row>
    <row r="232" spans="1:12" ht="19.95" customHeight="1" thickBot="1" x14ac:dyDescent="0.35">
      <c r="A232" s="17">
        <v>22</v>
      </c>
      <c r="B232" s="18">
        <v>0.4548611111111111</v>
      </c>
      <c r="C232" s="19" t="s">
        <v>9</v>
      </c>
      <c r="D232" s="19">
        <v>86</v>
      </c>
      <c r="E232" s="19" t="s">
        <v>21</v>
      </c>
      <c r="F232" s="20">
        <v>1</v>
      </c>
      <c r="K232" s="28">
        <f>((Table720[[#This Row],[SPOT PTS]]/2)*15)-65</f>
        <v>580</v>
      </c>
      <c r="L232" s="28">
        <f t="shared" si="6"/>
        <v>55095</v>
      </c>
    </row>
    <row r="233" spans="1:12" ht="19.95" customHeight="1" thickBot="1" x14ac:dyDescent="0.35">
      <c r="A233" s="24">
        <v>23</v>
      </c>
      <c r="B233" s="25">
        <v>0.39583333333333331</v>
      </c>
      <c r="C233" s="26" t="s">
        <v>9</v>
      </c>
      <c r="D233" s="26">
        <v>230</v>
      </c>
      <c r="E233" s="26" t="s">
        <v>23</v>
      </c>
      <c r="F233" s="27">
        <v>1</v>
      </c>
      <c r="K233" s="28">
        <f>((Table720[[#This Row],[SPOT PTS]]/2)*15)-65</f>
        <v>1660</v>
      </c>
      <c r="L233" s="28">
        <f t="shared" si="6"/>
        <v>56755</v>
      </c>
    </row>
    <row r="234" spans="1:12" ht="19.95" customHeight="1" thickBot="1" x14ac:dyDescent="0.35">
      <c r="A234" s="24">
        <v>26</v>
      </c>
      <c r="B234" s="25">
        <v>0.47916666666666669</v>
      </c>
      <c r="C234" s="26" t="s">
        <v>9</v>
      </c>
      <c r="D234" s="26">
        <v>131</v>
      </c>
      <c r="E234" s="26" t="s">
        <v>25</v>
      </c>
      <c r="F234" s="27">
        <v>1</v>
      </c>
      <c r="K234" s="28">
        <f>((Table720[[#This Row],[SPOT PTS]]/2)*15)-65</f>
        <v>917.5</v>
      </c>
      <c r="L234" s="28">
        <f t="shared" si="6"/>
        <v>57672.5</v>
      </c>
    </row>
    <row r="235" spans="1:12" ht="19.95" customHeight="1" x14ac:dyDescent="0.3">
      <c r="A235" s="13">
        <v>27</v>
      </c>
      <c r="B235" s="14">
        <v>0.3923611111111111</v>
      </c>
      <c r="C235" s="15" t="s">
        <v>6</v>
      </c>
      <c r="D235" s="15">
        <v>-78</v>
      </c>
      <c r="E235" s="15" t="s">
        <v>27</v>
      </c>
      <c r="F235" s="16">
        <v>1</v>
      </c>
      <c r="K235" s="28">
        <f>((Table720[[#This Row],[SPOT PTS]]/2)*15)-65</f>
        <v>-650</v>
      </c>
      <c r="L235" s="28">
        <f t="shared" si="6"/>
        <v>57022.5</v>
      </c>
    </row>
    <row r="236" spans="1:12" ht="19.95" customHeight="1" thickBot="1" x14ac:dyDescent="0.35">
      <c r="A236" s="17">
        <v>27</v>
      </c>
      <c r="B236" s="18">
        <v>0.44444444444444442</v>
      </c>
      <c r="C236" s="19" t="s">
        <v>9</v>
      </c>
      <c r="D236" s="19">
        <v>100</v>
      </c>
      <c r="E236" s="19" t="s">
        <v>27</v>
      </c>
      <c r="F236" s="20">
        <v>1</v>
      </c>
      <c r="K236" s="28">
        <f>((Table720[[#This Row],[SPOT PTS]]/2)*15)-65</f>
        <v>685</v>
      </c>
      <c r="L236" s="28">
        <f t="shared" si="6"/>
        <v>57707.5</v>
      </c>
    </row>
    <row r="237" spans="1:12" ht="19.95" customHeight="1" x14ac:dyDescent="0.3">
      <c r="A237" s="13">
        <v>28</v>
      </c>
      <c r="B237" s="14">
        <v>0.47222222222222227</v>
      </c>
      <c r="C237" s="15" t="s">
        <v>6</v>
      </c>
      <c r="D237" s="15">
        <v>-48</v>
      </c>
      <c r="E237" s="15" t="s">
        <v>29</v>
      </c>
      <c r="F237" s="16">
        <v>1</v>
      </c>
      <c r="K237" s="28">
        <f>((Table720[[#This Row],[SPOT PTS]]/2)*15)-65</f>
        <v>-425</v>
      </c>
      <c r="L237" s="28">
        <f t="shared" si="6"/>
        <v>57282.5</v>
      </c>
    </row>
    <row r="238" spans="1:12" ht="19.95" customHeight="1" x14ac:dyDescent="0.3">
      <c r="A238" s="21">
        <v>28</v>
      </c>
      <c r="B238" s="22">
        <v>0.52083333333333337</v>
      </c>
      <c r="C238" s="1" t="s">
        <v>6</v>
      </c>
      <c r="D238" s="1">
        <v>-33</v>
      </c>
      <c r="E238" s="1" t="s">
        <v>29</v>
      </c>
      <c r="F238" s="23">
        <v>2</v>
      </c>
      <c r="K238" s="28">
        <f>((Table720[[#This Row],[SPOT PTS]]/2)*15)-65</f>
        <v>-312.5</v>
      </c>
      <c r="L238" s="28">
        <f t="shared" si="6"/>
        <v>56970</v>
      </c>
    </row>
    <row r="239" spans="1:12" ht="19.95" customHeight="1" thickBot="1" x14ac:dyDescent="0.35">
      <c r="A239" s="17">
        <v>28</v>
      </c>
      <c r="B239" s="18">
        <v>7.9861111111111105E-2</v>
      </c>
      <c r="C239" s="19" t="s">
        <v>9</v>
      </c>
      <c r="D239" s="19">
        <v>156</v>
      </c>
      <c r="E239" s="19" t="s">
        <v>29</v>
      </c>
      <c r="F239" s="20">
        <v>2</v>
      </c>
      <c r="K239" s="28">
        <f>((Table720[[#This Row],[SPOT PTS]]/2)*15)-65</f>
        <v>1105</v>
      </c>
      <c r="L239" s="28">
        <f t="shared" si="6"/>
        <v>58075</v>
      </c>
    </row>
    <row r="240" spans="1:12" ht="19.95" customHeight="1" x14ac:dyDescent="0.3">
      <c r="A240" s="13">
        <v>29</v>
      </c>
      <c r="B240" s="14">
        <v>0.3888888888888889</v>
      </c>
      <c r="C240" s="15" t="s">
        <v>6</v>
      </c>
      <c r="D240" s="15">
        <v>-81</v>
      </c>
      <c r="E240" s="15" t="s">
        <v>21</v>
      </c>
      <c r="F240" s="16">
        <v>1</v>
      </c>
      <c r="K240" s="28">
        <f>((Table720[[#This Row],[SPOT PTS]]/2)*15)-65</f>
        <v>-672.5</v>
      </c>
      <c r="L240" s="28">
        <f t="shared" si="6"/>
        <v>57402.5</v>
      </c>
    </row>
    <row r="241" spans="1:12" ht="19.95" customHeight="1" thickBot="1" x14ac:dyDescent="0.35">
      <c r="A241" s="17">
        <v>29</v>
      </c>
      <c r="B241" s="18">
        <v>6.9444444444444434E-2</v>
      </c>
      <c r="C241" s="19" t="s">
        <v>9</v>
      </c>
      <c r="D241" s="19">
        <v>111</v>
      </c>
      <c r="E241" s="19" t="s">
        <v>21</v>
      </c>
      <c r="F241" s="20">
        <v>2</v>
      </c>
      <c r="K241" s="28">
        <f>((Table720[[#This Row],[SPOT PTS]]/2)*15)-65</f>
        <v>767.5</v>
      </c>
      <c r="L241" s="28">
        <f t="shared" si="6"/>
        <v>58170</v>
      </c>
    </row>
    <row r="242" spans="1:12" ht="19.95" customHeight="1" thickBot="1" x14ac:dyDescent="0.35">
      <c r="A242" s="24">
        <v>30</v>
      </c>
      <c r="B242" s="25">
        <v>8.3333333333333329E-2</v>
      </c>
      <c r="C242" s="26" t="s">
        <v>9</v>
      </c>
      <c r="D242" s="26">
        <v>130</v>
      </c>
      <c r="E242" s="26" t="s">
        <v>23</v>
      </c>
      <c r="F242" s="27">
        <v>2</v>
      </c>
      <c r="K242" s="28">
        <f>((Table720[[#This Row],[SPOT PTS]]/2)*15)-65</f>
        <v>910</v>
      </c>
      <c r="L242" s="28">
        <f t="shared" si="6"/>
        <v>59080</v>
      </c>
    </row>
    <row r="243" spans="1:12" ht="19.95" customHeight="1" x14ac:dyDescent="0.3">
      <c r="A243" s="40" t="s">
        <v>55</v>
      </c>
      <c r="B243" s="40"/>
      <c r="C243" s="40"/>
      <c r="D243" s="40"/>
      <c r="E243" s="40"/>
      <c r="F243" s="40"/>
    </row>
    <row r="244" spans="1:12" ht="19.95" customHeight="1" thickBot="1" x14ac:dyDescent="0.35">
      <c r="A244" s="34" t="s">
        <v>46</v>
      </c>
      <c r="B244" s="10" t="s">
        <v>47</v>
      </c>
      <c r="C244" s="10" t="s">
        <v>0</v>
      </c>
      <c r="D244" s="10" t="s">
        <v>48</v>
      </c>
      <c r="E244" s="10" t="s">
        <v>14</v>
      </c>
      <c r="F244" s="35" t="s">
        <v>49</v>
      </c>
      <c r="L244" s="28">
        <f>L242</f>
        <v>59080</v>
      </c>
    </row>
    <row r="245" spans="1:12" ht="19.95" customHeight="1" thickBot="1" x14ac:dyDescent="0.35">
      <c r="A245" s="24">
        <v>2</v>
      </c>
      <c r="B245" s="25">
        <v>0.40277777777777773</v>
      </c>
      <c r="C245" s="26" t="s">
        <v>6</v>
      </c>
      <c r="D245" s="26">
        <v>-32</v>
      </c>
      <c r="E245" s="26" t="s">
        <v>25</v>
      </c>
      <c r="F245" s="27">
        <v>1</v>
      </c>
      <c r="H245" s="2" t="s">
        <v>38</v>
      </c>
      <c r="I245" s="2">
        <f>COUNT(Table821[DATE])</f>
        <v>34</v>
      </c>
      <c r="K245" s="28">
        <f>((Table821[[#This Row],[SPOT PTS]]/2)*15)-65</f>
        <v>-305</v>
      </c>
      <c r="L245" s="28">
        <f>K245+L244</f>
        <v>58775</v>
      </c>
    </row>
    <row r="246" spans="1:12" ht="19.95" customHeight="1" x14ac:dyDescent="0.3">
      <c r="A246" s="13">
        <v>3</v>
      </c>
      <c r="B246" s="14">
        <v>0.42708333333333331</v>
      </c>
      <c r="C246" s="15" t="s">
        <v>6</v>
      </c>
      <c r="D246" s="15">
        <v>-21</v>
      </c>
      <c r="E246" s="15" t="s">
        <v>27</v>
      </c>
      <c r="F246" s="16">
        <v>1</v>
      </c>
      <c r="H246" s="2" t="s">
        <v>39</v>
      </c>
      <c r="I246" s="3">
        <f>((COUNTIF(Table821[OUTCOME],"TARGET"))/I245)</f>
        <v>0.41176470588235292</v>
      </c>
      <c r="K246" s="28">
        <f>((Table821[[#This Row],[SPOT PTS]]/2)*15)-65</f>
        <v>-222.5</v>
      </c>
      <c r="L246" s="28">
        <f t="shared" ref="L246:L278" si="7">K246+L245</f>
        <v>58552.5</v>
      </c>
    </row>
    <row r="247" spans="1:12" ht="19.95" customHeight="1" x14ac:dyDescent="0.3">
      <c r="A247" s="21">
        <v>3</v>
      </c>
      <c r="B247" s="22">
        <v>6.5972222222222224E-2</v>
      </c>
      <c r="C247" s="1" t="s">
        <v>6</v>
      </c>
      <c r="D247" s="1">
        <v>-23</v>
      </c>
      <c r="E247" s="1" t="s">
        <v>27</v>
      </c>
      <c r="F247" s="23">
        <v>2</v>
      </c>
      <c r="H247" s="2" t="s">
        <v>40</v>
      </c>
      <c r="I247" s="2">
        <f>SUM(Table821[SPOT PTS])</f>
        <v>1027</v>
      </c>
      <c r="K247" s="28">
        <f>((Table821[[#This Row],[SPOT PTS]]/2)*15)-65</f>
        <v>-237.5</v>
      </c>
      <c r="L247" s="28">
        <f t="shared" si="7"/>
        <v>58315</v>
      </c>
    </row>
    <row r="248" spans="1:12" ht="19.95" customHeight="1" thickBot="1" x14ac:dyDescent="0.35">
      <c r="A248" s="17">
        <v>3</v>
      </c>
      <c r="B248" s="18">
        <v>0.11805555555555557</v>
      </c>
      <c r="C248" s="19" t="s">
        <v>6</v>
      </c>
      <c r="D248" s="19">
        <v>-66</v>
      </c>
      <c r="E248" s="19" t="s">
        <v>27</v>
      </c>
      <c r="F248" s="20">
        <v>2</v>
      </c>
      <c r="H248" s="2" t="s">
        <v>10</v>
      </c>
      <c r="I248" s="2">
        <f>65*I245</f>
        <v>2210</v>
      </c>
      <c r="K248" s="28">
        <f>((Table821[[#This Row],[SPOT PTS]]/2)*15)-65</f>
        <v>-560</v>
      </c>
      <c r="L248" s="28">
        <f t="shared" si="7"/>
        <v>57755</v>
      </c>
    </row>
    <row r="249" spans="1:12" ht="19.95" customHeight="1" thickBot="1" x14ac:dyDescent="0.35">
      <c r="A249" s="24">
        <v>4</v>
      </c>
      <c r="B249" s="25">
        <v>0.46875</v>
      </c>
      <c r="C249" s="26" t="s">
        <v>9</v>
      </c>
      <c r="D249" s="26">
        <v>124</v>
      </c>
      <c r="E249" s="26" t="s">
        <v>29</v>
      </c>
      <c r="F249" s="27">
        <v>1</v>
      </c>
      <c r="H249" s="2" t="s">
        <v>41</v>
      </c>
      <c r="I249" s="2">
        <f>SUMIF(Table821[OUTCOME],"STOPLOSS",Table821[SPOT PTS])</f>
        <v>-914</v>
      </c>
      <c r="K249" s="28">
        <f>((Table821[[#This Row],[SPOT PTS]]/2)*15)-65</f>
        <v>865</v>
      </c>
      <c r="L249" s="28">
        <f t="shared" si="7"/>
        <v>58620</v>
      </c>
    </row>
    <row r="250" spans="1:12" ht="19.95" customHeight="1" thickBot="1" x14ac:dyDescent="0.35">
      <c r="A250" s="24">
        <v>5</v>
      </c>
      <c r="B250" s="25">
        <v>0.41319444444444442</v>
      </c>
      <c r="C250" s="26" t="s">
        <v>9</v>
      </c>
      <c r="D250" s="26">
        <v>151</v>
      </c>
      <c r="E250" s="26" t="s">
        <v>21</v>
      </c>
      <c r="F250" s="27">
        <v>1</v>
      </c>
      <c r="H250" s="2" t="s">
        <v>42</v>
      </c>
      <c r="I250" s="2">
        <f>SUMIF(Table821[OUTCOME],"TARGET",Table821[SPOT PTS])</f>
        <v>1941</v>
      </c>
      <c r="K250" s="28">
        <f>((Table821[[#This Row],[SPOT PTS]]/2)*15)-65</f>
        <v>1067.5</v>
      </c>
      <c r="L250" s="28">
        <f t="shared" si="7"/>
        <v>59687.5</v>
      </c>
    </row>
    <row r="251" spans="1:12" ht="19.95" customHeight="1" x14ac:dyDescent="0.3">
      <c r="A251" s="13">
        <v>6</v>
      </c>
      <c r="B251" s="14">
        <v>0.39583333333333331</v>
      </c>
      <c r="C251" s="15" t="s">
        <v>6</v>
      </c>
      <c r="D251" s="15">
        <v>-66</v>
      </c>
      <c r="E251" s="15" t="s">
        <v>23</v>
      </c>
      <c r="F251" s="16">
        <v>1</v>
      </c>
      <c r="H251" s="2" t="s">
        <v>43</v>
      </c>
      <c r="I251" s="6">
        <f>(L278-L244)/L244</f>
        <v>9.2967163168584971E-2</v>
      </c>
      <c r="K251" s="28">
        <f>((Table821[[#This Row],[SPOT PTS]]/2)*15)-65</f>
        <v>-560</v>
      </c>
      <c r="L251" s="28">
        <f t="shared" si="7"/>
        <v>59127.5</v>
      </c>
    </row>
    <row r="252" spans="1:12" ht="19.95" customHeight="1" thickBot="1" x14ac:dyDescent="0.35">
      <c r="A252" s="17">
        <v>6</v>
      </c>
      <c r="B252" s="18">
        <v>0.4236111111111111</v>
      </c>
      <c r="C252" s="19" t="s">
        <v>9</v>
      </c>
      <c r="D252" s="19">
        <v>178</v>
      </c>
      <c r="E252" s="19" t="s">
        <v>23</v>
      </c>
      <c r="F252" s="20">
        <v>1</v>
      </c>
      <c r="H252" s="2" t="s">
        <v>44</v>
      </c>
      <c r="I252" s="9">
        <f>((I247/2)*15)-I248</f>
        <v>5492.5</v>
      </c>
      <c r="K252" s="28">
        <f>((Table821[[#This Row],[SPOT PTS]]/2)*15)-65</f>
        <v>1270</v>
      </c>
      <c r="L252" s="28">
        <f t="shared" si="7"/>
        <v>60397.5</v>
      </c>
    </row>
    <row r="253" spans="1:12" ht="19.95" customHeight="1" thickBot="1" x14ac:dyDescent="0.35">
      <c r="A253" s="24">
        <v>9</v>
      </c>
      <c r="B253" s="25">
        <v>0.4236111111111111</v>
      </c>
      <c r="C253" s="26" t="s">
        <v>9</v>
      </c>
      <c r="D253" s="26">
        <v>156</v>
      </c>
      <c r="E253" s="26" t="s">
        <v>25</v>
      </c>
      <c r="F253" s="27">
        <v>1</v>
      </c>
      <c r="K253" s="28">
        <f>((Table821[[#This Row],[SPOT PTS]]/2)*15)-65</f>
        <v>1105</v>
      </c>
      <c r="L253" s="28">
        <f t="shared" si="7"/>
        <v>61502.5</v>
      </c>
    </row>
    <row r="254" spans="1:12" ht="19.95" customHeight="1" x14ac:dyDescent="0.3">
      <c r="A254" s="13">
        <v>10</v>
      </c>
      <c r="B254" s="14">
        <v>0.39930555555555558</v>
      </c>
      <c r="C254" s="15" t="s">
        <v>6</v>
      </c>
      <c r="D254" s="15">
        <v>-47</v>
      </c>
      <c r="E254" s="15" t="s">
        <v>27</v>
      </c>
      <c r="F254" s="16">
        <v>1</v>
      </c>
      <c r="K254" s="28">
        <f>((Table821[[#This Row],[SPOT PTS]]/2)*15)-65</f>
        <v>-417.5</v>
      </c>
      <c r="L254" s="28">
        <f t="shared" si="7"/>
        <v>61085</v>
      </c>
    </row>
    <row r="255" spans="1:12" ht="19.95" customHeight="1" thickBot="1" x14ac:dyDescent="0.35">
      <c r="A255" s="17">
        <v>10</v>
      </c>
      <c r="B255" s="18">
        <v>0.4236111111111111</v>
      </c>
      <c r="C255" s="19" t="s">
        <v>9</v>
      </c>
      <c r="D255" s="19">
        <v>120</v>
      </c>
      <c r="E255" s="19" t="s">
        <v>27</v>
      </c>
      <c r="F255" s="20">
        <v>1</v>
      </c>
      <c r="K255" s="28">
        <f>((Table821[[#This Row],[SPOT PTS]]/2)*15)-65</f>
        <v>835</v>
      </c>
      <c r="L255" s="28">
        <f t="shared" si="7"/>
        <v>61920</v>
      </c>
    </row>
    <row r="256" spans="1:12" ht="19.95" customHeight="1" x14ac:dyDescent="0.3">
      <c r="A256" s="13">
        <v>11</v>
      </c>
      <c r="B256" s="14">
        <v>0.3888888888888889</v>
      </c>
      <c r="C256" s="15" t="s">
        <v>6</v>
      </c>
      <c r="D256" s="15">
        <v>-80</v>
      </c>
      <c r="E256" s="15" t="s">
        <v>29</v>
      </c>
      <c r="F256" s="16">
        <v>1</v>
      </c>
      <c r="K256" s="28">
        <f>((Table821[[#This Row],[SPOT PTS]]/2)*15)-65</f>
        <v>-665</v>
      </c>
      <c r="L256" s="28">
        <f t="shared" si="7"/>
        <v>61255</v>
      </c>
    </row>
    <row r="257" spans="1:12" ht="19.95" customHeight="1" thickBot="1" x14ac:dyDescent="0.35">
      <c r="A257" s="17">
        <v>11</v>
      </c>
      <c r="B257" s="18">
        <v>8.3333333333333329E-2</v>
      </c>
      <c r="C257" s="19" t="s">
        <v>9</v>
      </c>
      <c r="D257" s="19">
        <v>128</v>
      </c>
      <c r="E257" s="19" t="s">
        <v>29</v>
      </c>
      <c r="F257" s="20">
        <v>2</v>
      </c>
      <c r="K257" s="28">
        <f>((Table821[[#This Row],[SPOT PTS]]/2)*15)-65</f>
        <v>895</v>
      </c>
      <c r="L257" s="28">
        <f t="shared" si="7"/>
        <v>62150</v>
      </c>
    </row>
    <row r="258" spans="1:12" ht="19.95" customHeight="1" thickBot="1" x14ac:dyDescent="0.35">
      <c r="A258" s="24">
        <v>12</v>
      </c>
      <c r="B258" s="25">
        <v>0.4236111111111111</v>
      </c>
      <c r="C258" s="26" t="s">
        <v>9</v>
      </c>
      <c r="D258" s="26">
        <v>98</v>
      </c>
      <c r="E258" s="26" t="s">
        <v>21</v>
      </c>
      <c r="F258" s="27">
        <v>1</v>
      </c>
      <c r="K258" s="28">
        <f>((Table821[[#This Row],[SPOT PTS]]/2)*15)-65</f>
        <v>670</v>
      </c>
      <c r="L258" s="28">
        <f t="shared" si="7"/>
        <v>62820</v>
      </c>
    </row>
    <row r="259" spans="1:12" ht="19.95" customHeight="1" thickBot="1" x14ac:dyDescent="0.35">
      <c r="A259" s="24">
        <v>13</v>
      </c>
      <c r="B259" s="25">
        <v>0.39930555555555558</v>
      </c>
      <c r="C259" s="26" t="s">
        <v>9</v>
      </c>
      <c r="D259" s="26">
        <v>123</v>
      </c>
      <c r="E259" s="26" t="s">
        <v>23</v>
      </c>
      <c r="F259" s="27">
        <v>1</v>
      </c>
      <c r="K259" s="28">
        <f>((Table821[[#This Row],[SPOT PTS]]/2)*15)-65</f>
        <v>857.5</v>
      </c>
      <c r="L259" s="28">
        <f t="shared" si="7"/>
        <v>63677.5</v>
      </c>
    </row>
    <row r="260" spans="1:12" ht="19.95" customHeight="1" thickBot="1" x14ac:dyDescent="0.35">
      <c r="A260" s="24">
        <v>16</v>
      </c>
      <c r="B260" s="25">
        <v>0.4201388888888889</v>
      </c>
      <c r="C260" s="26" t="s">
        <v>6</v>
      </c>
      <c r="D260" s="26">
        <v>-68</v>
      </c>
      <c r="E260" s="26" t="s">
        <v>25</v>
      </c>
      <c r="F260" s="27">
        <v>1</v>
      </c>
      <c r="K260" s="28">
        <f>((Table821[[#This Row],[SPOT PTS]]/2)*15)-65</f>
        <v>-575</v>
      </c>
      <c r="L260" s="28">
        <f t="shared" si="7"/>
        <v>63102.5</v>
      </c>
    </row>
    <row r="261" spans="1:12" ht="19.95" customHeight="1" thickBot="1" x14ac:dyDescent="0.35">
      <c r="A261" s="24">
        <v>17</v>
      </c>
      <c r="B261" s="25">
        <v>0.44444444444444442</v>
      </c>
      <c r="C261" s="26" t="s">
        <v>9</v>
      </c>
      <c r="D261" s="26">
        <v>102</v>
      </c>
      <c r="E261" s="26" t="s">
        <v>27</v>
      </c>
      <c r="F261" s="27">
        <v>1</v>
      </c>
      <c r="K261" s="28">
        <f>((Table821[[#This Row],[SPOT PTS]]/2)*15)-65</f>
        <v>700</v>
      </c>
      <c r="L261" s="28">
        <f t="shared" si="7"/>
        <v>63802.5</v>
      </c>
    </row>
    <row r="262" spans="1:12" ht="19.95" customHeight="1" thickBot="1" x14ac:dyDescent="0.35">
      <c r="A262" s="24">
        <v>18</v>
      </c>
      <c r="B262" s="25">
        <v>0.3888888888888889</v>
      </c>
      <c r="C262" s="26" t="s">
        <v>9</v>
      </c>
      <c r="D262" s="26">
        <v>242</v>
      </c>
      <c r="E262" s="26" t="s">
        <v>29</v>
      </c>
      <c r="F262" s="27">
        <v>1</v>
      </c>
      <c r="K262" s="28">
        <f>((Table821[[#This Row],[SPOT PTS]]/2)*15)-65</f>
        <v>1750</v>
      </c>
      <c r="L262" s="28">
        <f t="shared" si="7"/>
        <v>65552.5</v>
      </c>
    </row>
    <row r="263" spans="1:12" ht="19.95" customHeight="1" thickBot="1" x14ac:dyDescent="0.35">
      <c r="A263" s="24">
        <v>20</v>
      </c>
      <c r="B263" s="25">
        <v>0.1111111111111111</v>
      </c>
      <c r="C263" s="26" t="s">
        <v>6</v>
      </c>
      <c r="D263" s="26">
        <v>-23</v>
      </c>
      <c r="E263" s="26" t="s">
        <v>23</v>
      </c>
      <c r="F263" s="27">
        <v>2</v>
      </c>
      <c r="K263" s="28">
        <f>((Table821[[#This Row],[SPOT PTS]]/2)*15)-65</f>
        <v>-237.5</v>
      </c>
      <c r="L263" s="28">
        <f t="shared" si="7"/>
        <v>65315</v>
      </c>
    </row>
    <row r="264" spans="1:12" ht="19.95" customHeight="1" x14ac:dyDescent="0.3">
      <c r="A264" s="13">
        <v>23</v>
      </c>
      <c r="B264" s="14">
        <v>0.3888888888888889</v>
      </c>
      <c r="C264" s="15" t="s">
        <v>6</v>
      </c>
      <c r="D264" s="15">
        <v>-80</v>
      </c>
      <c r="E264" s="15" t="s">
        <v>25</v>
      </c>
      <c r="F264" s="16">
        <v>1</v>
      </c>
      <c r="K264" s="28">
        <f>((Table821[[#This Row],[SPOT PTS]]/2)*15)-65</f>
        <v>-665</v>
      </c>
      <c r="L264" s="28">
        <f t="shared" si="7"/>
        <v>64650</v>
      </c>
    </row>
    <row r="265" spans="1:12" ht="19.95" customHeight="1" x14ac:dyDescent="0.3">
      <c r="A265" s="21">
        <v>23</v>
      </c>
      <c r="B265" s="22">
        <v>7.6388888888888895E-2</v>
      </c>
      <c r="C265" s="1" t="s">
        <v>6</v>
      </c>
      <c r="D265" s="1">
        <v>-29</v>
      </c>
      <c r="E265" s="1" t="s">
        <v>25</v>
      </c>
      <c r="F265" s="23">
        <v>2</v>
      </c>
      <c r="K265" s="28">
        <f>((Table821[[#This Row],[SPOT PTS]]/2)*15)-65</f>
        <v>-282.5</v>
      </c>
      <c r="L265" s="28">
        <f t="shared" si="7"/>
        <v>64367.5</v>
      </c>
    </row>
    <row r="266" spans="1:12" ht="19.95" customHeight="1" thickBot="1" x14ac:dyDescent="0.35">
      <c r="A266" s="17">
        <v>23</v>
      </c>
      <c r="B266" s="18">
        <v>0.11805555555555557</v>
      </c>
      <c r="C266" s="19" t="s">
        <v>9</v>
      </c>
      <c r="D266" s="19">
        <v>114</v>
      </c>
      <c r="E266" s="19" t="s">
        <v>25</v>
      </c>
      <c r="F266" s="20">
        <v>2</v>
      </c>
      <c r="K266" s="28">
        <f>((Table821[[#This Row],[SPOT PTS]]/2)*15)-65</f>
        <v>790</v>
      </c>
      <c r="L266" s="28">
        <f t="shared" si="7"/>
        <v>65157.5</v>
      </c>
    </row>
    <row r="267" spans="1:12" ht="19.95" customHeight="1" x14ac:dyDescent="0.3">
      <c r="A267" s="13">
        <v>24</v>
      </c>
      <c r="B267" s="14">
        <v>0.40277777777777773</v>
      </c>
      <c r="C267" s="15" t="s">
        <v>6</v>
      </c>
      <c r="D267" s="15">
        <v>-31</v>
      </c>
      <c r="E267" s="15" t="s">
        <v>27</v>
      </c>
      <c r="F267" s="16">
        <v>1</v>
      </c>
      <c r="K267" s="28">
        <f>((Table821[[#This Row],[SPOT PTS]]/2)*15)-65</f>
        <v>-297.5</v>
      </c>
      <c r="L267" s="28">
        <f t="shared" si="7"/>
        <v>64860</v>
      </c>
    </row>
    <row r="268" spans="1:12" ht="19.95" customHeight="1" x14ac:dyDescent="0.3">
      <c r="A268" s="21">
        <v>24</v>
      </c>
      <c r="B268" s="22">
        <v>0.44791666666666669</v>
      </c>
      <c r="C268" s="1" t="s">
        <v>6</v>
      </c>
      <c r="D268" s="1">
        <v>-40</v>
      </c>
      <c r="E268" s="1" t="s">
        <v>27</v>
      </c>
      <c r="F268" s="23">
        <v>1</v>
      </c>
      <c r="K268" s="28">
        <f>((Table821[[#This Row],[SPOT PTS]]/2)*15)-65</f>
        <v>-365</v>
      </c>
      <c r="L268" s="28">
        <f t="shared" si="7"/>
        <v>64495</v>
      </c>
    </row>
    <row r="269" spans="1:12" ht="19.95" customHeight="1" thickBot="1" x14ac:dyDescent="0.35">
      <c r="A269" s="17">
        <v>24</v>
      </c>
      <c r="B269" s="18">
        <v>0.53125</v>
      </c>
      <c r="C269" s="19" t="s">
        <v>6</v>
      </c>
      <c r="D269" s="19">
        <v>-32</v>
      </c>
      <c r="E269" s="19" t="s">
        <v>27</v>
      </c>
      <c r="F269" s="20">
        <v>2</v>
      </c>
      <c r="K269" s="28">
        <f>((Table821[[#This Row],[SPOT PTS]]/2)*15)-65</f>
        <v>-305</v>
      </c>
      <c r="L269" s="28">
        <f t="shared" si="7"/>
        <v>64190</v>
      </c>
    </row>
    <row r="270" spans="1:12" ht="19.95" customHeight="1" thickBot="1" x14ac:dyDescent="0.35">
      <c r="A270" s="24">
        <v>25</v>
      </c>
      <c r="B270" s="25">
        <v>0.39583333333333331</v>
      </c>
      <c r="C270" s="26" t="s">
        <v>9</v>
      </c>
      <c r="D270" s="26">
        <v>186</v>
      </c>
      <c r="E270" s="26" t="s">
        <v>29</v>
      </c>
      <c r="F270" s="27">
        <v>1</v>
      </c>
      <c r="K270" s="28">
        <f>((Table821[[#This Row],[SPOT PTS]]/2)*15)-65</f>
        <v>1330</v>
      </c>
      <c r="L270" s="28">
        <f t="shared" si="7"/>
        <v>65520</v>
      </c>
    </row>
    <row r="271" spans="1:12" ht="19.95" customHeight="1" x14ac:dyDescent="0.3">
      <c r="A271" s="13">
        <v>26</v>
      </c>
      <c r="B271" s="14">
        <v>0.43055555555555558</v>
      </c>
      <c r="C271" s="15" t="s">
        <v>6</v>
      </c>
      <c r="D271" s="15">
        <v>-29</v>
      </c>
      <c r="E271" s="15" t="s">
        <v>21</v>
      </c>
      <c r="F271" s="16">
        <v>1</v>
      </c>
      <c r="K271" s="28">
        <f>((Table821[[#This Row],[SPOT PTS]]/2)*15)-65</f>
        <v>-282.5</v>
      </c>
      <c r="L271" s="28">
        <f t="shared" si="7"/>
        <v>65237.5</v>
      </c>
    </row>
    <row r="272" spans="1:12" ht="19.95" customHeight="1" x14ac:dyDescent="0.3">
      <c r="A272" s="21">
        <v>26</v>
      </c>
      <c r="B272" s="22">
        <v>0.4861111111111111</v>
      </c>
      <c r="C272" s="1" t="s">
        <v>6</v>
      </c>
      <c r="D272" s="1">
        <v>-40</v>
      </c>
      <c r="E272" s="1" t="s">
        <v>21</v>
      </c>
      <c r="F272" s="23">
        <v>1</v>
      </c>
      <c r="K272" s="28">
        <f>((Table821[[#This Row],[SPOT PTS]]/2)*15)-65</f>
        <v>-365</v>
      </c>
      <c r="L272" s="28">
        <f t="shared" si="7"/>
        <v>64872.5</v>
      </c>
    </row>
    <row r="273" spans="1:12" ht="19.95" customHeight="1" thickBot="1" x14ac:dyDescent="0.35">
      <c r="A273" s="17">
        <v>26</v>
      </c>
      <c r="B273" s="18">
        <v>9.0277777777777776E-2</v>
      </c>
      <c r="C273" s="19" t="s">
        <v>9</v>
      </c>
      <c r="D273" s="19">
        <v>104</v>
      </c>
      <c r="E273" s="19" t="s">
        <v>21</v>
      </c>
      <c r="F273" s="20">
        <v>2</v>
      </c>
      <c r="K273" s="28">
        <f>((Table821[[#This Row],[SPOT PTS]]/2)*15)-65</f>
        <v>715</v>
      </c>
      <c r="L273" s="28">
        <f t="shared" si="7"/>
        <v>65587.5</v>
      </c>
    </row>
    <row r="274" spans="1:12" ht="19.95" customHeight="1" x14ac:dyDescent="0.3">
      <c r="A274" s="13">
        <v>27</v>
      </c>
      <c r="B274" s="14">
        <v>0.44097222222222227</v>
      </c>
      <c r="C274" s="15" t="s">
        <v>6</v>
      </c>
      <c r="D274" s="15">
        <v>-43</v>
      </c>
      <c r="E274" s="15" t="s">
        <v>23</v>
      </c>
      <c r="F274" s="16">
        <v>1</v>
      </c>
      <c r="K274" s="28">
        <f>((Table821[[#This Row],[SPOT PTS]]/2)*15)-65</f>
        <v>-387.5</v>
      </c>
      <c r="L274" s="28">
        <f t="shared" si="7"/>
        <v>65200</v>
      </c>
    </row>
    <row r="275" spans="1:12" ht="19.95" customHeight="1" thickBot="1" x14ac:dyDescent="0.35">
      <c r="A275" s="17">
        <v>27</v>
      </c>
      <c r="B275" s="18">
        <v>0.49305555555555558</v>
      </c>
      <c r="C275" s="19" t="s">
        <v>6</v>
      </c>
      <c r="D275" s="19">
        <v>-49</v>
      </c>
      <c r="E275" s="19" t="s">
        <v>23</v>
      </c>
      <c r="F275" s="20">
        <v>1</v>
      </c>
      <c r="K275" s="28">
        <f>((Table821[[#This Row],[SPOT PTS]]/2)*15)-65</f>
        <v>-432.5</v>
      </c>
      <c r="L275" s="28">
        <f t="shared" si="7"/>
        <v>64767.5</v>
      </c>
    </row>
    <row r="276" spans="1:12" ht="19.95" customHeight="1" x14ac:dyDescent="0.3">
      <c r="A276" s="13">
        <v>30</v>
      </c>
      <c r="B276" s="14">
        <v>0.39930555555555558</v>
      </c>
      <c r="C276" s="15" t="s">
        <v>6</v>
      </c>
      <c r="D276" s="15">
        <v>-43</v>
      </c>
      <c r="E276" s="15" t="s">
        <v>25</v>
      </c>
      <c r="F276" s="16">
        <v>1</v>
      </c>
      <c r="K276" s="28">
        <f>((Table821[[#This Row],[SPOT PTS]]/2)*15)-65</f>
        <v>-387.5</v>
      </c>
      <c r="L276" s="28">
        <f t="shared" si="7"/>
        <v>64380</v>
      </c>
    </row>
    <row r="277" spans="1:12" ht="19.95" customHeight="1" thickBot="1" x14ac:dyDescent="0.35">
      <c r="A277" s="17">
        <v>30</v>
      </c>
      <c r="B277" s="18">
        <v>0.44791666666666669</v>
      </c>
      <c r="C277" s="19" t="s">
        <v>9</v>
      </c>
      <c r="D277" s="19">
        <v>115</v>
      </c>
      <c r="E277" s="19" t="s">
        <v>25</v>
      </c>
      <c r="F277" s="20">
        <v>1</v>
      </c>
      <c r="K277" s="28">
        <f>((Table821[[#This Row],[SPOT PTS]]/2)*15)-65</f>
        <v>797.5</v>
      </c>
      <c r="L277" s="28">
        <f t="shared" si="7"/>
        <v>65177.5</v>
      </c>
    </row>
    <row r="278" spans="1:12" ht="19.95" customHeight="1" thickBot="1" x14ac:dyDescent="0.35">
      <c r="A278" s="24">
        <v>31</v>
      </c>
      <c r="B278" s="25">
        <v>0.39583333333333331</v>
      </c>
      <c r="C278" s="26" t="s">
        <v>6</v>
      </c>
      <c r="D278" s="26">
        <v>-72</v>
      </c>
      <c r="E278" s="26" t="s">
        <v>27</v>
      </c>
      <c r="F278" s="27">
        <v>1</v>
      </c>
      <c r="K278" s="28">
        <f>((Table821[[#This Row],[SPOT PTS]]/2)*15)-65</f>
        <v>-605</v>
      </c>
      <c r="L278" s="28">
        <f t="shared" si="7"/>
        <v>64572.5</v>
      </c>
    </row>
    <row r="279" spans="1:12" ht="19.95" customHeight="1" x14ac:dyDescent="0.3">
      <c r="A279" s="40" t="s">
        <v>56</v>
      </c>
      <c r="B279" s="40"/>
      <c r="C279" s="40"/>
      <c r="D279" s="40"/>
      <c r="E279" s="40"/>
      <c r="F279" s="40"/>
    </row>
    <row r="280" spans="1:12" ht="19.95" customHeight="1" thickBot="1" x14ac:dyDescent="0.35">
      <c r="A280" s="34" t="s">
        <v>46</v>
      </c>
      <c r="B280" s="10" t="s">
        <v>47</v>
      </c>
      <c r="C280" s="10" t="s">
        <v>0</v>
      </c>
      <c r="D280" s="10" t="s">
        <v>48</v>
      </c>
      <c r="E280" s="10" t="s">
        <v>14</v>
      </c>
      <c r="F280" s="35" t="s">
        <v>49</v>
      </c>
      <c r="L280" s="28">
        <f>L278</f>
        <v>64572.5</v>
      </c>
    </row>
    <row r="281" spans="1:12" ht="19.95" customHeight="1" thickBot="1" x14ac:dyDescent="0.35">
      <c r="A281" s="24">
        <v>1</v>
      </c>
      <c r="B281" s="25">
        <v>0.4236111111111111</v>
      </c>
      <c r="C281" s="26" t="s">
        <v>9</v>
      </c>
      <c r="D281" s="26">
        <v>131</v>
      </c>
      <c r="E281" s="26" t="s">
        <v>29</v>
      </c>
      <c r="F281" s="27">
        <v>1</v>
      </c>
      <c r="H281" s="2" t="s">
        <v>38</v>
      </c>
      <c r="I281" s="2">
        <f>COUNT(Table922[DATE])</f>
        <v>28</v>
      </c>
      <c r="K281" s="28">
        <f>((Table922[[#This Row],[SPOT PTS]]/2)*15)-65</f>
        <v>917.5</v>
      </c>
      <c r="L281" s="28">
        <f>K281+L280</f>
        <v>65490</v>
      </c>
    </row>
    <row r="282" spans="1:12" ht="19.95" customHeight="1" x14ac:dyDescent="0.3">
      <c r="A282" s="13">
        <v>2</v>
      </c>
      <c r="B282" s="14">
        <v>0.41666666666666669</v>
      </c>
      <c r="C282" s="15" t="s">
        <v>6</v>
      </c>
      <c r="D282" s="15">
        <v>-25</v>
      </c>
      <c r="E282" s="15" t="s">
        <v>21</v>
      </c>
      <c r="F282" s="16">
        <v>1</v>
      </c>
      <c r="H282" s="2" t="s">
        <v>39</v>
      </c>
      <c r="I282" s="3">
        <f>((COUNTIF(Table922[OUTCOME],"TARGET"))/I281)</f>
        <v>0.35714285714285715</v>
      </c>
      <c r="K282" s="28">
        <f>((Table922[[#This Row],[SPOT PTS]]/2)*15)-65</f>
        <v>-252.5</v>
      </c>
      <c r="L282" s="28">
        <f t="shared" ref="L282:L308" si="8">K282+L281</f>
        <v>65237.5</v>
      </c>
    </row>
    <row r="283" spans="1:12" ht="19.95" customHeight="1" x14ac:dyDescent="0.3">
      <c r="A283" s="21">
        <v>2</v>
      </c>
      <c r="B283" s="22">
        <v>0.4513888888888889</v>
      </c>
      <c r="C283" s="1" t="s">
        <v>6</v>
      </c>
      <c r="D283" s="1">
        <v>-40</v>
      </c>
      <c r="E283" s="1" t="s">
        <v>21</v>
      </c>
      <c r="F283" s="23">
        <v>1</v>
      </c>
      <c r="H283" s="2" t="s">
        <v>40</v>
      </c>
      <c r="I283" s="2">
        <f>SUM(Table922[SPOT PTS])</f>
        <v>906</v>
      </c>
      <c r="K283" s="28">
        <f>((Table922[[#This Row],[SPOT PTS]]/2)*15)-65</f>
        <v>-365</v>
      </c>
      <c r="L283" s="28">
        <f t="shared" si="8"/>
        <v>64872.5</v>
      </c>
    </row>
    <row r="284" spans="1:12" ht="19.95" customHeight="1" thickBot="1" x14ac:dyDescent="0.35">
      <c r="A284" s="17">
        <v>2</v>
      </c>
      <c r="B284" s="18">
        <v>0.47916666666666669</v>
      </c>
      <c r="C284" s="19" t="s">
        <v>6</v>
      </c>
      <c r="D284" s="19">
        <v>-16</v>
      </c>
      <c r="E284" s="19" t="s">
        <v>21</v>
      </c>
      <c r="F284" s="20">
        <v>1</v>
      </c>
      <c r="H284" s="2" t="s">
        <v>10</v>
      </c>
      <c r="I284" s="2">
        <f>65*I281</f>
        <v>1820</v>
      </c>
      <c r="K284" s="28">
        <f>((Table922[[#This Row],[SPOT PTS]]/2)*15)-65</f>
        <v>-185</v>
      </c>
      <c r="L284" s="28">
        <f t="shared" si="8"/>
        <v>64687.5</v>
      </c>
    </row>
    <row r="285" spans="1:12" ht="19.95" customHeight="1" thickBot="1" x14ac:dyDescent="0.35">
      <c r="A285" s="24">
        <v>3</v>
      </c>
      <c r="B285" s="25">
        <v>0.39930555555555558</v>
      </c>
      <c r="C285" s="26" t="s">
        <v>9</v>
      </c>
      <c r="D285" s="26">
        <v>190</v>
      </c>
      <c r="E285" s="26" t="s">
        <v>23</v>
      </c>
      <c r="F285" s="27">
        <v>1</v>
      </c>
      <c r="H285" s="2" t="s">
        <v>41</v>
      </c>
      <c r="I285" s="2">
        <f>SUMIF(Table922[OUTCOME],"STOPLOSS",Table922[SPOT PTS])</f>
        <v>-707</v>
      </c>
      <c r="K285" s="28">
        <f>((Table922[[#This Row],[SPOT PTS]]/2)*15)-65</f>
        <v>1360</v>
      </c>
      <c r="L285" s="28">
        <f t="shared" si="8"/>
        <v>66047.5</v>
      </c>
    </row>
    <row r="286" spans="1:12" ht="19.95" customHeight="1" x14ac:dyDescent="0.3">
      <c r="A286" s="13">
        <v>6</v>
      </c>
      <c r="B286" s="14">
        <v>0.46527777777777773</v>
      </c>
      <c r="C286" s="15" t="s">
        <v>6</v>
      </c>
      <c r="D286" s="15">
        <v>-25</v>
      </c>
      <c r="E286" s="15" t="s">
        <v>25</v>
      </c>
      <c r="F286" s="16">
        <v>1</v>
      </c>
      <c r="H286" s="2" t="s">
        <v>42</v>
      </c>
      <c r="I286" s="2">
        <f>SUMIF(Table922[OUTCOME],"TARGET",Table922[SPOT PTS])</f>
        <v>1613</v>
      </c>
      <c r="K286" s="28">
        <f>((Table922[[#This Row],[SPOT PTS]]/2)*15)-65</f>
        <v>-252.5</v>
      </c>
      <c r="L286" s="28">
        <f t="shared" si="8"/>
        <v>65795</v>
      </c>
    </row>
    <row r="287" spans="1:12" ht="19.95" customHeight="1" thickBot="1" x14ac:dyDescent="0.35">
      <c r="A287" s="17">
        <v>6</v>
      </c>
      <c r="B287" s="18">
        <v>0.53472222222222221</v>
      </c>
      <c r="C287" s="19" t="s">
        <v>9</v>
      </c>
      <c r="D287" s="19">
        <v>93</v>
      </c>
      <c r="E287" s="19" t="s">
        <v>25</v>
      </c>
      <c r="F287" s="20">
        <v>2</v>
      </c>
      <c r="H287" s="2" t="s">
        <v>43</v>
      </c>
      <c r="I287" s="6">
        <f>(L308-L280)/L280</f>
        <v>7.7045181772426349E-2</v>
      </c>
      <c r="K287" s="28">
        <f>((Table922[[#This Row],[SPOT PTS]]/2)*15)-65</f>
        <v>632.5</v>
      </c>
      <c r="L287" s="28">
        <f t="shared" si="8"/>
        <v>66427.5</v>
      </c>
    </row>
    <row r="288" spans="1:12" ht="19.95" customHeight="1" thickBot="1" x14ac:dyDescent="0.35">
      <c r="A288" s="24">
        <v>7</v>
      </c>
      <c r="B288" s="25">
        <v>0.53819444444444442</v>
      </c>
      <c r="C288" s="26" t="s">
        <v>9</v>
      </c>
      <c r="D288" s="26">
        <v>124</v>
      </c>
      <c r="E288" s="26" t="s">
        <v>27</v>
      </c>
      <c r="F288" s="27">
        <v>2</v>
      </c>
      <c r="H288" s="2" t="s">
        <v>44</v>
      </c>
      <c r="I288" s="9">
        <f>((I283/2)*15)-I284</f>
        <v>4975</v>
      </c>
      <c r="K288" s="28">
        <f>((Table922[[#This Row],[SPOT PTS]]/2)*15)-65</f>
        <v>865</v>
      </c>
      <c r="L288" s="28">
        <f t="shared" si="8"/>
        <v>67292.5</v>
      </c>
    </row>
    <row r="289" spans="1:12" ht="19.95" customHeight="1" x14ac:dyDescent="0.3">
      <c r="A289" s="13">
        <v>8</v>
      </c>
      <c r="B289" s="14">
        <v>0.40972222222222227</v>
      </c>
      <c r="C289" s="15" t="s">
        <v>6</v>
      </c>
      <c r="D289" s="15">
        <v>-39</v>
      </c>
      <c r="E289" s="15" t="s">
        <v>29</v>
      </c>
      <c r="F289" s="16">
        <v>1</v>
      </c>
      <c r="K289" s="28">
        <f>((Table922[[#This Row],[SPOT PTS]]/2)*15)-65</f>
        <v>-357.5</v>
      </c>
      <c r="L289" s="28">
        <f t="shared" si="8"/>
        <v>66935</v>
      </c>
    </row>
    <row r="290" spans="1:12" ht="19.95" customHeight="1" thickBot="1" x14ac:dyDescent="0.35">
      <c r="A290" s="17">
        <v>8</v>
      </c>
      <c r="B290" s="18">
        <v>0.4513888888888889</v>
      </c>
      <c r="C290" s="19" t="s">
        <v>6</v>
      </c>
      <c r="D290" s="19">
        <v>-28</v>
      </c>
      <c r="E290" s="19" t="s">
        <v>29</v>
      </c>
      <c r="F290" s="20">
        <v>1</v>
      </c>
      <c r="K290" s="28">
        <f>((Table922[[#This Row],[SPOT PTS]]/2)*15)-65</f>
        <v>-275</v>
      </c>
      <c r="L290" s="28">
        <f t="shared" si="8"/>
        <v>66660</v>
      </c>
    </row>
    <row r="291" spans="1:12" ht="19.95" customHeight="1" x14ac:dyDescent="0.3">
      <c r="A291" s="13">
        <v>13</v>
      </c>
      <c r="B291" s="14">
        <v>0.46527777777777773</v>
      </c>
      <c r="C291" s="15" t="s">
        <v>6</v>
      </c>
      <c r="D291" s="15">
        <v>-30</v>
      </c>
      <c r="E291" s="15" t="s">
        <v>25</v>
      </c>
      <c r="F291" s="16">
        <v>1</v>
      </c>
      <c r="K291" s="28">
        <f>((Table922[[#This Row],[SPOT PTS]]/2)*15)-65</f>
        <v>-290</v>
      </c>
      <c r="L291" s="28">
        <f t="shared" si="8"/>
        <v>66370</v>
      </c>
    </row>
    <row r="292" spans="1:12" ht="19.95" customHeight="1" thickBot="1" x14ac:dyDescent="0.35">
      <c r="A292" s="17">
        <v>13</v>
      </c>
      <c r="B292" s="18">
        <v>4.1666666666666664E-2</v>
      </c>
      <c r="C292" s="19" t="s">
        <v>9</v>
      </c>
      <c r="D292" s="19">
        <v>80</v>
      </c>
      <c r="E292" s="19" t="s">
        <v>25</v>
      </c>
      <c r="F292" s="20">
        <v>2</v>
      </c>
      <c r="K292" s="28">
        <f>((Table922[[#This Row],[SPOT PTS]]/2)*15)-65</f>
        <v>535</v>
      </c>
      <c r="L292" s="28">
        <f t="shared" si="8"/>
        <v>66905</v>
      </c>
    </row>
    <row r="293" spans="1:12" ht="19.95" customHeight="1" x14ac:dyDescent="0.3">
      <c r="A293" s="13">
        <v>14</v>
      </c>
      <c r="B293" s="14">
        <v>0.40972222222222227</v>
      </c>
      <c r="C293" s="15" t="s">
        <v>6</v>
      </c>
      <c r="D293" s="15">
        <v>-27</v>
      </c>
      <c r="E293" s="15" t="s">
        <v>27</v>
      </c>
      <c r="F293" s="16">
        <v>1</v>
      </c>
      <c r="K293" s="28">
        <f>((Table922[[#This Row],[SPOT PTS]]/2)*15)-65</f>
        <v>-267.5</v>
      </c>
      <c r="L293" s="28">
        <f t="shared" si="8"/>
        <v>66637.5</v>
      </c>
    </row>
    <row r="294" spans="1:12" ht="19.95" customHeight="1" thickBot="1" x14ac:dyDescent="0.35">
      <c r="A294" s="17">
        <v>14</v>
      </c>
      <c r="B294" s="18">
        <v>6.25E-2</v>
      </c>
      <c r="C294" s="19" t="s">
        <v>6</v>
      </c>
      <c r="D294" s="19">
        <v>-21</v>
      </c>
      <c r="E294" s="19" t="s">
        <v>27</v>
      </c>
      <c r="F294" s="20">
        <v>2</v>
      </c>
      <c r="K294" s="28">
        <f>((Table922[[#This Row],[SPOT PTS]]/2)*15)-65</f>
        <v>-222.5</v>
      </c>
      <c r="L294" s="28">
        <f t="shared" si="8"/>
        <v>66415</v>
      </c>
    </row>
    <row r="295" spans="1:12" ht="19.95" customHeight="1" x14ac:dyDescent="0.3">
      <c r="A295" s="13">
        <v>15</v>
      </c>
      <c r="B295" s="14">
        <v>0.44791666666666669</v>
      </c>
      <c r="C295" s="15" t="s">
        <v>6</v>
      </c>
      <c r="D295" s="15">
        <v>-37</v>
      </c>
      <c r="E295" s="15" t="s">
        <v>29</v>
      </c>
      <c r="F295" s="16">
        <v>1</v>
      </c>
      <c r="K295" s="28">
        <f>((Table922[[#This Row],[SPOT PTS]]/2)*15)-65</f>
        <v>-342.5</v>
      </c>
      <c r="L295" s="28">
        <f t="shared" si="8"/>
        <v>66072.5</v>
      </c>
    </row>
    <row r="296" spans="1:12" ht="19.95" customHeight="1" thickBot="1" x14ac:dyDescent="0.35">
      <c r="A296" s="17">
        <v>15</v>
      </c>
      <c r="B296" s="18">
        <v>5.5555555555555552E-2</v>
      </c>
      <c r="C296" s="19" t="s">
        <v>6</v>
      </c>
      <c r="D296" s="19">
        <v>-17</v>
      </c>
      <c r="E296" s="19" t="s">
        <v>29</v>
      </c>
      <c r="F296" s="20">
        <v>2</v>
      </c>
      <c r="K296" s="28">
        <f>((Table922[[#This Row],[SPOT PTS]]/2)*15)-65</f>
        <v>-192.5</v>
      </c>
      <c r="L296" s="28">
        <f t="shared" si="8"/>
        <v>65880</v>
      </c>
    </row>
    <row r="297" spans="1:12" ht="19.95" customHeight="1" x14ac:dyDescent="0.3">
      <c r="A297" s="13">
        <v>17</v>
      </c>
      <c r="B297" s="14">
        <v>0.3888888888888889</v>
      </c>
      <c r="C297" s="15" t="s">
        <v>6</v>
      </c>
      <c r="D297" s="15">
        <v>-80</v>
      </c>
      <c r="E297" s="15" t="s">
        <v>23</v>
      </c>
      <c r="F297" s="16">
        <v>1</v>
      </c>
      <c r="K297" s="28">
        <f>((Table922[[#This Row],[SPOT PTS]]/2)*15)-65</f>
        <v>-665</v>
      </c>
      <c r="L297" s="28">
        <f t="shared" si="8"/>
        <v>65215</v>
      </c>
    </row>
    <row r="298" spans="1:12" ht="19.95" customHeight="1" thickBot="1" x14ac:dyDescent="0.35">
      <c r="A298" s="17">
        <v>17</v>
      </c>
      <c r="B298" s="18">
        <v>0.4548611111111111</v>
      </c>
      <c r="C298" s="19" t="s">
        <v>9</v>
      </c>
      <c r="D298" s="19">
        <v>192</v>
      </c>
      <c r="E298" s="19" t="s">
        <v>23</v>
      </c>
      <c r="F298" s="20">
        <v>1</v>
      </c>
      <c r="K298" s="28">
        <f>((Table922[[#This Row],[SPOT PTS]]/2)*15)-65</f>
        <v>1375</v>
      </c>
      <c r="L298" s="28">
        <f t="shared" si="8"/>
        <v>66590</v>
      </c>
    </row>
    <row r="299" spans="1:12" ht="19.95" customHeight="1" thickBot="1" x14ac:dyDescent="0.35">
      <c r="A299" s="24">
        <v>20</v>
      </c>
      <c r="B299" s="25">
        <v>0.43402777777777773</v>
      </c>
      <c r="C299" s="26" t="s">
        <v>6</v>
      </c>
      <c r="D299" s="26">
        <v>-51</v>
      </c>
      <c r="E299" s="26" t="s">
        <v>25</v>
      </c>
      <c r="F299" s="27">
        <v>1</v>
      </c>
      <c r="K299" s="28">
        <f>((Table922[[#This Row],[SPOT PTS]]/2)*15)-65</f>
        <v>-447.5</v>
      </c>
      <c r="L299" s="28">
        <f t="shared" si="8"/>
        <v>66142.5</v>
      </c>
    </row>
    <row r="300" spans="1:12" ht="19.95" customHeight="1" thickBot="1" x14ac:dyDescent="0.35">
      <c r="A300" s="24">
        <v>21</v>
      </c>
      <c r="B300" s="25">
        <v>0.50347222222222221</v>
      </c>
      <c r="C300" s="26" t="s">
        <v>6</v>
      </c>
      <c r="D300" s="26">
        <v>-51</v>
      </c>
      <c r="E300" s="26" t="s">
        <v>27</v>
      </c>
      <c r="F300" s="27">
        <v>2</v>
      </c>
      <c r="K300" s="28">
        <f>((Table922[[#This Row],[SPOT PTS]]/2)*15)-65</f>
        <v>-447.5</v>
      </c>
      <c r="L300" s="28">
        <f t="shared" si="8"/>
        <v>65695</v>
      </c>
    </row>
    <row r="301" spans="1:12" ht="19.95" customHeight="1" thickBot="1" x14ac:dyDescent="0.35">
      <c r="A301" s="24">
        <v>22</v>
      </c>
      <c r="B301" s="25">
        <v>0.50347222222222221</v>
      </c>
      <c r="C301" s="26" t="s">
        <v>6</v>
      </c>
      <c r="D301" s="26">
        <v>-44</v>
      </c>
      <c r="E301" s="26" t="s">
        <v>29</v>
      </c>
      <c r="F301" s="27">
        <v>2</v>
      </c>
      <c r="K301" s="28">
        <f>((Table922[[#This Row],[SPOT PTS]]/2)*15)-65</f>
        <v>-395</v>
      </c>
      <c r="L301" s="28">
        <f t="shared" si="8"/>
        <v>65300</v>
      </c>
    </row>
    <row r="302" spans="1:12" ht="19.95" customHeight="1" thickBot="1" x14ac:dyDescent="0.35">
      <c r="A302" s="24">
        <v>23</v>
      </c>
      <c r="B302" s="25">
        <v>0.4375</v>
      </c>
      <c r="C302" s="26" t="s">
        <v>6</v>
      </c>
      <c r="D302" s="26">
        <v>-60</v>
      </c>
      <c r="E302" s="26" t="s">
        <v>21</v>
      </c>
      <c r="F302" s="27">
        <v>1</v>
      </c>
      <c r="K302" s="28">
        <f>((Table922[[#This Row],[SPOT PTS]]/2)*15)-65</f>
        <v>-515</v>
      </c>
      <c r="L302" s="28">
        <f t="shared" si="8"/>
        <v>64785</v>
      </c>
    </row>
    <row r="303" spans="1:12" ht="19.95" customHeight="1" thickBot="1" x14ac:dyDescent="0.35">
      <c r="A303" s="24">
        <v>24</v>
      </c>
      <c r="B303" s="25">
        <v>0.3923611111111111</v>
      </c>
      <c r="C303" s="26" t="s">
        <v>9</v>
      </c>
      <c r="D303" s="26">
        <v>232</v>
      </c>
      <c r="E303" s="26" t="s">
        <v>23</v>
      </c>
      <c r="F303" s="27">
        <v>1</v>
      </c>
      <c r="K303" s="28">
        <f>((Table922[[#This Row],[SPOT PTS]]/2)*15)-65</f>
        <v>1675</v>
      </c>
      <c r="L303" s="28">
        <f t="shared" si="8"/>
        <v>66460</v>
      </c>
    </row>
    <row r="304" spans="1:12" ht="19.95" customHeight="1" thickBot="1" x14ac:dyDescent="0.35">
      <c r="A304" s="24">
        <v>27</v>
      </c>
      <c r="B304" s="25">
        <v>0.51388888888888895</v>
      </c>
      <c r="C304" s="26" t="s">
        <v>6</v>
      </c>
      <c r="D304" s="26">
        <v>-36</v>
      </c>
      <c r="E304" s="26" t="s">
        <v>25</v>
      </c>
      <c r="F304" s="27">
        <v>2</v>
      </c>
      <c r="K304" s="28">
        <f>((Table922[[#This Row],[SPOT PTS]]/2)*15)-65</f>
        <v>-335</v>
      </c>
      <c r="L304" s="28">
        <f t="shared" si="8"/>
        <v>66125</v>
      </c>
    </row>
    <row r="305" spans="1:12" ht="19.95" customHeight="1" thickBot="1" x14ac:dyDescent="0.35">
      <c r="A305" s="24">
        <v>28</v>
      </c>
      <c r="B305" s="25">
        <v>0.3888888888888889</v>
      </c>
      <c r="C305" s="26" t="s">
        <v>9</v>
      </c>
      <c r="D305" s="26">
        <v>247</v>
      </c>
      <c r="E305" s="26" t="s">
        <v>27</v>
      </c>
      <c r="F305" s="27">
        <v>1</v>
      </c>
      <c r="K305" s="28">
        <f>((Table922[[#This Row],[SPOT PTS]]/2)*15)-65</f>
        <v>1787.5</v>
      </c>
      <c r="L305" s="28">
        <f t="shared" si="8"/>
        <v>67912.5</v>
      </c>
    </row>
    <row r="306" spans="1:12" ht="19.95" customHeight="1" thickBot="1" x14ac:dyDescent="0.35">
      <c r="A306" s="24">
        <v>29</v>
      </c>
      <c r="B306" s="25">
        <v>0.43055555555555558</v>
      </c>
      <c r="C306" s="26" t="s">
        <v>9</v>
      </c>
      <c r="D306" s="26">
        <v>149</v>
      </c>
      <c r="E306" s="26" t="s">
        <v>29</v>
      </c>
      <c r="F306" s="27">
        <v>1</v>
      </c>
      <c r="K306" s="28">
        <f>((Table922[[#This Row],[SPOT PTS]]/2)*15)-65</f>
        <v>1052.5</v>
      </c>
      <c r="L306" s="28">
        <f t="shared" si="8"/>
        <v>68965</v>
      </c>
    </row>
    <row r="307" spans="1:12" ht="19.95" customHeight="1" x14ac:dyDescent="0.3">
      <c r="A307" s="13">
        <v>30</v>
      </c>
      <c r="B307" s="14">
        <v>0.40972222222222227</v>
      </c>
      <c r="C307" s="15" t="s">
        <v>6</v>
      </c>
      <c r="D307" s="15">
        <v>-80</v>
      </c>
      <c r="E307" s="15" t="s">
        <v>21</v>
      </c>
      <c r="F307" s="16">
        <v>1</v>
      </c>
      <c r="K307" s="28">
        <f>((Table922[[#This Row],[SPOT PTS]]/2)*15)-65</f>
        <v>-665</v>
      </c>
      <c r="L307" s="28">
        <f t="shared" si="8"/>
        <v>68300</v>
      </c>
    </row>
    <row r="308" spans="1:12" ht="19.95" customHeight="1" thickBot="1" x14ac:dyDescent="0.35">
      <c r="A308" s="17">
        <v>30</v>
      </c>
      <c r="B308" s="18">
        <v>0.51041666666666663</v>
      </c>
      <c r="C308" s="19" t="s">
        <v>9</v>
      </c>
      <c r="D308" s="19">
        <v>175</v>
      </c>
      <c r="E308" s="19" t="s">
        <v>21</v>
      </c>
      <c r="F308" s="20">
        <v>2</v>
      </c>
      <c r="K308" s="28">
        <f>((Table922[[#This Row],[SPOT PTS]]/2)*15)-65</f>
        <v>1247.5</v>
      </c>
      <c r="L308" s="28">
        <f t="shared" si="8"/>
        <v>69547.5</v>
      </c>
    </row>
    <row r="309" spans="1:12" ht="19.95" customHeight="1" x14ac:dyDescent="0.3">
      <c r="A309" s="40" t="s">
        <v>57</v>
      </c>
      <c r="B309" s="40"/>
      <c r="C309" s="40"/>
      <c r="D309" s="40"/>
      <c r="E309" s="40"/>
      <c r="F309" s="40"/>
    </row>
    <row r="310" spans="1:12" ht="19.95" customHeight="1" thickBot="1" x14ac:dyDescent="0.35">
      <c r="A310" s="34" t="s">
        <v>46</v>
      </c>
      <c r="B310" s="10" t="s">
        <v>47</v>
      </c>
      <c r="C310" s="10" t="s">
        <v>0</v>
      </c>
      <c r="D310" s="10" t="s">
        <v>48</v>
      </c>
      <c r="E310" s="10" t="s">
        <v>14</v>
      </c>
      <c r="F310" s="35" t="s">
        <v>49</v>
      </c>
      <c r="L310" s="28">
        <f>L308</f>
        <v>69547.5</v>
      </c>
    </row>
    <row r="311" spans="1:12" ht="19.95" customHeight="1" thickBot="1" x14ac:dyDescent="0.35">
      <c r="A311" s="24">
        <v>1</v>
      </c>
      <c r="B311" s="25">
        <v>0.4548611111111111</v>
      </c>
      <c r="C311" s="26" t="s">
        <v>9</v>
      </c>
      <c r="D311" s="26">
        <v>143</v>
      </c>
      <c r="E311" s="26" t="s">
        <v>29</v>
      </c>
      <c r="F311" s="27">
        <v>1</v>
      </c>
      <c r="H311" s="2" t="s">
        <v>38</v>
      </c>
      <c r="I311" s="2">
        <f>COUNT(Table1023[DATE])</f>
        <v>33</v>
      </c>
      <c r="K311" s="28">
        <f>((Table1023[[#This Row],[SPOT PTS]]/2)*15)-65</f>
        <v>1007.5</v>
      </c>
      <c r="L311" s="28">
        <f>K311+L310</f>
        <v>70555</v>
      </c>
    </row>
    <row r="312" spans="1:12" ht="19.95" customHeight="1" x14ac:dyDescent="0.3">
      <c r="A312" s="13">
        <v>4</v>
      </c>
      <c r="B312" s="14">
        <v>0.40625</v>
      </c>
      <c r="C312" s="15" t="s">
        <v>6</v>
      </c>
      <c r="D312" s="15">
        <v>-47</v>
      </c>
      <c r="E312" s="15" t="s">
        <v>25</v>
      </c>
      <c r="F312" s="16">
        <v>1</v>
      </c>
      <c r="H312" s="2" t="s">
        <v>39</v>
      </c>
      <c r="I312" s="3">
        <f>((COUNTIF(Table1023[OUTCOME],"TARGET"))/I311)</f>
        <v>0.45454545454545453</v>
      </c>
      <c r="K312" s="28">
        <f>((Table1023[[#This Row],[SPOT PTS]]/2)*15)-65</f>
        <v>-417.5</v>
      </c>
      <c r="L312" s="28">
        <f t="shared" ref="L312:L343" si="9">K312+L311</f>
        <v>70137.5</v>
      </c>
    </row>
    <row r="313" spans="1:12" ht="19.95" customHeight="1" x14ac:dyDescent="0.3">
      <c r="A313" s="21">
        <v>4</v>
      </c>
      <c r="B313" s="22">
        <v>0.45833333333333331</v>
      </c>
      <c r="C313" s="1" t="s">
        <v>6</v>
      </c>
      <c r="D313" s="1">
        <v>-29</v>
      </c>
      <c r="E313" s="1" t="s">
        <v>25</v>
      </c>
      <c r="F313" s="23">
        <v>1</v>
      </c>
      <c r="H313" s="2" t="s">
        <v>40</v>
      </c>
      <c r="I313" s="2">
        <f>SUM(Table1023[SPOT PTS])</f>
        <v>1970</v>
      </c>
      <c r="K313" s="28">
        <f>((Table1023[[#This Row],[SPOT PTS]]/2)*15)-65</f>
        <v>-282.5</v>
      </c>
      <c r="L313" s="28">
        <f t="shared" si="9"/>
        <v>69855</v>
      </c>
    </row>
    <row r="314" spans="1:12" ht="19.95" customHeight="1" thickBot="1" x14ac:dyDescent="0.35">
      <c r="A314" s="17">
        <v>4</v>
      </c>
      <c r="B314" s="18">
        <v>0.50694444444444442</v>
      </c>
      <c r="C314" s="19" t="s">
        <v>6</v>
      </c>
      <c r="D314" s="19">
        <v>-19</v>
      </c>
      <c r="E314" s="19" t="s">
        <v>25</v>
      </c>
      <c r="F314" s="20">
        <v>2</v>
      </c>
      <c r="H314" s="2" t="s">
        <v>10</v>
      </c>
      <c r="I314" s="2">
        <f>65*I311</f>
        <v>2145</v>
      </c>
      <c r="K314" s="28">
        <f>((Table1023[[#This Row],[SPOT PTS]]/2)*15)-65</f>
        <v>-207.5</v>
      </c>
      <c r="L314" s="28">
        <f t="shared" si="9"/>
        <v>69647.5</v>
      </c>
    </row>
    <row r="315" spans="1:12" ht="19.95" customHeight="1" thickBot="1" x14ac:dyDescent="0.35">
      <c r="A315" s="24">
        <v>5</v>
      </c>
      <c r="B315" s="25">
        <v>0.43402777777777773</v>
      </c>
      <c r="C315" s="26" t="s">
        <v>9</v>
      </c>
      <c r="D315" s="26">
        <v>110</v>
      </c>
      <c r="E315" s="26" t="s">
        <v>27</v>
      </c>
      <c r="F315" s="27">
        <v>1</v>
      </c>
      <c r="H315" s="2" t="s">
        <v>41</v>
      </c>
      <c r="I315" s="2">
        <f>SUMIF(Table1023[OUTCOME],"STOPLOSS",Table1023[SPOT PTS])</f>
        <v>-984</v>
      </c>
      <c r="K315" s="28">
        <f>((Table1023[[#This Row],[SPOT PTS]]/2)*15)-65</f>
        <v>760</v>
      </c>
      <c r="L315" s="28">
        <f t="shared" si="9"/>
        <v>70407.5</v>
      </c>
    </row>
    <row r="316" spans="1:12" ht="19.95" customHeight="1" thickBot="1" x14ac:dyDescent="0.35">
      <c r="A316" s="24">
        <v>6</v>
      </c>
      <c r="B316" s="25">
        <v>0.4236111111111111</v>
      </c>
      <c r="C316" s="26" t="s">
        <v>9</v>
      </c>
      <c r="D316" s="26">
        <v>140</v>
      </c>
      <c r="E316" s="26" t="s">
        <v>29</v>
      </c>
      <c r="F316" s="27">
        <v>1</v>
      </c>
      <c r="H316" s="2" t="s">
        <v>42</v>
      </c>
      <c r="I316" s="2">
        <f>SUMIF(Table1023[OUTCOME],"TARGET",Table1023[SPOT PTS])</f>
        <v>2954</v>
      </c>
      <c r="K316" s="28">
        <f>((Table1023[[#This Row],[SPOT PTS]]/2)*15)-65</f>
        <v>985</v>
      </c>
      <c r="L316" s="28">
        <f t="shared" si="9"/>
        <v>71392.5</v>
      </c>
    </row>
    <row r="317" spans="1:12" ht="19.95" customHeight="1" x14ac:dyDescent="0.3">
      <c r="A317" s="13">
        <v>7</v>
      </c>
      <c r="B317" s="14">
        <v>0.3888888888888889</v>
      </c>
      <c r="C317" s="15" t="s">
        <v>6</v>
      </c>
      <c r="D317" s="15">
        <v>-80</v>
      </c>
      <c r="E317" s="15" t="s">
        <v>21</v>
      </c>
      <c r="F317" s="16">
        <v>1</v>
      </c>
      <c r="H317" s="2" t="s">
        <v>43</v>
      </c>
      <c r="I317" s="6"/>
      <c r="K317" s="28">
        <f>((Table1023[[#This Row],[SPOT PTS]]/2)*15)-65</f>
        <v>-665</v>
      </c>
      <c r="L317" s="28">
        <f t="shared" si="9"/>
        <v>70727.5</v>
      </c>
    </row>
    <row r="318" spans="1:12" ht="19.95" customHeight="1" thickBot="1" x14ac:dyDescent="0.35">
      <c r="A318" s="17">
        <v>7</v>
      </c>
      <c r="B318" s="18">
        <v>0.10416666666666667</v>
      </c>
      <c r="C318" s="19" t="s">
        <v>9</v>
      </c>
      <c r="D318" s="19">
        <v>95</v>
      </c>
      <c r="E318" s="19" t="s">
        <v>21</v>
      </c>
      <c r="F318" s="20">
        <v>2</v>
      </c>
      <c r="H318" s="2" t="s">
        <v>44</v>
      </c>
      <c r="I318" s="9">
        <f>((I313/2)*15)-I314</f>
        <v>12630</v>
      </c>
      <c r="K318" s="28">
        <f>((Table1023[[#This Row],[SPOT PTS]]/2)*15)-65</f>
        <v>647.5</v>
      </c>
      <c r="L318" s="28">
        <f t="shared" si="9"/>
        <v>71375</v>
      </c>
    </row>
    <row r="319" spans="1:12" ht="19.95" customHeight="1" x14ac:dyDescent="0.3">
      <c r="A319" s="13">
        <v>8</v>
      </c>
      <c r="B319" s="14">
        <v>0.3923611111111111</v>
      </c>
      <c r="C319" s="15" t="s">
        <v>6</v>
      </c>
      <c r="D319" s="15">
        <v>-66</v>
      </c>
      <c r="E319" s="15" t="s">
        <v>23</v>
      </c>
      <c r="F319" s="16">
        <v>1</v>
      </c>
      <c r="K319" s="28">
        <f>((Table1023[[#This Row],[SPOT PTS]]/2)*15)-65</f>
        <v>-560</v>
      </c>
      <c r="L319" s="28">
        <f t="shared" si="9"/>
        <v>70815</v>
      </c>
    </row>
    <row r="320" spans="1:12" ht="19.95" customHeight="1" thickBot="1" x14ac:dyDescent="0.35">
      <c r="A320" s="17">
        <v>8</v>
      </c>
      <c r="B320" s="18">
        <v>0.44791666666666669</v>
      </c>
      <c r="C320" s="19" t="s">
        <v>9</v>
      </c>
      <c r="D320" s="19">
        <v>256</v>
      </c>
      <c r="E320" s="19" t="s">
        <v>23</v>
      </c>
      <c r="F320" s="20">
        <v>1</v>
      </c>
      <c r="K320" s="28">
        <f>((Table1023[[#This Row],[SPOT PTS]]/2)*15)-65</f>
        <v>1855</v>
      </c>
      <c r="L320" s="28">
        <f t="shared" si="9"/>
        <v>72670</v>
      </c>
    </row>
    <row r="321" spans="1:12" ht="19.95" customHeight="1" x14ac:dyDescent="0.3">
      <c r="A321" s="13">
        <v>11</v>
      </c>
      <c r="B321" s="14">
        <v>0.40277777777777773</v>
      </c>
      <c r="C321" s="15" t="s">
        <v>6</v>
      </c>
      <c r="D321" s="15">
        <v>-38</v>
      </c>
      <c r="E321" s="15" t="s">
        <v>25</v>
      </c>
      <c r="F321" s="16">
        <v>1</v>
      </c>
      <c r="K321" s="28">
        <f>((Table1023[[#This Row],[SPOT PTS]]/2)*15)-65</f>
        <v>-350</v>
      </c>
      <c r="L321" s="28">
        <f t="shared" si="9"/>
        <v>72320</v>
      </c>
    </row>
    <row r="322" spans="1:12" ht="19.95" customHeight="1" x14ac:dyDescent="0.3">
      <c r="A322" s="21">
        <v>11</v>
      </c>
      <c r="B322" s="22">
        <v>0.4236111111111111</v>
      </c>
      <c r="C322" s="1" t="s">
        <v>6</v>
      </c>
      <c r="D322" s="1">
        <v>-38</v>
      </c>
      <c r="E322" s="1" t="s">
        <v>25</v>
      </c>
      <c r="F322" s="23">
        <v>1</v>
      </c>
      <c r="K322" s="28">
        <f>((Table1023[[#This Row],[SPOT PTS]]/2)*15)-65</f>
        <v>-350</v>
      </c>
      <c r="L322" s="28">
        <f t="shared" si="9"/>
        <v>71970</v>
      </c>
    </row>
    <row r="323" spans="1:12" ht="19.95" customHeight="1" thickBot="1" x14ac:dyDescent="0.35">
      <c r="A323" s="17">
        <v>11</v>
      </c>
      <c r="B323" s="18">
        <v>4.8611111111111112E-2</v>
      </c>
      <c r="C323" s="19" t="s">
        <v>6</v>
      </c>
      <c r="D323" s="19">
        <v>-28</v>
      </c>
      <c r="E323" s="19" t="s">
        <v>25</v>
      </c>
      <c r="F323" s="20">
        <v>2</v>
      </c>
      <c r="K323" s="28">
        <f>((Table1023[[#This Row],[SPOT PTS]]/2)*15)-65</f>
        <v>-275</v>
      </c>
      <c r="L323" s="28">
        <f t="shared" si="9"/>
        <v>71695</v>
      </c>
    </row>
    <row r="324" spans="1:12" ht="19.95" customHeight="1" thickBot="1" x14ac:dyDescent="0.35">
      <c r="A324" s="24">
        <v>12</v>
      </c>
      <c r="B324" s="25">
        <v>0.43055555555555558</v>
      </c>
      <c r="C324" s="26" t="s">
        <v>9</v>
      </c>
      <c r="D324" s="26">
        <v>104</v>
      </c>
      <c r="E324" s="26" t="s">
        <v>27</v>
      </c>
      <c r="F324" s="27">
        <v>1</v>
      </c>
      <c r="K324" s="28">
        <f>((Table1023[[#This Row],[SPOT PTS]]/2)*15)-65</f>
        <v>715</v>
      </c>
      <c r="L324" s="28">
        <f t="shared" si="9"/>
        <v>72410</v>
      </c>
    </row>
    <row r="325" spans="1:12" ht="19.95" customHeight="1" thickBot="1" x14ac:dyDescent="0.35">
      <c r="A325" s="24">
        <v>13</v>
      </c>
      <c r="B325" s="25">
        <v>0.40277777777777773</v>
      </c>
      <c r="C325" s="26" t="s">
        <v>9</v>
      </c>
      <c r="D325" s="26">
        <v>141</v>
      </c>
      <c r="E325" s="26" t="s">
        <v>29</v>
      </c>
      <c r="F325" s="27">
        <v>1</v>
      </c>
      <c r="K325" s="28">
        <f>((Table1023[[#This Row],[SPOT PTS]]/2)*15)-65</f>
        <v>992.5</v>
      </c>
      <c r="L325" s="28">
        <f t="shared" si="9"/>
        <v>73402.5</v>
      </c>
    </row>
    <row r="326" spans="1:12" ht="19.95" customHeight="1" x14ac:dyDescent="0.3">
      <c r="A326" s="13">
        <v>14</v>
      </c>
      <c r="B326" s="14">
        <v>0.49652777777777773</v>
      </c>
      <c r="C326" s="15" t="s">
        <v>6</v>
      </c>
      <c r="D326" s="15">
        <v>-30</v>
      </c>
      <c r="E326" s="15" t="s">
        <v>21</v>
      </c>
      <c r="F326" s="16">
        <v>1</v>
      </c>
      <c r="K326" s="28">
        <f>((Table1023[[#This Row],[SPOT PTS]]/2)*15)-65</f>
        <v>-290</v>
      </c>
      <c r="L326" s="28">
        <f t="shared" si="9"/>
        <v>73112.5</v>
      </c>
    </row>
    <row r="327" spans="1:12" ht="19.95" customHeight="1" thickBot="1" x14ac:dyDescent="0.35">
      <c r="A327" s="17">
        <v>14</v>
      </c>
      <c r="B327" s="18">
        <v>0.10416666666666667</v>
      </c>
      <c r="C327" s="19" t="s">
        <v>6</v>
      </c>
      <c r="D327" s="19">
        <v>-65</v>
      </c>
      <c r="E327" s="19" t="s">
        <v>21</v>
      </c>
      <c r="F327" s="20">
        <v>2</v>
      </c>
      <c r="K327" s="28">
        <f>((Table1023[[#This Row],[SPOT PTS]]/2)*15)-65</f>
        <v>-552.5</v>
      </c>
      <c r="L327" s="28">
        <f t="shared" si="9"/>
        <v>72560</v>
      </c>
    </row>
    <row r="328" spans="1:12" ht="19.95" customHeight="1" x14ac:dyDescent="0.3">
      <c r="A328" s="13">
        <v>18</v>
      </c>
      <c r="B328" s="14">
        <v>0.39930555555555558</v>
      </c>
      <c r="C328" s="15" t="s">
        <v>6</v>
      </c>
      <c r="D328" s="15">
        <v>-80</v>
      </c>
      <c r="E328" s="15" t="s">
        <v>25</v>
      </c>
      <c r="F328" s="16">
        <v>1</v>
      </c>
      <c r="K328" s="28">
        <f>((Table1023[[#This Row],[SPOT PTS]]/2)*15)-65</f>
        <v>-665</v>
      </c>
      <c r="L328" s="28">
        <f t="shared" si="9"/>
        <v>71895</v>
      </c>
    </row>
    <row r="329" spans="1:12" ht="19.95" customHeight="1" thickBot="1" x14ac:dyDescent="0.35">
      <c r="A329" s="17">
        <v>18</v>
      </c>
      <c r="B329" s="18">
        <v>9.7222222222222224E-2</v>
      </c>
      <c r="C329" s="19" t="s">
        <v>9</v>
      </c>
      <c r="D329" s="19">
        <v>140</v>
      </c>
      <c r="E329" s="19" t="s">
        <v>25</v>
      </c>
      <c r="F329" s="20">
        <v>2</v>
      </c>
      <c r="K329" s="28">
        <f>((Table1023[[#This Row],[SPOT PTS]]/2)*15)-65</f>
        <v>985</v>
      </c>
      <c r="L329" s="28">
        <f t="shared" si="9"/>
        <v>72880</v>
      </c>
    </row>
    <row r="330" spans="1:12" ht="19.95" customHeight="1" thickBot="1" x14ac:dyDescent="0.35">
      <c r="A330" s="24">
        <v>19</v>
      </c>
      <c r="B330" s="25">
        <v>0.39930555555555558</v>
      </c>
      <c r="C330" s="26" t="s">
        <v>9</v>
      </c>
      <c r="D330" s="26">
        <v>383</v>
      </c>
      <c r="E330" s="26" t="s">
        <v>27</v>
      </c>
      <c r="F330" s="27">
        <v>1</v>
      </c>
      <c r="K330" s="28">
        <f>((Table1023[[#This Row],[SPOT PTS]]/2)*15)-65</f>
        <v>2807.5</v>
      </c>
      <c r="L330" s="28">
        <f t="shared" si="9"/>
        <v>75687.5</v>
      </c>
    </row>
    <row r="331" spans="1:12" ht="19.95" customHeight="1" x14ac:dyDescent="0.3">
      <c r="A331" s="13">
        <v>20</v>
      </c>
      <c r="B331" s="14">
        <v>0.43055555555555558</v>
      </c>
      <c r="C331" s="15" t="s">
        <v>6</v>
      </c>
      <c r="D331" s="15">
        <v>-52</v>
      </c>
      <c r="E331" s="15" t="s">
        <v>29</v>
      </c>
      <c r="F331" s="16">
        <v>1</v>
      </c>
      <c r="K331" s="28">
        <f>((Table1023[[#This Row],[SPOT PTS]]/2)*15)-65</f>
        <v>-455</v>
      </c>
      <c r="L331" s="28">
        <f t="shared" si="9"/>
        <v>75232.5</v>
      </c>
    </row>
    <row r="332" spans="1:12" ht="19.95" customHeight="1" thickBot="1" x14ac:dyDescent="0.35">
      <c r="A332" s="17">
        <v>20</v>
      </c>
      <c r="B332" s="18">
        <v>5.5555555555555552E-2</v>
      </c>
      <c r="C332" s="19" t="s">
        <v>9</v>
      </c>
      <c r="D332" s="19">
        <v>210</v>
      </c>
      <c r="E332" s="19" t="s">
        <v>29</v>
      </c>
      <c r="F332" s="20">
        <v>2</v>
      </c>
      <c r="K332" s="28">
        <f>((Table1023[[#This Row],[SPOT PTS]]/2)*15)-65</f>
        <v>1510</v>
      </c>
      <c r="L332" s="28">
        <f t="shared" si="9"/>
        <v>76742.5</v>
      </c>
    </row>
    <row r="333" spans="1:12" ht="19.95" customHeight="1" thickBot="1" x14ac:dyDescent="0.35">
      <c r="A333" s="24">
        <v>21</v>
      </c>
      <c r="B333" s="25">
        <v>0.3923611111111111</v>
      </c>
      <c r="C333" s="26" t="s">
        <v>6</v>
      </c>
      <c r="D333" s="26">
        <v>-80</v>
      </c>
      <c r="E333" s="26" t="s">
        <v>21</v>
      </c>
      <c r="F333" s="27">
        <v>1</v>
      </c>
      <c r="K333" s="28">
        <f>((Table1023[[#This Row],[SPOT PTS]]/2)*15)-65</f>
        <v>-665</v>
      </c>
      <c r="L333" s="28">
        <f t="shared" si="9"/>
        <v>76077.5</v>
      </c>
    </row>
    <row r="334" spans="1:12" ht="19.95" customHeight="1" x14ac:dyDescent="0.3">
      <c r="A334" s="13">
        <v>22</v>
      </c>
      <c r="B334" s="14">
        <v>0.42708333333333331</v>
      </c>
      <c r="C334" s="15" t="s">
        <v>6</v>
      </c>
      <c r="D334" s="15">
        <v>-58</v>
      </c>
      <c r="E334" s="15" t="s">
        <v>23</v>
      </c>
      <c r="F334" s="16">
        <v>1</v>
      </c>
      <c r="K334" s="28">
        <f>((Table1023[[#This Row],[SPOT PTS]]/2)*15)-65</f>
        <v>-500</v>
      </c>
      <c r="L334" s="28">
        <f t="shared" si="9"/>
        <v>75577.5</v>
      </c>
    </row>
    <row r="335" spans="1:12" ht="19.95" customHeight="1" x14ac:dyDescent="0.3">
      <c r="A335" s="21">
        <v>22</v>
      </c>
      <c r="B335" s="22">
        <v>0.44791666666666669</v>
      </c>
      <c r="C335" s="1" t="s">
        <v>6</v>
      </c>
      <c r="D335" s="1">
        <v>-36</v>
      </c>
      <c r="E335" s="1" t="s">
        <v>23</v>
      </c>
      <c r="F335" s="23">
        <v>1</v>
      </c>
      <c r="K335" s="28">
        <f>((Table1023[[#This Row],[SPOT PTS]]/2)*15)-65</f>
        <v>-335</v>
      </c>
      <c r="L335" s="28">
        <f t="shared" si="9"/>
        <v>75242.5</v>
      </c>
    </row>
    <row r="336" spans="1:12" ht="19.95" customHeight="1" thickBot="1" x14ac:dyDescent="0.35">
      <c r="A336" s="17">
        <v>22</v>
      </c>
      <c r="B336" s="18">
        <v>0.46875</v>
      </c>
      <c r="C336" s="19" t="s">
        <v>9</v>
      </c>
      <c r="D336" s="19">
        <v>231</v>
      </c>
      <c r="E336" s="19" t="s">
        <v>23</v>
      </c>
      <c r="F336" s="20">
        <v>1</v>
      </c>
      <c r="K336" s="28">
        <f>((Table1023[[#This Row],[SPOT PTS]]/2)*15)-65</f>
        <v>1667.5</v>
      </c>
      <c r="L336" s="28">
        <f t="shared" si="9"/>
        <v>76910</v>
      </c>
    </row>
    <row r="337" spans="1:12" ht="19.95" customHeight="1" x14ac:dyDescent="0.3">
      <c r="A337" s="13">
        <v>25</v>
      </c>
      <c r="B337" s="14">
        <v>0.40625</v>
      </c>
      <c r="C337" s="15" t="s">
        <v>6</v>
      </c>
      <c r="D337" s="15">
        <v>-78</v>
      </c>
      <c r="E337" s="15" t="s">
        <v>25</v>
      </c>
      <c r="F337" s="16">
        <v>1</v>
      </c>
      <c r="K337" s="28">
        <f>((Table1023[[#This Row],[SPOT PTS]]/2)*15)-65</f>
        <v>-650</v>
      </c>
      <c r="L337" s="28">
        <f t="shared" si="9"/>
        <v>76260</v>
      </c>
    </row>
    <row r="338" spans="1:12" ht="19.95" customHeight="1" x14ac:dyDescent="0.3">
      <c r="A338" s="21">
        <v>25</v>
      </c>
      <c r="B338" s="22">
        <v>0.4513888888888889</v>
      </c>
      <c r="C338" s="1" t="s">
        <v>6</v>
      </c>
      <c r="D338" s="1">
        <v>-80</v>
      </c>
      <c r="E338" s="1" t="s">
        <v>25</v>
      </c>
      <c r="F338" s="23">
        <v>1</v>
      </c>
      <c r="K338" s="28">
        <f>((Table1023[[#This Row],[SPOT PTS]]/2)*15)-65</f>
        <v>-665</v>
      </c>
      <c r="L338" s="28">
        <f t="shared" si="9"/>
        <v>75595</v>
      </c>
    </row>
    <row r="339" spans="1:12" ht="19.95" customHeight="1" thickBot="1" x14ac:dyDescent="0.35">
      <c r="A339" s="17">
        <v>25</v>
      </c>
      <c r="B339" s="18">
        <v>0.50694444444444442</v>
      </c>
      <c r="C339" s="19" t="s">
        <v>6</v>
      </c>
      <c r="D339" s="19">
        <v>-80</v>
      </c>
      <c r="E339" s="19" t="s">
        <v>25</v>
      </c>
      <c r="F339" s="20">
        <v>2</v>
      </c>
      <c r="K339" s="28">
        <f>((Table1023[[#This Row],[SPOT PTS]]/2)*15)-65</f>
        <v>-665</v>
      </c>
      <c r="L339" s="28">
        <f t="shared" si="9"/>
        <v>74930</v>
      </c>
    </row>
    <row r="340" spans="1:12" ht="19.95" customHeight="1" thickBot="1" x14ac:dyDescent="0.35">
      <c r="A340" s="24">
        <v>26</v>
      </c>
      <c r="B340" s="25">
        <v>0.50694444444444442</v>
      </c>
      <c r="C340" s="26" t="s">
        <v>9</v>
      </c>
      <c r="D340" s="26">
        <v>245</v>
      </c>
      <c r="E340" s="26" t="s">
        <v>27</v>
      </c>
      <c r="F340" s="27">
        <v>1</v>
      </c>
      <c r="K340" s="28">
        <f>((Table1023[[#This Row],[SPOT PTS]]/2)*15)-65</f>
        <v>1772.5</v>
      </c>
      <c r="L340" s="28">
        <f t="shared" si="9"/>
        <v>76702.5</v>
      </c>
    </row>
    <row r="341" spans="1:12" ht="19.95" customHeight="1" thickBot="1" x14ac:dyDescent="0.35">
      <c r="A341" s="24">
        <v>27</v>
      </c>
      <c r="B341" s="25">
        <v>0.4201388888888889</v>
      </c>
      <c r="C341" s="26" t="s">
        <v>9</v>
      </c>
      <c r="D341" s="26">
        <v>223</v>
      </c>
      <c r="E341" s="26" t="s">
        <v>29</v>
      </c>
      <c r="F341" s="27">
        <v>1</v>
      </c>
      <c r="K341" s="28">
        <f>((Table1023[[#This Row],[SPOT PTS]]/2)*15)-65</f>
        <v>1607.5</v>
      </c>
      <c r="L341" s="28">
        <f t="shared" si="9"/>
        <v>78310</v>
      </c>
    </row>
    <row r="342" spans="1:12" ht="19.95" customHeight="1" thickBot="1" x14ac:dyDescent="0.35">
      <c r="A342" s="24">
        <v>28</v>
      </c>
      <c r="B342" s="25">
        <v>4.8611111111111112E-2</v>
      </c>
      <c r="C342" s="26" t="s">
        <v>9</v>
      </c>
      <c r="D342" s="26">
        <v>292</v>
      </c>
      <c r="E342" s="26" t="s">
        <v>21</v>
      </c>
      <c r="F342" s="27">
        <v>2</v>
      </c>
      <c r="K342" s="28">
        <f>((Table1023[[#This Row],[SPOT PTS]]/2)*15)-65</f>
        <v>2125</v>
      </c>
      <c r="L342" s="28">
        <f t="shared" si="9"/>
        <v>80435</v>
      </c>
    </row>
    <row r="343" spans="1:12" ht="19.95" customHeight="1" thickBot="1" x14ac:dyDescent="0.35">
      <c r="A343" s="24">
        <v>29</v>
      </c>
      <c r="B343" s="25">
        <v>0.4548611111111111</v>
      </c>
      <c r="C343" s="26" t="s">
        <v>9</v>
      </c>
      <c r="D343" s="26">
        <v>241</v>
      </c>
      <c r="E343" s="26" t="s">
        <v>23</v>
      </c>
      <c r="F343" s="27">
        <v>1</v>
      </c>
      <c r="K343" s="28">
        <f>((Table1023[[#This Row],[SPOT PTS]]/2)*15)-65</f>
        <v>1742.5</v>
      </c>
      <c r="L343" s="28">
        <f t="shared" si="9"/>
        <v>82177.5</v>
      </c>
    </row>
    <row r="344" spans="1:12" ht="19.95" customHeight="1" x14ac:dyDescent="0.3">
      <c r="A344" s="40" t="s">
        <v>58</v>
      </c>
      <c r="B344" s="40"/>
      <c r="C344" s="40"/>
      <c r="D344" s="40"/>
      <c r="E344" s="40"/>
      <c r="F344" s="40"/>
    </row>
    <row r="345" spans="1:12" ht="19.95" customHeight="1" thickBot="1" x14ac:dyDescent="0.35">
      <c r="A345" s="34" t="s">
        <v>46</v>
      </c>
      <c r="B345" s="10" t="s">
        <v>47</v>
      </c>
      <c r="C345" s="10" t="s">
        <v>0</v>
      </c>
      <c r="D345" s="10" t="s">
        <v>48</v>
      </c>
      <c r="E345" s="10" t="s">
        <v>14</v>
      </c>
      <c r="F345" s="35" t="s">
        <v>49</v>
      </c>
      <c r="L345" s="28">
        <f>L343</f>
        <v>82177.5</v>
      </c>
    </row>
    <row r="346" spans="1:12" ht="19.95" customHeight="1" x14ac:dyDescent="0.3">
      <c r="A346" s="13">
        <v>1</v>
      </c>
      <c r="B346" s="14">
        <v>0.3888888888888889</v>
      </c>
      <c r="C346" s="15" t="s">
        <v>6</v>
      </c>
      <c r="D346" s="15">
        <v>-80</v>
      </c>
      <c r="E346" s="15" t="s">
        <v>25</v>
      </c>
      <c r="F346" s="16">
        <v>1</v>
      </c>
      <c r="H346" s="2" t="s">
        <v>38</v>
      </c>
      <c r="I346" s="2">
        <f>COUNT(Table1124[DATE])</f>
        <v>24</v>
      </c>
      <c r="K346" s="28">
        <f>((Table1124[[#This Row],[SPOT PTS]]/2)*15)-65</f>
        <v>-665</v>
      </c>
      <c r="L346" s="28">
        <f>K346+L345</f>
        <v>81512.5</v>
      </c>
    </row>
    <row r="347" spans="1:12" ht="19.95" customHeight="1" thickBot="1" x14ac:dyDescent="0.35">
      <c r="A347" s="17">
        <v>1</v>
      </c>
      <c r="B347" s="18">
        <v>0.4201388888888889</v>
      </c>
      <c r="C347" s="19" t="s">
        <v>9</v>
      </c>
      <c r="D347" s="19">
        <v>245</v>
      </c>
      <c r="E347" s="19" t="s">
        <v>25</v>
      </c>
      <c r="F347" s="20">
        <v>1</v>
      </c>
      <c r="H347" s="2" t="s">
        <v>39</v>
      </c>
      <c r="I347" s="3">
        <f>((COUNTIF(Table1124[OUTCOME],"TARGET"))/I346)</f>
        <v>0.45833333333333331</v>
      </c>
      <c r="K347" s="28">
        <f>((Table1124[[#This Row],[SPOT PTS]]/2)*15)-65</f>
        <v>1772.5</v>
      </c>
      <c r="L347" s="28">
        <f t="shared" ref="L347:L369" si="10">K347+L346</f>
        <v>83285</v>
      </c>
    </row>
    <row r="348" spans="1:12" ht="19.95" customHeight="1" thickBot="1" x14ac:dyDescent="0.35">
      <c r="A348" s="24">
        <v>2</v>
      </c>
      <c r="B348" s="25">
        <v>0.4826388888888889</v>
      </c>
      <c r="C348" s="26" t="s">
        <v>6</v>
      </c>
      <c r="D348" s="26">
        <v>-76</v>
      </c>
      <c r="E348" s="26" t="s">
        <v>27</v>
      </c>
      <c r="F348" s="27">
        <v>1</v>
      </c>
      <c r="H348" s="2" t="s">
        <v>40</v>
      </c>
      <c r="I348" s="2">
        <f>SUM(Table1124[SPOT PTS])</f>
        <v>1052</v>
      </c>
      <c r="K348" s="28">
        <f>((Table1124[[#This Row],[SPOT PTS]]/2)*15)-65</f>
        <v>-635</v>
      </c>
      <c r="L348" s="28">
        <f t="shared" si="10"/>
        <v>82650</v>
      </c>
    </row>
    <row r="349" spans="1:12" ht="19.95" customHeight="1" thickBot="1" x14ac:dyDescent="0.35">
      <c r="A349" s="24">
        <v>3</v>
      </c>
      <c r="B349" s="25">
        <v>8.6805555555555566E-2</v>
      </c>
      <c r="C349" s="26" t="s">
        <v>9</v>
      </c>
      <c r="D349" s="26">
        <v>260</v>
      </c>
      <c r="E349" s="26" t="s">
        <v>29</v>
      </c>
      <c r="F349" s="27">
        <v>2</v>
      </c>
      <c r="H349" s="2" t="s">
        <v>10</v>
      </c>
      <c r="I349" s="2">
        <f>65*I346</f>
        <v>1560</v>
      </c>
      <c r="K349" s="28">
        <f>((Table1124[[#This Row],[SPOT PTS]]/2)*15)-65</f>
        <v>1885</v>
      </c>
      <c r="L349" s="28">
        <f t="shared" si="10"/>
        <v>84535</v>
      </c>
    </row>
    <row r="350" spans="1:12" ht="19.95" customHeight="1" thickBot="1" x14ac:dyDescent="0.35">
      <c r="A350" s="24">
        <v>8</v>
      </c>
      <c r="B350" s="25">
        <v>0.46875</v>
      </c>
      <c r="C350" s="26" t="s">
        <v>9</v>
      </c>
      <c r="D350" s="26">
        <v>116</v>
      </c>
      <c r="E350" s="26" t="s">
        <v>25</v>
      </c>
      <c r="F350" s="27">
        <v>1</v>
      </c>
      <c r="H350" s="2" t="s">
        <v>41</v>
      </c>
      <c r="I350" s="2">
        <f>SUMIF(Table1124[OUTCOME],"STOPLOSS",Table1124[SPOT PTS])</f>
        <v>-754</v>
      </c>
      <c r="K350" s="28">
        <f>((Table1124[[#This Row],[SPOT PTS]]/2)*15)-65</f>
        <v>805</v>
      </c>
      <c r="L350" s="28">
        <f t="shared" si="10"/>
        <v>85340</v>
      </c>
    </row>
    <row r="351" spans="1:12" ht="19.95" customHeight="1" thickBot="1" x14ac:dyDescent="0.35">
      <c r="A351" s="24">
        <v>9</v>
      </c>
      <c r="B351" s="25">
        <v>0.40625</v>
      </c>
      <c r="C351" s="26" t="s">
        <v>9</v>
      </c>
      <c r="D351" s="26">
        <v>125</v>
      </c>
      <c r="E351" s="26" t="s">
        <v>27</v>
      </c>
      <c r="F351" s="27">
        <v>1</v>
      </c>
      <c r="H351" s="2" t="s">
        <v>42</v>
      </c>
      <c r="I351" s="2">
        <f>SUMIF(Table1124[OUTCOME],"TARGET",Table1124[SPOT PTS])</f>
        <v>1806</v>
      </c>
      <c r="K351" s="28">
        <f>((Table1124[[#This Row],[SPOT PTS]]/2)*15)-65</f>
        <v>872.5</v>
      </c>
      <c r="L351" s="28">
        <f t="shared" si="10"/>
        <v>86212.5</v>
      </c>
    </row>
    <row r="352" spans="1:12" ht="19.95" customHeight="1" thickBot="1" x14ac:dyDescent="0.35">
      <c r="A352" s="24">
        <v>10</v>
      </c>
      <c r="B352" s="25">
        <v>0.52083333333333337</v>
      </c>
      <c r="C352" s="26" t="s">
        <v>6</v>
      </c>
      <c r="D352" s="26">
        <v>-28</v>
      </c>
      <c r="E352" s="26" t="s">
        <v>29</v>
      </c>
      <c r="F352" s="27">
        <v>1</v>
      </c>
      <c r="H352" s="2" t="s">
        <v>43</v>
      </c>
      <c r="I352" s="6"/>
      <c r="K352" s="28">
        <f>((Table1124[[#This Row],[SPOT PTS]]/2)*15)-65</f>
        <v>-275</v>
      </c>
      <c r="L352" s="28">
        <f t="shared" si="10"/>
        <v>85937.5</v>
      </c>
    </row>
    <row r="353" spans="1:12" ht="19.95" customHeight="1" thickBot="1" x14ac:dyDescent="0.35">
      <c r="A353" s="24">
        <v>11</v>
      </c>
      <c r="B353" s="25">
        <v>0.50347222222222221</v>
      </c>
      <c r="C353" s="26" t="s">
        <v>9</v>
      </c>
      <c r="D353" s="26">
        <v>140</v>
      </c>
      <c r="E353" s="26" t="s">
        <v>21</v>
      </c>
      <c r="F353" s="27">
        <v>1</v>
      </c>
      <c r="H353" s="2" t="s">
        <v>44</v>
      </c>
      <c r="I353" s="9">
        <f>((I348/2)*15)-I349</f>
        <v>6330</v>
      </c>
      <c r="K353" s="28">
        <f>((Table1124[[#This Row],[SPOT PTS]]/2)*15)-65</f>
        <v>985</v>
      </c>
      <c r="L353" s="28">
        <f t="shared" si="10"/>
        <v>86922.5</v>
      </c>
    </row>
    <row r="354" spans="1:12" ht="19.95" customHeight="1" thickBot="1" x14ac:dyDescent="0.35">
      <c r="A354" s="24">
        <v>12</v>
      </c>
      <c r="B354" s="25">
        <v>0.3888888888888889</v>
      </c>
      <c r="C354" s="26" t="s">
        <v>6</v>
      </c>
      <c r="D354" s="26">
        <v>-78</v>
      </c>
      <c r="E354" s="26" t="s">
        <v>23</v>
      </c>
      <c r="F354" s="27">
        <v>1</v>
      </c>
      <c r="K354" s="28">
        <f>((Table1124[[#This Row],[SPOT PTS]]/2)*15)-65</f>
        <v>-650</v>
      </c>
      <c r="L354" s="28">
        <f t="shared" si="10"/>
        <v>86272.5</v>
      </c>
    </row>
    <row r="355" spans="1:12" ht="19.95" customHeight="1" thickBot="1" x14ac:dyDescent="0.35">
      <c r="A355" s="24">
        <v>15</v>
      </c>
      <c r="B355" s="25">
        <v>0.3923611111111111</v>
      </c>
      <c r="C355" s="26" t="s">
        <v>9</v>
      </c>
      <c r="D355" s="26">
        <v>185</v>
      </c>
      <c r="E355" s="26" t="s">
        <v>25</v>
      </c>
      <c r="F355" s="27">
        <v>1</v>
      </c>
      <c r="K355" s="28">
        <f>((Table1124[[#This Row],[SPOT PTS]]/2)*15)-65</f>
        <v>1322.5</v>
      </c>
      <c r="L355" s="28">
        <f t="shared" si="10"/>
        <v>87595</v>
      </c>
    </row>
    <row r="356" spans="1:12" ht="19.95" customHeight="1" thickBot="1" x14ac:dyDescent="0.35">
      <c r="A356" s="24">
        <v>16</v>
      </c>
      <c r="B356" s="25">
        <v>0.42708333333333331</v>
      </c>
      <c r="C356" s="26" t="s">
        <v>9</v>
      </c>
      <c r="D356" s="26">
        <v>61</v>
      </c>
      <c r="E356" s="26" t="s">
        <v>27</v>
      </c>
      <c r="F356" s="27">
        <v>1</v>
      </c>
      <c r="K356" s="28">
        <f>((Table1124[[#This Row],[SPOT PTS]]/2)*15)-65</f>
        <v>392.5</v>
      </c>
      <c r="L356" s="28">
        <f t="shared" si="10"/>
        <v>87987.5</v>
      </c>
    </row>
    <row r="357" spans="1:12" ht="19.95" customHeight="1" x14ac:dyDescent="0.3">
      <c r="A357" s="13">
        <v>17</v>
      </c>
      <c r="B357" s="14">
        <v>0.42708333333333331</v>
      </c>
      <c r="C357" s="15" t="s">
        <v>6</v>
      </c>
      <c r="D357" s="15">
        <v>-62</v>
      </c>
      <c r="E357" s="15" t="s">
        <v>29</v>
      </c>
      <c r="F357" s="16">
        <v>1</v>
      </c>
      <c r="K357" s="28">
        <f>((Table1124[[#This Row],[SPOT PTS]]/2)*15)-65</f>
        <v>-530</v>
      </c>
      <c r="L357" s="28">
        <f t="shared" si="10"/>
        <v>87457.5</v>
      </c>
    </row>
    <row r="358" spans="1:12" ht="19.95" customHeight="1" x14ac:dyDescent="0.3">
      <c r="A358" s="21">
        <v>17</v>
      </c>
      <c r="B358" s="22">
        <v>0.42708333333333331</v>
      </c>
      <c r="C358" s="1" t="s">
        <v>6</v>
      </c>
      <c r="D358" s="1">
        <v>-43</v>
      </c>
      <c r="E358" s="1" t="s">
        <v>29</v>
      </c>
      <c r="F358" s="23">
        <v>1</v>
      </c>
      <c r="K358" s="28">
        <f>((Table1124[[#This Row],[SPOT PTS]]/2)*15)-65</f>
        <v>-387.5</v>
      </c>
      <c r="L358" s="28">
        <f t="shared" si="10"/>
        <v>87070</v>
      </c>
    </row>
    <row r="359" spans="1:12" ht="19.95" customHeight="1" thickBot="1" x14ac:dyDescent="0.35">
      <c r="A359" s="17">
        <v>17</v>
      </c>
      <c r="B359" s="18">
        <v>6.5972222222222224E-2</v>
      </c>
      <c r="C359" s="19" t="s">
        <v>6</v>
      </c>
      <c r="D359" s="19">
        <v>-47</v>
      </c>
      <c r="E359" s="19" t="s">
        <v>29</v>
      </c>
      <c r="F359" s="20">
        <v>2</v>
      </c>
      <c r="K359" s="28">
        <f>((Table1124[[#This Row],[SPOT PTS]]/2)*15)-65</f>
        <v>-417.5</v>
      </c>
      <c r="L359" s="28">
        <f t="shared" si="10"/>
        <v>86652.5</v>
      </c>
    </row>
    <row r="360" spans="1:12" ht="19.95" customHeight="1" thickBot="1" x14ac:dyDescent="0.35">
      <c r="A360" s="24">
        <v>18</v>
      </c>
      <c r="B360" s="25">
        <v>0.3923611111111111</v>
      </c>
      <c r="C360" s="26" t="s">
        <v>9</v>
      </c>
      <c r="D360" s="26">
        <v>196</v>
      </c>
      <c r="E360" s="26" t="s">
        <v>21</v>
      </c>
      <c r="F360" s="27">
        <v>1</v>
      </c>
      <c r="K360" s="28">
        <f>((Table1124[[#This Row],[SPOT PTS]]/2)*15)-65</f>
        <v>1405</v>
      </c>
      <c r="L360" s="28">
        <f t="shared" si="10"/>
        <v>88057.5</v>
      </c>
    </row>
    <row r="361" spans="1:12" ht="19.95" customHeight="1" thickBot="1" x14ac:dyDescent="0.35">
      <c r="A361" s="24">
        <v>23</v>
      </c>
      <c r="B361" s="25">
        <v>0.4201388888888889</v>
      </c>
      <c r="C361" s="26" t="s">
        <v>9</v>
      </c>
      <c r="D361" s="26">
        <v>166</v>
      </c>
      <c r="E361" s="26" t="s">
        <v>25</v>
      </c>
      <c r="F361" s="27">
        <v>1</v>
      </c>
      <c r="K361" s="28">
        <f>((Table1124[[#This Row],[SPOT PTS]]/2)*15)-65</f>
        <v>1180</v>
      </c>
      <c r="L361" s="28">
        <f t="shared" si="10"/>
        <v>89237.5</v>
      </c>
    </row>
    <row r="362" spans="1:12" ht="19.95" customHeight="1" x14ac:dyDescent="0.3">
      <c r="A362" s="13">
        <v>24</v>
      </c>
      <c r="B362" s="14">
        <v>0.39930555555555558</v>
      </c>
      <c r="C362" s="15" t="s">
        <v>6</v>
      </c>
      <c r="D362" s="15">
        <v>-56</v>
      </c>
      <c r="E362" s="15" t="s">
        <v>27</v>
      </c>
      <c r="F362" s="16">
        <v>1</v>
      </c>
      <c r="K362" s="28">
        <f>((Table1124[[#This Row],[SPOT PTS]]/2)*15)-65</f>
        <v>-485</v>
      </c>
      <c r="L362" s="28">
        <f t="shared" si="10"/>
        <v>88752.5</v>
      </c>
    </row>
    <row r="363" spans="1:12" ht="19.95" customHeight="1" x14ac:dyDescent="0.3">
      <c r="A363" s="21">
        <v>24</v>
      </c>
      <c r="B363" s="22">
        <v>0.49652777777777773</v>
      </c>
      <c r="C363" s="1" t="s">
        <v>6</v>
      </c>
      <c r="D363" s="1">
        <v>-31</v>
      </c>
      <c r="E363" s="1" t="s">
        <v>27</v>
      </c>
      <c r="F363" s="23">
        <v>1</v>
      </c>
      <c r="K363" s="28">
        <f>((Table1124[[#This Row],[SPOT PTS]]/2)*15)-65</f>
        <v>-297.5</v>
      </c>
      <c r="L363" s="28">
        <f t="shared" si="10"/>
        <v>88455</v>
      </c>
    </row>
    <row r="364" spans="1:12" ht="19.95" customHeight="1" thickBot="1" x14ac:dyDescent="0.35">
      <c r="A364" s="17">
        <v>24</v>
      </c>
      <c r="B364" s="18">
        <v>0.53819444444444442</v>
      </c>
      <c r="C364" s="19" t="s">
        <v>9</v>
      </c>
      <c r="D364" s="19">
        <v>132</v>
      </c>
      <c r="E364" s="19" t="s">
        <v>27</v>
      </c>
      <c r="F364" s="20">
        <v>2</v>
      </c>
      <c r="K364" s="28">
        <f>((Table1124[[#This Row],[SPOT PTS]]/2)*15)-65</f>
        <v>925</v>
      </c>
      <c r="L364" s="28">
        <f t="shared" si="10"/>
        <v>89380</v>
      </c>
    </row>
    <row r="365" spans="1:12" ht="19.95" customHeight="1" thickBot="1" x14ac:dyDescent="0.35">
      <c r="A365" s="24">
        <v>25</v>
      </c>
      <c r="B365" s="25">
        <v>0.4826388888888889</v>
      </c>
      <c r="C365" s="26" t="s">
        <v>9</v>
      </c>
      <c r="D365" s="26">
        <v>180</v>
      </c>
      <c r="E365" s="26" t="s">
        <v>29</v>
      </c>
      <c r="F365" s="27">
        <v>1</v>
      </c>
      <c r="K365" s="28">
        <f>((Table1124[[#This Row],[SPOT PTS]]/2)*15)-65</f>
        <v>1285</v>
      </c>
      <c r="L365" s="28">
        <f t="shared" si="10"/>
        <v>90665</v>
      </c>
    </row>
    <row r="366" spans="1:12" ht="19.95" customHeight="1" thickBot="1" x14ac:dyDescent="0.35">
      <c r="A366" s="24">
        <v>29</v>
      </c>
      <c r="B366" s="25">
        <v>0.41319444444444442</v>
      </c>
      <c r="C366" s="26" t="s">
        <v>6</v>
      </c>
      <c r="D366" s="26">
        <v>-80</v>
      </c>
      <c r="E366" s="26" t="s">
        <v>25</v>
      </c>
      <c r="F366" s="27">
        <v>1</v>
      </c>
      <c r="K366" s="28">
        <f>((Table1124[[#This Row],[SPOT PTS]]/2)*15)-65</f>
        <v>-665</v>
      </c>
      <c r="L366" s="28">
        <f t="shared" si="10"/>
        <v>90000</v>
      </c>
    </row>
    <row r="367" spans="1:12" ht="19.95" customHeight="1" x14ac:dyDescent="0.3">
      <c r="A367" s="13">
        <v>30</v>
      </c>
      <c r="B367" s="14">
        <v>0.40277777777777773</v>
      </c>
      <c r="C367" s="15" t="s">
        <v>6</v>
      </c>
      <c r="D367" s="15">
        <v>-65</v>
      </c>
      <c r="E367" s="15" t="s">
        <v>27</v>
      </c>
      <c r="F367" s="16">
        <v>1</v>
      </c>
      <c r="K367" s="28">
        <f>((Table1124[[#This Row],[SPOT PTS]]/2)*15)-65</f>
        <v>-552.5</v>
      </c>
      <c r="L367" s="28">
        <f t="shared" si="10"/>
        <v>89447.5</v>
      </c>
    </row>
    <row r="368" spans="1:12" ht="19.95" customHeight="1" x14ac:dyDescent="0.3">
      <c r="A368" s="21">
        <v>30</v>
      </c>
      <c r="B368" s="22">
        <v>0.42708333333333331</v>
      </c>
      <c r="C368" s="1" t="s">
        <v>6</v>
      </c>
      <c r="D368" s="1">
        <v>-47</v>
      </c>
      <c r="E368" s="1" t="s">
        <v>27</v>
      </c>
      <c r="F368" s="23">
        <v>1</v>
      </c>
      <c r="K368" s="28">
        <f>((Table1124[[#This Row],[SPOT PTS]]/2)*15)-65</f>
        <v>-417.5</v>
      </c>
      <c r="L368" s="28">
        <f t="shared" si="10"/>
        <v>89030</v>
      </c>
    </row>
    <row r="369" spans="1:12" ht="19.95" customHeight="1" thickBot="1" x14ac:dyDescent="0.35">
      <c r="A369" s="17">
        <v>30</v>
      </c>
      <c r="B369" s="18">
        <v>0.44097222222222227</v>
      </c>
      <c r="C369" s="19" t="s">
        <v>6</v>
      </c>
      <c r="D369" s="19">
        <v>-61</v>
      </c>
      <c r="E369" s="19" t="s">
        <v>27</v>
      </c>
      <c r="F369" s="20">
        <v>1</v>
      </c>
      <c r="K369" s="28">
        <f>((Table1124[[#This Row],[SPOT PTS]]/2)*15)-65</f>
        <v>-522.5</v>
      </c>
      <c r="L369" s="28">
        <f t="shared" si="10"/>
        <v>88507.5</v>
      </c>
    </row>
    <row r="370" spans="1:12" ht="19.95" customHeight="1" x14ac:dyDescent="0.3">
      <c r="A370" s="40" t="s">
        <v>59</v>
      </c>
      <c r="B370" s="40"/>
      <c r="C370" s="40"/>
      <c r="D370" s="40"/>
      <c r="E370" s="40"/>
      <c r="F370" s="40"/>
    </row>
    <row r="371" spans="1:12" ht="19.95" customHeight="1" thickBot="1" x14ac:dyDescent="0.35">
      <c r="A371" s="34" t="s">
        <v>46</v>
      </c>
      <c r="B371" s="10" t="s">
        <v>47</v>
      </c>
      <c r="C371" s="10" t="s">
        <v>0</v>
      </c>
      <c r="D371" s="10" t="s">
        <v>48</v>
      </c>
      <c r="E371" s="10" t="s">
        <v>14</v>
      </c>
      <c r="F371" s="35" t="s">
        <v>49</v>
      </c>
      <c r="H371" s="2" t="s">
        <v>38</v>
      </c>
      <c r="I371" s="2">
        <f>COUNT(Table1225[DATE])</f>
        <v>39</v>
      </c>
      <c r="L371" s="28">
        <f>L369</f>
        <v>88507.5</v>
      </c>
    </row>
    <row r="372" spans="1:12" ht="19.95" customHeight="1" thickBot="1" x14ac:dyDescent="0.35">
      <c r="A372" s="24">
        <v>1</v>
      </c>
      <c r="B372" s="25">
        <v>0.40277777777777773</v>
      </c>
      <c r="C372" s="26" t="s">
        <v>9</v>
      </c>
      <c r="D372" s="26">
        <v>240</v>
      </c>
      <c r="E372" s="26" t="s">
        <v>29</v>
      </c>
      <c r="F372" s="27">
        <v>1</v>
      </c>
      <c r="H372" s="2" t="s">
        <v>39</v>
      </c>
      <c r="I372" s="3">
        <f>((COUNTIF(Table1225[OUTCOME],"TARGET"))/I371)</f>
        <v>0.25641025641025639</v>
      </c>
      <c r="K372" s="28">
        <f>((Table1225[[#This Row],[SPOT PTS]]/2)*15)-65</f>
        <v>1735</v>
      </c>
      <c r="L372" s="28">
        <f>K372+L371</f>
        <v>90242.5</v>
      </c>
    </row>
    <row r="373" spans="1:12" ht="19.95" customHeight="1" x14ac:dyDescent="0.3">
      <c r="A373" s="13">
        <v>2</v>
      </c>
      <c r="B373" s="14">
        <v>0.40277777777777773</v>
      </c>
      <c r="C373" s="15" t="s">
        <v>6</v>
      </c>
      <c r="D373" s="15">
        <v>-63</v>
      </c>
      <c r="E373" s="15" t="s">
        <v>21</v>
      </c>
      <c r="F373" s="16">
        <v>1</v>
      </c>
      <c r="H373" s="2" t="s">
        <v>40</v>
      </c>
      <c r="I373" s="2">
        <f>SUM(Table1225[SPOT PTS])</f>
        <v>254</v>
      </c>
      <c r="K373" s="28">
        <f>((Table1225[[#This Row],[SPOT PTS]]/2)*15)-65</f>
        <v>-537.5</v>
      </c>
      <c r="L373" s="28">
        <f t="shared" ref="L373:L410" si="11">K373+L372</f>
        <v>89705</v>
      </c>
    </row>
    <row r="374" spans="1:12" ht="19.95" customHeight="1" thickBot="1" x14ac:dyDescent="0.35">
      <c r="A374" s="17">
        <v>2</v>
      </c>
      <c r="B374" s="18">
        <v>7.9861111111111105E-2</v>
      </c>
      <c r="C374" s="19" t="s">
        <v>6</v>
      </c>
      <c r="D374" s="19">
        <v>-30</v>
      </c>
      <c r="E374" s="19" t="s">
        <v>21</v>
      </c>
      <c r="F374" s="20">
        <v>2</v>
      </c>
      <c r="H374" s="2" t="s">
        <v>10</v>
      </c>
      <c r="I374" s="2">
        <f>65*I371</f>
        <v>2535</v>
      </c>
      <c r="K374" s="28">
        <f>((Table1225[[#This Row],[SPOT PTS]]/2)*15)-65</f>
        <v>-290</v>
      </c>
      <c r="L374" s="28">
        <f t="shared" si="11"/>
        <v>89415</v>
      </c>
    </row>
    <row r="375" spans="1:12" ht="19.95" customHeight="1" thickBot="1" x14ac:dyDescent="0.35">
      <c r="A375" s="24">
        <v>3</v>
      </c>
      <c r="B375" s="25">
        <v>0.40277777777777773</v>
      </c>
      <c r="C375" s="26" t="s">
        <v>9</v>
      </c>
      <c r="D375" s="26">
        <v>235</v>
      </c>
      <c r="E375" s="26" t="s">
        <v>23</v>
      </c>
      <c r="F375" s="27">
        <v>1</v>
      </c>
      <c r="H375" s="2" t="s">
        <v>41</v>
      </c>
      <c r="I375" s="2">
        <f>SUMIF(Table1225[OUTCOME],"STOPLOSS",Table1225[SPOT PTS])</f>
        <v>-1424</v>
      </c>
      <c r="K375" s="28">
        <f>((Table1225[[#This Row],[SPOT PTS]]/2)*15)-65</f>
        <v>1697.5</v>
      </c>
      <c r="L375" s="28">
        <f t="shared" si="11"/>
        <v>91112.5</v>
      </c>
    </row>
    <row r="376" spans="1:12" ht="19.95" customHeight="1" x14ac:dyDescent="0.3">
      <c r="A376" s="13">
        <v>6</v>
      </c>
      <c r="B376" s="14">
        <v>0.42708333333333331</v>
      </c>
      <c r="C376" s="15" t="s">
        <v>6</v>
      </c>
      <c r="D376" s="15">
        <v>-76</v>
      </c>
      <c r="E376" s="15" t="s">
        <v>25</v>
      </c>
      <c r="F376" s="16">
        <v>1</v>
      </c>
      <c r="H376" s="2" t="s">
        <v>42</v>
      </c>
      <c r="I376" s="2">
        <f>SUMIF(Table1225[OUTCOME],"TARGET",Table1225[SPOT PTS])</f>
        <v>1678</v>
      </c>
      <c r="K376" s="28">
        <f>((Table1225[[#This Row],[SPOT PTS]]/2)*15)-65</f>
        <v>-635</v>
      </c>
      <c r="L376" s="28">
        <f t="shared" si="11"/>
        <v>90477.5</v>
      </c>
    </row>
    <row r="377" spans="1:12" ht="19.95" customHeight="1" thickBot="1" x14ac:dyDescent="0.35">
      <c r="A377" s="17">
        <v>6</v>
      </c>
      <c r="B377" s="18">
        <v>4.5138888888888888E-2</v>
      </c>
      <c r="C377" s="19" t="s">
        <v>9</v>
      </c>
      <c r="D377" s="19">
        <v>142</v>
      </c>
      <c r="E377" s="19" t="s">
        <v>25</v>
      </c>
      <c r="F377" s="20">
        <v>2</v>
      </c>
      <c r="H377" s="2" t="s">
        <v>43</v>
      </c>
      <c r="I377" s="6"/>
      <c r="K377" s="28">
        <f>((Table1225[[#This Row],[SPOT PTS]]/2)*15)-65</f>
        <v>1000</v>
      </c>
      <c r="L377" s="28">
        <f t="shared" si="11"/>
        <v>91477.5</v>
      </c>
    </row>
    <row r="378" spans="1:12" ht="19.95" customHeight="1" x14ac:dyDescent="0.3">
      <c r="A378" s="13">
        <v>7</v>
      </c>
      <c r="B378" s="14">
        <v>0.4201388888888889</v>
      </c>
      <c r="C378" s="15" t="s">
        <v>6</v>
      </c>
      <c r="D378" s="15">
        <v>-63</v>
      </c>
      <c r="E378" s="15" t="s">
        <v>27</v>
      </c>
      <c r="F378" s="16">
        <v>1</v>
      </c>
      <c r="H378" s="2" t="s">
        <v>44</v>
      </c>
      <c r="I378" s="9">
        <f>((I373/2)*15)-I374</f>
        <v>-630</v>
      </c>
      <c r="K378" s="28">
        <f>((Table1225[[#This Row],[SPOT PTS]]/2)*15)-65</f>
        <v>-537.5</v>
      </c>
      <c r="L378" s="28">
        <f t="shared" si="11"/>
        <v>90940</v>
      </c>
    </row>
    <row r="379" spans="1:12" ht="19.95" customHeight="1" x14ac:dyDescent="0.3">
      <c r="A379" s="21">
        <v>7</v>
      </c>
      <c r="B379" s="22">
        <v>0.4826388888888889</v>
      </c>
      <c r="C379" s="1" t="s">
        <v>6</v>
      </c>
      <c r="D379" s="1">
        <v>-39</v>
      </c>
      <c r="E379" s="1" t="s">
        <v>27</v>
      </c>
      <c r="F379" s="23">
        <v>1</v>
      </c>
      <c r="K379" s="28">
        <f>((Table1225[[#This Row],[SPOT PTS]]/2)*15)-65</f>
        <v>-357.5</v>
      </c>
      <c r="L379" s="28">
        <f t="shared" si="11"/>
        <v>90582.5</v>
      </c>
    </row>
    <row r="380" spans="1:12" ht="19.95" customHeight="1" thickBot="1" x14ac:dyDescent="0.35">
      <c r="A380" s="17">
        <v>7</v>
      </c>
      <c r="B380" s="18">
        <v>7.2916666666666671E-2</v>
      </c>
      <c r="C380" s="19" t="s">
        <v>6</v>
      </c>
      <c r="D380" s="19">
        <v>-32</v>
      </c>
      <c r="E380" s="19" t="s">
        <v>27</v>
      </c>
      <c r="F380" s="20">
        <v>2</v>
      </c>
      <c r="K380" s="28">
        <f>((Table1225[[#This Row],[SPOT PTS]]/2)*15)-65</f>
        <v>-305</v>
      </c>
      <c r="L380" s="28">
        <f t="shared" si="11"/>
        <v>90277.5</v>
      </c>
    </row>
    <row r="381" spans="1:12" ht="19.95" customHeight="1" x14ac:dyDescent="0.3">
      <c r="A381" s="13">
        <v>8</v>
      </c>
      <c r="B381" s="14">
        <v>0.3923611111111111</v>
      </c>
      <c r="C381" s="15" t="s">
        <v>6</v>
      </c>
      <c r="D381" s="15">
        <v>-62</v>
      </c>
      <c r="E381" s="15" t="s">
        <v>29</v>
      </c>
      <c r="F381" s="16">
        <v>1</v>
      </c>
      <c r="K381" s="28">
        <f>((Table1225[[#This Row],[SPOT PTS]]/2)*15)-65</f>
        <v>-530</v>
      </c>
      <c r="L381" s="28">
        <f t="shared" si="11"/>
        <v>89747.5</v>
      </c>
    </row>
    <row r="382" spans="1:12" ht="19.95" customHeight="1" x14ac:dyDescent="0.3">
      <c r="A382" s="21">
        <v>8</v>
      </c>
      <c r="B382" s="22">
        <v>0.41319444444444442</v>
      </c>
      <c r="C382" s="1" t="s">
        <v>6</v>
      </c>
      <c r="D382" s="1">
        <v>-31</v>
      </c>
      <c r="E382" s="1" t="s">
        <v>29</v>
      </c>
      <c r="F382" s="23">
        <v>1</v>
      </c>
      <c r="K382" s="28">
        <f>((Table1225[[#This Row],[SPOT PTS]]/2)*15)-65</f>
        <v>-297.5</v>
      </c>
      <c r="L382" s="28">
        <f t="shared" si="11"/>
        <v>89450</v>
      </c>
    </row>
    <row r="383" spans="1:12" ht="19.95" customHeight="1" thickBot="1" x14ac:dyDescent="0.35">
      <c r="A383" s="17">
        <v>8</v>
      </c>
      <c r="B383" s="18">
        <v>7.6388888888888895E-2</v>
      </c>
      <c r="C383" s="19" t="s">
        <v>6</v>
      </c>
      <c r="D383" s="19">
        <v>-36</v>
      </c>
      <c r="E383" s="19" t="s">
        <v>29</v>
      </c>
      <c r="F383" s="20">
        <v>2</v>
      </c>
      <c r="K383" s="28">
        <f>((Table1225[[#This Row],[SPOT PTS]]/2)*15)-65</f>
        <v>-335</v>
      </c>
      <c r="L383" s="28">
        <f t="shared" si="11"/>
        <v>89115</v>
      </c>
    </row>
    <row r="384" spans="1:12" ht="19.95" customHeight="1" thickBot="1" x14ac:dyDescent="0.35">
      <c r="A384" s="24">
        <v>9</v>
      </c>
      <c r="B384" s="25">
        <v>0.3888888888888889</v>
      </c>
      <c r="C384" s="26" t="s">
        <v>9</v>
      </c>
      <c r="D384" s="26">
        <v>257</v>
      </c>
      <c r="E384" s="26" t="s">
        <v>21</v>
      </c>
      <c r="F384" s="27">
        <v>1</v>
      </c>
      <c r="K384" s="28">
        <f>((Table1225[[#This Row],[SPOT PTS]]/2)*15)-65</f>
        <v>1862.5</v>
      </c>
      <c r="L384" s="28">
        <f t="shared" si="11"/>
        <v>90977.5</v>
      </c>
    </row>
    <row r="385" spans="1:12" ht="19.95" customHeight="1" thickBot="1" x14ac:dyDescent="0.35">
      <c r="A385" s="24">
        <v>10</v>
      </c>
      <c r="B385" s="25">
        <v>7.2916666666666671E-2</v>
      </c>
      <c r="C385" s="26" t="s">
        <v>6</v>
      </c>
      <c r="D385" s="26">
        <v>-26</v>
      </c>
      <c r="E385" s="26" t="s">
        <v>23</v>
      </c>
      <c r="F385" s="27">
        <v>2</v>
      </c>
      <c r="K385" s="28">
        <f>((Table1225[[#This Row],[SPOT PTS]]/2)*15)-65</f>
        <v>-260</v>
      </c>
      <c r="L385" s="28">
        <f t="shared" si="11"/>
        <v>90717.5</v>
      </c>
    </row>
    <row r="386" spans="1:12" ht="19.95" customHeight="1" thickBot="1" x14ac:dyDescent="0.35">
      <c r="A386" s="24">
        <v>13</v>
      </c>
      <c r="B386" s="25">
        <v>0.3923611111111111</v>
      </c>
      <c r="C386" s="26" t="s">
        <v>6</v>
      </c>
      <c r="D386" s="26">
        <v>-54</v>
      </c>
      <c r="E386" s="26" t="s">
        <v>25</v>
      </c>
      <c r="F386" s="27">
        <v>1</v>
      </c>
      <c r="K386" s="28">
        <f>((Table1225[[#This Row],[SPOT PTS]]/2)*15)-65</f>
        <v>-470</v>
      </c>
      <c r="L386" s="28">
        <f t="shared" si="11"/>
        <v>90247.5</v>
      </c>
    </row>
    <row r="387" spans="1:12" ht="19.95" customHeight="1" x14ac:dyDescent="0.3">
      <c r="A387" s="13">
        <v>14</v>
      </c>
      <c r="B387" s="14">
        <v>0.4826388888888889</v>
      </c>
      <c r="C387" s="15" t="s">
        <v>6</v>
      </c>
      <c r="D387" s="15">
        <v>-30</v>
      </c>
      <c r="E387" s="15" t="s">
        <v>27</v>
      </c>
      <c r="F387" s="16">
        <v>1</v>
      </c>
      <c r="K387" s="28">
        <f>((Table1225[[#This Row],[SPOT PTS]]/2)*15)-65</f>
        <v>-290</v>
      </c>
      <c r="L387" s="28">
        <f t="shared" si="11"/>
        <v>89957.5</v>
      </c>
    </row>
    <row r="388" spans="1:12" ht="19.95" customHeight="1" x14ac:dyDescent="0.3">
      <c r="A388" s="21">
        <v>14</v>
      </c>
      <c r="B388" s="22">
        <v>0.51041666666666663</v>
      </c>
      <c r="C388" s="1" t="s">
        <v>6</v>
      </c>
      <c r="D388" s="1">
        <v>-43</v>
      </c>
      <c r="E388" s="1" t="s">
        <v>27</v>
      </c>
      <c r="F388" s="23">
        <v>2</v>
      </c>
      <c r="K388" s="28">
        <f>((Table1225[[#This Row],[SPOT PTS]]/2)*15)-65</f>
        <v>-387.5</v>
      </c>
      <c r="L388" s="28">
        <f t="shared" si="11"/>
        <v>89570</v>
      </c>
    </row>
    <row r="389" spans="1:12" ht="19.95" customHeight="1" thickBot="1" x14ac:dyDescent="0.35">
      <c r="A389" s="17">
        <v>14</v>
      </c>
      <c r="B389" s="18">
        <v>6.9444444444444434E-2</v>
      </c>
      <c r="C389" s="19" t="s">
        <v>9</v>
      </c>
      <c r="D389" s="19">
        <v>171</v>
      </c>
      <c r="E389" s="19" t="s">
        <v>27</v>
      </c>
      <c r="F389" s="20">
        <v>2</v>
      </c>
      <c r="K389" s="28">
        <f>((Table1225[[#This Row],[SPOT PTS]]/2)*15)-65</f>
        <v>1217.5</v>
      </c>
      <c r="L389" s="28">
        <f t="shared" si="11"/>
        <v>90787.5</v>
      </c>
    </row>
    <row r="390" spans="1:12" ht="19.95" customHeight="1" thickBot="1" x14ac:dyDescent="0.35">
      <c r="A390" s="24">
        <v>15</v>
      </c>
      <c r="B390" s="25">
        <v>0.3923611111111111</v>
      </c>
      <c r="C390" s="26" t="s">
        <v>6</v>
      </c>
      <c r="D390" s="26">
        <v>-62</v>
      </c>
      <c r="E390" s="26" t="s">
        <v>29</v>
      </c>
      <c r="F390" s="27">
        <v>1</v>
      </c>
      <c r="K390" s="28">
        <f>((Table1225[[#This Row],[SPOT PTS]]/2)*15)-65</f>
        <v>-530</v>
      </c>
      <c r="L390" s="28">
        <f t="shared" si="11"/>
        <v>90257.5</v>
      </c>
    </row>
    <row r="391" spans="1:12" ht="19.95" customHeight="1" thickBot="1" x14ac:dyDescent="0.35">
      <c r="A391" s="24">
        <v>16</v>
      </c>
      <c r="B391" s="25">
        <v>0.3888888888888889</v>
      </c>
      <c r="C391" s="26" t="s">
        <v>6</v>
      </c>
      <c r="D391" s="26">
        <v>-80</v>
      </c>
      <c r="E391" s="26" t="s">
        <v>21</v>
      </c>
      <c r="F391" s="27">
        <v>1</v>
      </c>
      <c r="K391" s="28">
        <f>((Table1225[[#This Row],[SPOT PTS]]/2)*15)-65</f>
        <v>-665</v>
      </c>
      <c r="L391" s="28">
        <f t="shared" si="11"/>
        <v>89592.5</v>
      </c>
    </row>
    <row r="392" spans="1:12" ht="19.95" customHeight="1" thickBot="1" x14ac:dyDescent="0.35">
      <c r="A392" s="24">
        <v>17</v>
      </c>
      <c r="B392" s="25">
        <v>0.46527777777777773</v>
      </c>
      <c r="C392" s="26" t="s">
        <v>6</v>
      </c>
      <c r="D392" s="26">
        <v>-54</v>
      </c>
      <c r="E392" s="26" t="s">
        <v>23</v>
      </c>
      <c r="F392" s="27">
        <v>1</v>
      </c>
      <c r="K392" s="28">
        <f>((Table1225[[#This Row],[SPOT PTS]]/2)*15)-65</f>
        <v>-470</v>
      </c>
      <c r="L392" s="28">
        <f t="shared" si="11"/>
        <v>89122.5</v>
      </c>
    </row>
    <row r="393" spans="1:12" ht="19.95" customHeight="1" thickBot="1" x14ac:dyDescent="0.35">
      <c r="A393" s="24">
        <v>20</v>
      </c>
      <c r="B393" s="25">
        <v>6.9444444444444434E-2</v>
      </c>
      <c r="C393" s="26" t="s">
        <v>6</v>
      </c>
      <c r="D393" s="26">
        <v>-66</v>
      </c>
      <c r="E393" s="26" t="s">
        <v>25</v>
      </c>
      <c r="F393" s="27">
        <v>2</v>
      </c>
      <c r="K393" s="28">
        <f>((Table1225[[#This Row],[SPOT PTS]]/2)*15)-65</f>
        <v>-560</v>
      </c>
      <c r="L393" s="28">
        <f t="shared" si="11"/>
        <v>88562.5</v>
      </c>
    </row>
    <row r="394" spans="1:12" ht="19.95" customHeight="1" x14ac:dyDescent="0.3">
      <c r="A394" s="13">
        <v>21</v>
      </c>
      <c r="B394" s="14">
        <v>0.3923611111111111</v>
      </c>
      <c r="C394" s="15" t="s">
        <v>6</v>
      </c>
      <c r="D394" s="15">
        <v>-72</v>
      </c>
      <c r="E394" s="15" t="s">
        <v>27</v>
      </c>
      <c r="F394" s="16">
        <v>1</v>
      </c>
      <c r="K394" s="28">
        <f>((Table1225[[#This Row],[SPOT PTS]]/2)*15)-65</f>
        <v>-605</v>
      </c>
      <c r="L394" s="28">
        <f t="shared" si="11"/>
        <v>87957.5</v>
      </c>
    </row>
    <row r="395" spans="1:12" ht="19.95" customHeight="1" thickBot="1" x14ac:dyDescent="0.35">
      <c r="A395" s="17">
        <v>21</v>
      </c>
      <c r="B395" s="18">
        <v>0.46180555555555558</v>
      </c>
      <c r="C395" s="19" t="s">
        <v>6</v>
      </c>
      <c r="D395" s="19">
        <v>-44</v>
      </c>
      <c r="E395" s="19" t="s">
        <v>27</v>
      </c>
      <c r="F395" s="20">
        <v>1</v>
      </c>
      <c r="K395" s="28">
        <f>((Table1225[[#This Row],[SPOT PTS]]/2)*15)-65</f>
        <v>-395</v>
      </c>
      <c r="L395" s="28">
        <f t="shared" si="11"/>
        <v>87562.5</v>
      </c>
    </row>
    <row r="396" spans="1:12" ht="19.95" customHeight="1" x14ac:dyDescent="0.3">
      <c r="A396" s="13">
        <v>22</v>
      </c>
      <c r="B396" s="14">
        <v>0.41319444444444442</v>
      </c>
      <c r="C396" s="15" t="s">
        <v>6</v>
      </c>
      <c r="D396" s="15">
        <v>-33</v>
      </c>
      <c r="E396" s="15" t="s">
        <v>29</v>
      </c>
      <c r="F396" s="16">
        <v>1</v>
      </c>
      <c r="K396" s="28">
        <f>((Table1225[[#This Row],[SPOT PTS]]/2)*15)-65</f>
        <v>-312.5</v>
      </c>
      <c r="L396" s="28">
        <f t="shared" si="11"/>
        <v>87250</v>
      </c>
    </row>
    <row r="397" spans="1:12" ht="19.95" customHeight="1" thickBot="1" x14ac:dyDescent="0.35">
      <c r="A397" s="17">
        <v>22</v>
      </c>
      <c r="B397" s="18">
        <v>0.50694444444444442</v>
      </c>
      <c r="C397" s="19" t="s">
        <v>9</v>
      </c>
      <c r="D397" s="19">
        <v>101</v>
      </c>
      <c r="E397" s="19" t="s">
        <v>29</v>
      </c>
      <c r="F397" s="20">
        <v>2</v>
      </c>
      <c r="K397" s="28">
        <f>((Table1225[[#This Row],[SPOT PTS]]/2)*15)-65</f>
        <v>692.5</v>
      </c>
      <c r="L397" s="28">
        <f t="shared" si="11"/>
        <v>87942.5</v>
      </c>
    </row>
    <row r="398" spans="1:12" ht="19.95" customHeight="1" x14ac:dyDescent="0.3">
      <c r="A398" s="13">
        <v>23</v>
      </c>
      <c r="B398" s="14">
        <v>0.3888888888888889</v>
      </c>
      <c r="C398" s="15" t="s">
        <v>6</v>
      </c>
      <c r="D398" s="15">
        <v>-80</v>
      </c>
      <c r="E398" s="15" t="s">
        <v>21</v>
      </c>
      <c r="F398" s="16">
        <v>1</v>
      </c>
      <c r="K398" s="28">
        <f>((Table1225[[#This Row],[SPOT PTS]]/2)*15)-65</f>
        <v>-665</v>
      </c>
      <c r="L398" s="28">
        <f t="shared" si="11"/>
        <v>87277.5</v>
      </c>
    </row>
    <row r="399" spans="1:12" ht="19.95" customHeight="1" x14ac:dyDescent="0.3">
      <c r="A399" s="21">
        <v>23</v>
      </c>
      <c r="B399" s="22">
        <v>0.53472222222222221</v>
      </c>
      <c r="C399" s="1" t="s">
        <v>6</v>
      </c>
      <c r="D399" s="1">
        <v>-29</v>
      </c>
      <c r="E399" s="1" t="s">
        <v>21</v>
      </c>
      <c r="F399" s="23">
        <v>2</v>
      </c>
      <c r="K399" s="28">
        <f>((Table1225[[#This Row],[SPOT PTS]]/2)*15)-65</f>
        <v>-282.5</v>
      </c>
      <c r="L399" s="28">
        <f t="shared" si="11"/>
        <v>86995</v>
      </c>
    </row>
    <row r="400" spans="1:12" ht="19.95" customHeight="1" thickBot="1" x14ac:dyDescent="0.35">
      <c r="A400" s="17">
        <v>23</v>
      </c>
      <c r="B400" s="18">
        <v>5.9027777777777783E-2</v>
      </c>
      <c r="C400" s="19" t="s">
        <v>9</v>
      </c>
      <c r="D400" s="19">
        <v>110</v>
      </c>
      <c r="E400" s="19" t="s">
        <v>21</v>
      </c>
      <c r="F400" s="20">
        <v>2</v>
      </c>
      <c r="K400" s="28">
        <f>((Table1225[[#This Row],[SPOT PTS]]/2)*15)-65</f>
        <v>760</v>
      </c>
      <c r="L400" s="28">
        <f t="shared" si="11"/>
        <v>87755</v>
      </c>
    </row>
    <row r="401" spans="1:12" ht="19.95" customHeight="1" x14ac:dyDescent="0.3">
      <c r="A401" s="13">
        <v>24</v>
      </c>
      <c r="B401" s="14">
        <v>0.47222222222222227</v>
      </c>
      <c r="C401" s="15" t="s">
        <v>6</v>
      </c>
      <c r="D401" s="15">
        <v>-50</v>
      </c>
      <c r="E401" s="15" t="s">
        <v>23</v>
      </c>
      <c r="F401" s="16">
        <v>1</v>
      </c>
      <c r="K401" s="28">
        <f>((Table1225[[#This Row],[SPOT PTS]]/2)*15)-65</f>
        <v>-440</v>
      </c>
      <c r="L401" s="28">
        <f t="shared" si="11"/>
        <v>87315</v>
      </c>
    </row>
    <row r="402" spans="1:12" ht="19.95" customHeight="1" thickBot="1" x14ac:dyDescent="0.35">
      <c r="A402" s="17">
        <v>24</v>
      </c>
      <c r="B402" s="18">
        <v>0.1111111111111111</v>
      </c>
      <c r="C402" s="19" t="s">
        <v>9</v>
      </c>
      <c r="D402" s="19">
        <v>168</v>
      </c>
      <c r="E402" s="19" t="s">
        <v>23</v>
      </c>
      <c r="F402" s="20">
        <v>2</v>
      </c>
      <c r="K402" s="28">
        <f>((Table1225[[#This Row],[SPOT PTS]]/2)*15)-65</f>
        <v>1195</v>
      </c>
      <c r="L402" s="28">
        <f t="shared" si="11"/>
        <v>88510</v>
      </c>
    </row>
    <row r="403" spans="1:12" ht="19.95" customHeight="1" x14ac:dyDescent="0.3">
      <c r="A403" s="13">
        <v>27</v>
      </c>
      <c r="B403" s="14">
        <v>0.41319444444444442</v>
      </c>
      <c r="C403" s="15" t="s">
        <v>6</v>
      </c>
      <c r="D403" s="15">
        <v>-80</v>
      </c>
      <c r="E403" s="15" t="s">
        <v>25</v>
      </c>
      <c r="F403" s="16">
        <v>1</v>
      </c>
      <c r="K403" s="28">
        <f>((Table1225[[#This Row],[SPOT PTS]]/2)*15)-65</f>
        <v>-665</v>
      </c>
      <c r="L403" s="28">
        <f t="shared" si="11"/>
        <v>87845</v>
      </c>
    </row>
    <row r="404" spans="1:12" ht="19.95" customHeight="1" x14ac:dyDescent="0.3">
      <c r="A404" s="21">
        <v>27</v>
      </c>
      <c r="B404" s="22">
        <v>0.47222222222222227</v>
      </c>
      <c r="C404" s="1" t="s">
        <v>6</v>
      </c>
      <c r="D404" s="1">
        <v>-32</v>
      </c>
      <c r="E404" s="1" t="s">
        <v>25</v>
      </c>
      <c r="F404" s="23">
        <v>1</v>
      </c>
      <c r="K404" s="28">
        <f>((Table1225[[#This Row],[SPOT PTS]]/2)*15)-65</f>
        <v>-305</v>
      </c>
      <c r="L404" s="28">
        <f t="shared" si="11"/>
        <v>87540</v>
      </c>
    </row>
    <row r="405" spans="1:12" ht="19.95" customHeight="1" thickBot="1" x14ac:dyDescent="0.35">
      <c r="A405" s="17">
        <v>27</v>
      </c>
      <c r="B405" s="18">
        <v>0.53819444444444442</v>
      </c>
      <c r="C405" s="19" t="s">
        <v>6</v>
      </c>
      <c r="D405" s="19">
        <v>-49</v>
      </c>
      <c r="E405" s="19" t="s">
        <v>25</v>
      </c>
      <c r="F405" s="20">
        <v>2</v>
      </c>
      <c r="K405" s="28">
        <f>((Table1225[[#This Row],[SPOT PTS]]/2)*15)-65</f>
        <v>-432.5</v>
      </c>
      <c r="L405" s="28">
        <f t="shared" si="11"/>
        <v>87107.5</v>
      </c>
    </row>
    <row r="406" spans="1:12" ht="19.95" customHeight="1" thickBot="1" x14ac:dyDescent="0.35">
      <c r="A406" s="24">
        <v>28</v>
      </c>
      <c r="B406" s="25">
        <v>0.40277777777777773</v>
      </c>
      <c r="C406" s="26" t="s">
        <v>9</v>
      </c>
      <c r="D406" s="26">
        <v>159</v>
      </c>
      <c r="E406" s="26" t="s">
        <v>27</v>
      </c>
      <c r="F406" s="27">
        <v>1</v>
      </c>
      <c r="K406" s="28">
        <f>((Table1225[[#This Row],[SPOT PTS]]/2)*15)-65</f>
        <v>1127.5</v>
      </c>
      <c r="L406" s="28">
        <f t="shared" si="11"/>
        <v>88235</v>
      </c>
    </row>
    <row r="407" spans="1:12" ht="19.95" customHeight="1" thickBot="1" x14ac:dyDescent="0.35">
      <c r="A407" s="24">
        <v>29</v>
      </c>
      <c r="B407" s="25">
        <v>0.41319444444444442</v>
      </c>
      <c r="C407" s="26" t="s">
        <v>9</v>
      </c>
      <c r="D407" s="26">
        <v>95</v>
      </c>
      <c r="E407" s="26" t="s">
        <v>29</v>
      </c>
      <c r="F407" s="27">
        <v>1</v>
      </c>
      <c r="K407" s="28">
        <f>((Table1225[[#This Row],[SPOT PTS]]/2)*15)-65</f>
        <v>647.5</v>
      </c>
      <c r="L407" s="28">
        <f t="shared" si="11"/>
        <v>88882.5</v>
      </c>
    </row>
    <row r="408" spans="1:12" ht="19.95" customHeight="1" thickBot="1" x14ac:dyDescent="0.35">
      <c r="A408" s="24">
        <v>30</v>
      </c>
      <c r="B408" s="25">
        <v>7.2916666666666671E-2</v>
      </c>
      <c r="C408" s="26" t="s">
        <v>6</v>
      </c>
      <c r="D408" s="26">
        <v>-31</v>
      </c>
      <c r="E408" s="26" t="s">
        <v>21</v>
      </c>
      <c r="F408" s="27">
        <v>2</v>
      </c>
      <c r="K408" s="28">
        <f>((Table1225[[#This Row],[SPOT PTS]]/2)*15)-65</f>
        <v>-297.5</v>
      </c>
      <c r="L408" s="28">
        <f t="shared" si="11"/>
        <v>88585</v>
      </c>
    </row>
    <row r="409" spans="1:12" ht="19.95" customHeight="1" x14ac:dyDescent="0.3">
      <c r="A409" s="13">
        <v>31</v>
      </c>
      <c r="B409" s="14">
        <v>0.40625</v>
      </c>
      <c r="C409" s="15" t="s">
        <v>6</v>
      </c>
      <c r="D409" s="15">
        <v>-54</v>
      </c>
      <c r="E409" s="15" t="s">
        <v>23</v>
      </c>
      <c r="F409" s="16">
        <v>1</v>
      </c>
      <c r="K409" s="28">
        <f>((Table1225[[#This Row],[SPOT PTS]]/2)*15)-65</f>
        <v>-470</v>
      </c>
      <c r="L409" s="28">
        <f t="shared" si="11"/>
        <v>88115</v>
      </c>
    </row>
    <row r="410" spans="1:12" ht="19.95" customHeight="1" thickBot="1" x14ac:dyDescent="0.35">
      <c r="A410" s="17">
        <v>31</v>
      </c>
      <c r="B410" s="18">
        <v>0.4548611111111111</v>
      </c>
      <c r="C410" s="19" t="s">
        <v>6</v>
      </c>
      <c r="D410" s="19">
        <v>-23</v>
      </c>
      <c r="E410" s="19" t="s">
        <v>23</v>
      </c>
      <c r="F410" s="20">
        <v>1</v>
      </c>
      <c r="K410" s="28">
        <f>((Table1225[[#This Row],[SPOT PTS]]/2)*15)-65</f>
        <v>-237.5</v>
      </c>
      <c r="L410" s="28">
        <f t="shared" si="11"/>
        <v>87877.5</v>
      </c>
    </row>
  </sheetData>
  <mergeCells count="12">
    <mergeCell ref="A209:F209"/>
    <mergeCell ref="A243:F243"/>
    <mergeCell ref="A279:F279"/>
    <mergeCell ref="A309:F309"/>
    <mergeCell ref="A344:F344"/>
    <mergeCell ref="A370:F370"/>
    <mergeCell ref="A1:F1"/>
    <mergeCell ref="A29:F29"/>
    <mergeCell ref="A65:F65"/>
    <mergeCell ref="A104:F104"/>
    <mergeCell ref="A138:F138"/>
    <mergeCell ref="A172:F172"/>
  </mergeCells>
  <conditionalFormatting sqref="A1:F24 B25:F25 A26:F32 A33:A34 C33:F34 A35:F59 C60:F60 A60:A61 B61:F61 A62:F66 A67 C67:F67 A68:F173 B174:F174 A175:F187 B188:F188 A189:F342 B343:F343 A344:F353 B354:F354 A355:F1048576">
    <cfRule type="containsText" dxfId="95" priority="3" operator="containsText" text="TARGET">
      <formula>NOT(ISERROR(SEARCH("TARGET",A1)))</formula>
    </cfRule>
    <cfRule type="containsText" dxfId="94" priority="4" operator="containsText" text="STOPLOSS">
      <formula>NOT(ISERROR(SEARCH("STOPLOSS",A1)))</formula>
    </cfRule>
  </conditionalFormatting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C3:C28 C31:C48 C50:C64 C67:C103 C106:C137 C140:C171 C174:C208 C211:C242 C245:C278 C281:C308 C311:C343 C346:C369 C372:C1048576" xr:uid="{BF57F09A-135C-4B53-BEC3-285B42DC5170}">
      <formula1>"STOPLOSS,TARGET"</formula1>
    </dataValidation>
    <dataValidation type="list" allowBlank="1" showInputMessage="1" showErrorMessage="1" sqref="C2 C30 C66 C105 C139 C173 C210 C244 C280 C310 C345 C371" xr:uid="{B1551B49-DA92-46FF-B42B-B7F828E9AB6D}">
      <formula1>"Stoploss, Target"</formula1>
    </dataValidation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MONTHLY SIMPLE</vt:lpstr>
      <vt:lpstr>MONTHLY COMPUND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Dhairyasen Deshmukh</dc:creator>
  <cp:lastModifiedBy>Dhairyasen Deshmukh</cp:lastModifiedBy>
  <dcterms:created xsi:type="dcterms:W3CDTF">2024-01-16T05:16:31Z</dcterms:created>
  <dcterms:modified xsi:type="dcterms:W3CDTF">2024-01-27T02:25:21Z</dcterms:modified>
</cp:coreProperties>
</file>