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DHAIRYASEN\STOCK MARKET AND INVESTMENTS\"/>
    </mc:Choice>
  </mc:AlternateContent>
  <xr:revisionPtr revIDLastSave="0" documentId="13_ncr:1_{7CAF9809-AA01-443C-A4F7-859E4598F67A}" xr6:coauthVersionLast="47" xr6:coauthVersionMax="47" xr10:uidLastSave="{00000000-0000-0000-0000-000000000000}"/>
  <bookViews>
    <workbookView xWindow="-108" yWindow="-108" windowWidth="23256" windowHeight="12456" activeTab="1" xr2:uid="{25AE0F24-3E68-4F68-8C00-D7282A84E48B}"/>
  </bookViews>
  <sheets>
    <sheet name="OVERALL" sheetId="1" r:id="rId1"/>
    <sheet name="MONTHLY-SIMPLE" sheetId="2" r:id="rId2"/>
    <sheet name="MONTHLY-COMPOU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B19" i="1"/>
  <c r="B18" i="1"/>
  <c r="J19" i="1"/>
  <c r="J18" i="1"/>
  <c r="J17" i="1"/>
  <c r="J16" i="1"/>
  <c r="J14" i="1"/>
  <c r="J13" i="1"/>
  <c r="J12" i="1"/>
  <c r="J11" i="1"/>
  <c r="J10" i="1"/>
  <c r="J9" i="1"/>
  <c r="J15" i="1"/>
  <c r="J8" i="1"/>
  <c r="I408" i="2"/>
  <c r="I377" i="2"/>
  <c r="I337" i="2"/>
  <c r="I293" i="2"/>
  <c r="I296" i="2" s="1"/>
  <c r="I2" i="2"/>
  <c r="I3" i="2" s="1"/>
  <c r="H8" i="1" s="1"/>
  <c r="C9" i="1"/>
  <c r="C8" i="1"/>
  <c r="C12" i="1"/>
  <c r="C11" i="1"/>
  <c r="C10" i="1"/>
  <c r="D10" i="1" s="1"/>
  <c r="B9" i="1"/>
  <c r="B8" i="1"/>
  <c r="B12" i="1"/>
  <c r="B11" i="1"/>
  <c r="B10" i="1"/>
  <c r="K2" i="1"/>
  <c r="K1" i="1"/>
  <c r="I414" i="3"/>
  <c r="I383" i="3"/>
  <c r="I343" i="3"/>
  <c r="I299" i="3"/>
  <c r="I263" i="3"/>
  <c r="I216" i="3"/>
  <c r="I182" i="3"/>
  <c r="I140" i="3"/>
  <c r="I105" i="3"/>
  <c r="I68" i="3"/>
  <c r="I38" i="3"/>
  <c r="I8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I413" i="3"/>
  <c r="K412" i="3"/>
  <c r="I412" i="3"/>
  <c r="K411" i="3"/>
  <c r="I411" i="3"/>
  <c r="K410" i="3"/>
  <c r="I410" i="3"/>
  <c r="I415" i="3" s="1"/>
  <c r="K409" i="3"/>
  <c r="L409" i="3" s="1"/>
  <c r="I409" i="3"/>
  <c r="I408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I382" i="3"/>
  <c r="K381" i="3"/>
  <c r="I381" i="3"/>
  <c r="K380" i="3"/>
  <c r="I380" i="3"/>
  <c r="K379" i="3"/>
  <c r="I379" i="3"/>
  <c r="I384" i="3" s="1"/>
  <c r="K378" i="3"/>
  <c r="L378" i="3" s="1"/>
  <c r="L379" i="3" s="1"/>
  <c r="I378" i="3"/>
  <c r="I377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I342" i="3"/>
  <c r="K341" i="3"/>
  <c r="I341" i="3"/>
  <c r="K340" i="3"/>
  <c r="L340" i="3" s="1"/>
  <c r="I340" i="3"/>
  <c r="K339" i="3"/>
  <c r="I339" i="3"/>
  <c r="I344" i="3" s="1"/>
  <c r="K338" i="3"/>
  <c r="L338" i="3" s="1"/>
  <c r="L339" i="3" s="1"/>
  <c r="I338" i="3"/>
  <c r="I337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I298" i="3"/>
  <c r="K297" i="3"/>
  <c r="I297" i="3"/>
  <c r="K296" i="3"/>
  <c r="L295" i="3"/>
  <c r="L296" i="3" s="1"/>
  <c r="L297" i="3" s="1"/>
  <c r="L298" i="3" s="1"/>
  <c r="L299" i="3" s="1"/>
  <c r="L300" i="3" s="1"/>
  <c r="K295" i="3"/>
  <c r="I295" i="3"/>
  <c r="L294" i="3"/>
  <c r="K294" i="3"/>
  <c r="I293" i="3"/>
  <c r="I294" i="3" s="1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I262" i="3"/>
  <c r="K261" i="3"/>
  <c r="I261" i="3"/>
  <c r="K260" i="3"/>
  <c r="K259" i="3"/>
  <c r="I259" i="3"/>
  <c r="K258" i="3"/>
  <c r="K257" i="3"/>
  <c r="L257" i="3" s="1"/>
  <c r="I257" i="3"/>
  <c r="I260" i="3" s="1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I215" i="3"/>
  <c r="K214" i="3"/>
  <c r="I214" i="3"/>
  <c r="K213" i="3"/>
  <c r="I213" i="3"/>
  <c r="K212" i="3"/>
  <c r="I212" i="3"/>
  <c r="I217" i="3" s="1"/>
  <c r="K211" i="3"/>
  <c r="I211" i="3"/>
  <c r="L210" i="3"/>
  <c r="L211" i="3" s="1"/>
  <c r="L212" i="3" s="1"/>
  <c r="L213" i="3" s="1"/>
  <c r="L214" i="3" s="1"/>
  <c r="L215" i="3" s="1"/>
  <c r="L216" i="3" s="1"/>
  <c r="L217" i="3" s="1"/>
  <c r="K210" i="3"/>
  <c r="I210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I181" i="3"/>
  <c r="K180" i="3"/>
  <c r="I180" i="3"/>
  <c r="K179" i="3"/>
  <c r="K178" i="3"/>
  <c r="I178" i="3"/>
  <c r="I183" i="3" s="1"/>
  <c r="K177" i="3"/>
  <c r="I177" i="3"/>
  <c r="L176" i="3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K176" i="3"/>
  <c r="I176" i="3"/>
  <c r="I179" i="3" s="1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I139" i="3"/>
  <c r="K138" i="3"/>
  <c r="I138" i="3"/>
  <c r="K137" i="3"/>
  <c r="K136" i="3"/>
  <c r="I136" i="3"/>
  <c r="K135" i="3"/>
  <c r="K134" i="3"/>
  <c r="L134" i="3" s="1"/>
  <c r="I134" i="3"/>
  <c r="I135" i="3" s="1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I104" i="3"/>
  <c r="K103" i="3"/>
  <c r="I103" i="3"/>
  <c r="K102" i="3"/>
  <c r="K101" i="3"/>
  <c r="I101" i="3"/>
  <c r="K100" i="3"/>
  <c r="L99" i="3"/>
  <c r="L100" i="3" s="1"/>
  <c r="L101" i="3" s="1"/>
  <c r="L102" i="3" s="1"/>
  <c r="L103" i="3" s="1"/>
  <c r="L104" i="3" s="1"/>
  <c r="L105" i="3" s="1"/>
  <c r="L106" i="3" s="1"/>
  <c r="K99" i="3"/>
  <c r="I99" i="3"/>
  <c r="I100" i="3" s="1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I67" i="3"/>
  <c r="K66" i="3"/>
  <c r="I66" i="3"/>
  <c r="K65" i="3"/>
  <c r="K64" i="3"/>
  <c r="I64" i="3"/>
  <c r="I69" i="3" s="1"/>
  <c r="K63" i="3"/>
  <c r="L62" i="3"/>
  <c r="L63" i="3" s="1"/>
  <c r="L64" i="3" s="1"/>
  <c r="L65" i="3" s="1"/>
  <c r="L66" i="3" s="1"/>
  <c r="L67" i="3" s="1"/>
  <c r="L68" i="3" s="1"/>
  <c r="L69" i="3" s="1"/>
  <c r="K62" i="3"/>
  <c r="I62" i="3"/>
  <c r="I65" i="3" s="1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I37" i="3"/>
  <c r="K36" i="3"/>
  <c r="I36" i="3"/>
  <c r="K35" i="3"/>
  <c r="K34" i="3"/>
  <c r="I34" i="3"/>
  <c r="K33" i="3"/>
  <c r="K32" i="3"/>
  <c r="L32" i="3" s="1"/>
  <c r="I32" i="3"/>
  <c r="I33" i="3" s="1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I7" i="3"/>
  <c r="K6" i="3"/>
  <c r="I6" i="3"/>
  <c r="K5" i="3"/>
  <c r="K4" i="3"/>
  <c r="I4" i="3"/>
  <c r="K3" i="3"/>
  <c r="L3" i="3" s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I2" i="3"/>
  <c r="I5" i="3" s="1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09" i="2"/>
  <c r="L409" i="2" s="1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378" i="2"/>
  <c r="L378" i="2" s="1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38" i="2"/>
  <c r="L338" i="2" s="1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294" i="2"/>
  <c r="L294" i="2" s="1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57" i="2"/>
  <c r="L257" i="2" s="1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10" i="2"/>
  <c r="L210" i="2" s="1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176" i="2"/>
  <c r="L176" i="2" s="1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34" i="2"/>
  <c r="L134" i="2" s="1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L99" i="2"/>
  <c r="K99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L62" i="2"/>
  <c r="K62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34" i="2"/>
  <c r="K35" i="2"/>
  <c r="K36" i="2"/>
  <c r="K37" i="2"/>
  <c r="K38" i="2"/>
  <c r="K39" i="2"/>
  <c r="K40" i="2"/>
  <c r="K41" i="2"/>
  <c r="K33" i="2"/>
  <c r="K32" i="2"/>
  <c r="L32" i="2" s="1"/>
  <c r="K3" i="2"/>
  <c r="L3" i="2" s="1"/>
  <c r="I32" i="2"/>
  <c r="I35" i="2" s="1"/>
  <c r="I215" i="2"/>
  <c r="I14" i="1" s="1"/>
  <c r="I214" i="2"/>
  <c r="I212" i="2"/>
  <c r="I210" i="2"/>
  <c r="I213" i="2" s="1"/>
  <c r="I181" i="2"/>
  <c r="I13" i="1" s="1"/>
  <c r="I180" i="2"/>
  <c r="I178" i="2"/>
  <c r="I176" i="2"/>
  <c r="I177" i="2" s="1"/>
  <c r="H13" i="1" s="1"/>
  <c r="I139" i="2"/>
  <c r="I12" i="1" s="1"/>
  <c r="I138" i="2"/>
  <c r="I136" i="2"/>
  <c r="I134" i="2"/>
  <c r="I137" i="2" s="1"/>
  <c r="I141" i="2" s="1"/>
  <c r="I104" i="2"/>
  <c r="I11" i="1" s="1"/>
  <c r="I103" i="2"/>
  <c r="I101" i="2"/>
  <c r="I99" i="2"/>
  <c r="I102" i="2" s="1"/>
  <c r="I67" i="2"/>
  <c r="I10" i="1" s="1"/>
  <c r="I66" i="2"/>
  <c r="I64" i="2"/>
  <c r="I62" i="2"/>
  <c r="I65" i="2" s="1"/>
  <c r="I37" i="2"/>
  <c r="I9" i="1" s="1"/>
  <c r="I36" i="2"/>
  <c r="I34" i="2"/>
  <c r="I298" i="2"/>
  <c r="I16" i="1" s="1"/>
  <c r="I297" i="2"/>
  <c r="I295" i="2"/>
  <c r="I294" i="2"/>
  <c r="H16" i="1" s="1"/>
  <c r="I342" i="2"/>
  <c r="I17" i="1" s="1"/>
  <c r="I341" i="2"/>
  <c r="I340" i="2"/>
  <c r="I339" i="2"/>
  <c r="I338" i="2"/>
  <c r="H17" i="1" s="1"/>
  <c r="I413" i="2"/>
  <c r="I19" i="1" s="1"/>
  <c r="I412" i="2"/>
  <c r="I411" i="2"/>
  <c r="I410" i="2"/>
  <c r="I409" i="2"/>
  <c r="H19" i="1" s="1"/>
  <c r="I382" i="2"/>
  <c r="I18" i="1" s="1"/>
  <c r="I381" i="2"/>
  <c r="I379" i="2"/>
  <c r="I378" i="2"/>
  <c r="H18" i="1" s="1"/>
  <c r="I262" i="2"/>
  <c r="I15" i="1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I7" i="2"/>
  <c r="I8" i="1" s="1"/>
  <c r="I261" i="2"/>
  <c r="I6" i="2"/>
  <c r="I4" i="2"/>
  <c r="I259" i="2"/>
  <c r="I257" i="2"/>
  <c r="I260" i="2" s="1"/>
  <c r="I100" i="2" l="1"/>
  <c r="H11" i="1" s="1"/>
  <c r="I106" i="2"/>
  <c r="K11" i="1" s="1"/>
  <c r="I5" i="2"/>
  <c r="I179" i="2"/>
  <c r="I415" i="2"/>
  <c r="I183" i="2"/>
  <c r="I182" i="2" s="1"/>
  <c r="I344" i="2"/>
  <c r="K17" i="1" s="1"/>
  <c r="I63" i="2"/>
  <c r="H10" i="1" s="1"/>
  <c r="L258" i="2"/>
  <c r="D12" i="1"/>
  <c r="L100" i="2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D8" i="1"/>
  <c r="E8" i="1" s="1"/>
  <c r="D9" i="1"/>
  <c r="E9" i="1" s="1"/>
  <c r="L63" i="2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C2" i="1"/>
  <c r="L410" i="2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I140" i="2"/>
  <c r="K12" i="1"/>
  <c r="I105" i="2"/>
  <c r="I69" i="2"/>
  <c r="I217" i="2"/>
  <c r="C3" i="1"/>
  <c r="I135" i="2"/>
  <c r="H12" i="1" s="1"/>
  <c r="L33" i="2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339" i="2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211" i="2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I211" i="2"/>
  <c r="H14" i="1" s="1"/>
  <c r="I300" i="2"/>
  <c r="K16" i="1" s="1"/>
  <c r="L177" i="2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D11" i="1"/>
  <c r="L135" i="2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379" i="2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I414" i="2"/>
  <c r="K19" i="1"/>
  <c r="E12" i="1"/>
  <c r="C13" i="1"/>
  <c r="B3" i="1" s="1"/>
  <c r="E10" i="1"/>
  <c r="B13" i="1"/>
  <c r="B2" i="1" s="1"/>
  <c r="I9" i="2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218" i="3"/>
  <c r="L107" i="3"/>
  <c r="L70" i="3"/>
  <c r="L33" i="3"/>
  <c r="L34" i="3" s="1"/>
  <c r="L35" i="3" s="1"/>
  <c r="L36" i="3" s="1"/>
  <c r="L37" i="3" s="1"/>
  <c r="L38" i="3" s="1"/>
  <c r="L39" i="3" s="1"/>
  <c r="L40" i="3" s="1"/>
  <c r="L41" i="3" s="1"/>
  <c r="L42" i="3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108" i="3"/>
  <c r="L109" i="3" s="1"/>
  <c r="L341" i="3"/>
  <c r="L342" i="3" s="1"/>
  <c r="L343" i="3" s="1"/>
  <c r="L344" i="3" s="1"/>
  <c r="L345" i="3" s="1"/>
  <c r="L346" i="3" s="1"/>
  <c r="L347" i="3" s="1"/>
  <c r="L348" i="3" s="1"/>
  <c r="L349" i="3" s="1"/>
  <c r="L350" i="3" s="1"/>
  <c r="L351" i="3" s="1"/>
  <c r="L352" i="3" s="1"/>
  <c r="L353" i="3" s="1"/>
  <c r="L354" i="3" s="1"/>
  <c r="L355" i="3" s="1"/>
  <c r="L356" i="3" s="1"/>
  <c r="L357" i="3" s="1"/>
  <c r="L358" i="3" s="1"/>
  <c r="L359" i="3" s="1"/>
  <c r="L360" i="3" s="1"/>
  <c r="L361" i="3" s="1"/>
  <c r="L362" i="3" s="1"/>
  <c r="L363" i="3" s="1"/>
  <c r="L364" i="3" s="1"/>
  <c r="L365" i="3" s="1"/>
  <c r="L366" i="3" s="1"/>
  <c r="L367" i="3" s="1"/>
  <c r="L368" i="3" s="1"/>
  <c r="L369" i="3" s="1"/>
  <c r="L370" i="3" s="1"/>
  <c r="L371" i="3" s="1"/>
  <c r="L372" i="3" s="1"/>
  <c r="L373" i="3" s="1"/>
  <c r="L374" i="3" s="1"/>
  <c r="L375" i="3" s="1"/>
  <c r="L219" i="3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110" i="3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258" i="3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410" i="3"/>
  <c r="L411" i="3" s="1"/>
  <c r="L412" i="3" s="1"/>
  <c r="L413" i="3" s="1"/>
  <c r="L414" i="3" s="1"/>
  <c r="L415" i="3" s="1"/>
  <c r="L416" i="3" s="1"/>
  <c r="L417" i="3" s="1"/>
  <c r="L418" i="3" s="1"/>
  <c r="L419" i="3" s="1"/>
  <c r="L420" i="3" s="1"/>
  <c r="L421" i="3" s="1"/>
  <c r="L422" i="3" s="1"/>
  <c r="L423" i="3" s="1"/>
  <c r="L424" i="3" s="1"/>
  <c r="L425" i="3" s="1"/>
  <c r="L426" i="3" s="1"/>
  <c r="L427" i="3" s="1"/>
  <c r="L428" i="3" s="1"/>
  <c r="L429" i="3" s="1"/>
  <c r="L430" i="3" s="1"/>
  <c r="L431" i="3" s="1"/>
  <c r="L432" i="3" s="1"/>
  <c r="L433" i="3" s="1"/>
  <c r="L434" i="3" s="1"/>
  <c r="L435" i="3" s="1"/>
  <c r="L436" i="3" s="1"/>
  <c r="I9" i="3"/>
  <c r="I264" i="3"/>
  <c r="L301" i="3"/>
  <c r="I106" i="3"/>
  <c r="L135" i="3"/>
  <c r="L136" i="3" s="1"/>
  <c r="L137" i="3" s="1"/>
  <c r="I141" i="3"/>
  <c r="L138" i="3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302" i="3"/>
  <c r="L303" i="3" s="1"/>
  <c r="L304" i="3" s="1"/>
  <c r="L305" i="3" s="1"/>
  <c r="L306" i="3" s="1"/>
  <c r="L307" i="3" s="1"/>
  <c r="L308" i="3" s="1"/>
  <c r="L309" i="3" s="1"/>
  <c r="L310" i="3" s="1"/>
  <c r="L311" i="3" s="1"/>
  <c r="L312" i="3" s="1"/>
  <c r="L313" i="3" s="1"/>
  <c r="L314" i="3" s="1"/>
  <c r="L315" i="3" s="1"/>
  <c r="L316" i="3" s="1"/>
  <c r="L317" i="3" s="1"/>
  <c r="L318" i="3" s="1"/>
  <c r="L319" i="3" s="1"/>
  <c r="L320" i="3" s="1"/>
  <c r="L321" i="3" s="1"/>
  <c r="L322" i="3" s="1"/>
  <c r="L323" i="3" s="1"/>
  <c r="L324" i="3" s="1"/>
  <c r="L325" i="3" s="1"/>
  <c r="L326" i="3" s="1"/>
  <c r="L327" i="3" s="1"/>
  <c r="L328" i="3" s="1"/>
  <c r="L329" i="3" s="1"/>
  <c r="L330" i="3" s="1"/>
  <c r="L331" i="3" s="1"/>
  <c r="L332" i="3" s="1"/>
  <c r="L333" i="3" s="1"/>
  <c r="L334" i="3" s="1"/>
  <c r="L335" i="3" s="1"/>
  <c r="L380" i="3"/>
  <c r="L71" i="3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381" i="3"/>
  <c r="L382" i="3" s="1"/>
  <c r="L383" i="3" s="1"/>
  <c r="L384" i="3" s="1"/>
  <c r="L385" i="3" s="1"/>
  <c r="L386" i="3" s="1"/>
  <c r="L387" i="3" s="1"/>
  <c r="L388" i="3" s="1"/>
  <c r="L389" i="3" s="1"/>
  <c r="L390" i="3" s="1"/>
  <c r="L391" i="3" s="1"/>
  <c r="L392" i="3" s="1"/>
  <c r="L393" i="3" s="1"/>
  <c r="L394" i="3" s="1"/>
  <c r="L395" i="3" s="1"/>
  <c r="L396" i="3" s="1"/>
  <c r="L397" i="3" s="1"/>
  <c r="L398" i="3" s="1"/>
  <c r="L399" i="3" s="1"/>
  <c r="L400" i="3" s="1"/>
  <c r="L401" i="3" s="1"/>
  <c r="L402" i="3" s="1"/>
  <c r="L403" i="3" s="1"/>
  <c r="L404" i="3" s="1"/>
  <c r="L405" i="3" s="1"/>
  <c r="L406" i="3" s="1"/>
  <c r="I102" i="3"/>
  <c r="I296" i="3"/>
  <c r="I300" i="3" s="1"/>
  <c r="I63" i="3"/>
  <c r="I35" i="3"/>
  <c r="I39" i="3" s="1"/>
  <c r="I137" i="3"/>
  <c r="I258" i="3"/>
  <c r="I3" i="3"/>
  <c r="L295" i="2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259" i="2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I39" i="2"/>
  <c r="I33" i="2"/>
  <c r="H9" i="1" s="1"/>
  <c r="I380" i="2"/>
  <c r="I384" i="2" s="1"/>
  <c r="I258" i="2"/>
  <c r="H15" i="1" s="1"/>
  <c r="I264" i="2"/>
  <c r="K13" i="1" l="1"/>
  <c r="I343" i="2"/>
  <c r="D2" i="1"/>
  <c r="D13" i="1"/>
  <c r="D3" i="1"/>
  <c r="I299" i="2"/>
  <c r="C4" i="1"/>
  <c r="H1" i="1" s="1"/>
  <c r="H2" i="1" s="1"/>
  <c r="I216" i="2"/>
  <c r="K14" i="1"/>
  <c r="I68" i="2"/>
  <c r="K10" i="1"/>
  <c r="I263" i="2"/>
  <c r="K15" i="1"/>
  <c r="I38" i="2"/>
  <c r="K9" i="1"/>
  <c r="E11" i="1"/>
  <c r="I383" i="2"/>
  <c r="K18" i="1"/>
  <c r="I8" i="2"/>
  <c r="K8" i="1"/>
  <c r="B4" i="1"/>
  <c r="E2" i="1" l="1"/>
  <c r="D4" i="1"/>
  <c r="L2" i="1"/>
  <c r="L1" i="1"/>
  <c r="E3" i="1"/>
  <c r="H3" i="1"/>
  <c r="H4" i="1" s="1"/>
  <c r="H5" i="1" s="1"/>
</calcChain>
</file>

<file path=xl/sharedStrings.xml><?xml version="1.0" encoding="utf-8"?>
<sst xmlns="http://schemas.openxmlformats.org/spreadsheetml/2006/main" count="2051" uniqueCount="64">
  <si>
    <t>DATE</t>
  </si>
  <si>
    <t>TIME</t>
  </si>
  <si>
    <t>SPOT PTS</t>
  </si>
  <si>
    <t>OUTCOME</t>
  </si>
  <si>
    <t>DAY</t>
  </si>
  <si>
    <t>TRADE</t>
  </si>
  <si>
    <t>WIN RATE</t>
  </si>
  <si>
    <t>PNL</t>
  </si>
  <si>
    <t>BROKERAGE</t>
  </si>
  <si>
    <t>SL PTS TOTAL</t>
  </si>
  <si>
    <t>TARGET PTS TOTAL</t>
  </si>
  <si>
    <t>CAPITAL GAIN</t>
  </si>
  <si>
    <t>NET PNL</t>
  </si>
  <si>
    <t>O-COUNT</t>
  </si>
  <si>
    <t>SPOT PTS TOTAL</t>
  </si>
  <si>
    <t>AVG PER TRADE</t>
  </si>
  <si>
    <t>STOPLOSS</t>
  </si>
  <si>
    <t>TARGET</t>
  </si>
  <si>
    <t>GRAND TOTAL</t>
  </si>
  <si>
    <t>GRANDTOTAL</t>
  </si>
  <si>
    <t>THU</t>
  </si>
  <si>
    <t>FRI</t>
  </si>
  <si>
    <t>MON</t>
  </si>
  <si>
    <t>TUE</t>
  </si>
  <si>
    <t>WED</t>
  </si>
  <si>
    <t>PREMIUM PTS</t>
  </si>
  <si>
    <t>AMOUNT</t>
  </si>
  <si>
    <t>NET AMOUNT</t>
  </si>
  <si>
    <t>PROFIT %</t>
  </si>
  <si>
    <t>1ST HALF</t>
  </si>
  <si>
    <t>2ND HALF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</si>
  <si>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</si>
  <si>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</si>
  <si>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</si>
  <si>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</si>
  <si>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</si>
  <si>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</si>
  <si>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</si>
  <si>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</si>
  <si>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</si>
  <si>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</si>
  <si>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</si>
  <si>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</si>
  <si>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</si>
  <si>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 %</t>
  </si>
  <si>
    <t>R:R</t>
  </si>
  <si>
    <t>W/L RATIO</t>
  </si>
  <si>
    <t>RANGE</t>
  </si>
  <si>
    <t>Stoploss</t>
  </si>
  <si>
    <t>JANUARY</t>
  </si>
  <si>
    <t>Target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</si>
  <si>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</si>
  <si>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</si>
  <si>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</si>
  <si>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</si>
  <si>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</si>
  <si>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</si>
  <si>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</si>
  <si>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</si>
  <si>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</si>
  <si>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</si>
  <si>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CAP (G/L)</t>
  </si>
  <si>
    <t>THU TAR RANGE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</si>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</sst>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&quot;₹&quot;\ #,##0.00"/>
    <numFmt numFmtId="165" formatCode="_ [$₹-4009]\ * #,##0.00_ ;_ [$₹-4009]\ * \-#,##0.00_ ;_ [$₹-4009]\ * &quot;-&quot;??_ ;_ @_ 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20" fontId="0" fillId="6" borderId="12" xfId="0" applyNumberForma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0" fontId="0" fillId="6" borderId="3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6" borderId="11" xfId="0" applyFill="1" applyBorder="1" applyAlignment="1">
      <alignment horizontal="center"/>
    </xf>
    <xf numFmtId="20" fontId="0" fillId="6" borderId="9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7" borderId="12" xfId="0" applyFill="1" applyBorder="1" applyAlignment="1">
      <alignment horizontal="center"/>
    </xf>
    <xf numFmtId="20" fontId="0" fillId="7" borderId="12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20" fontId="0" fillId="7" borderId="3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20" fontId="0" fillId="7" borderId="9" xfId="0" applyNumberForma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20" fontId="0" fillId="7" borderId="7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44" fontId="0" fillId="0" borderId="1" xfId="2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9" fontId="0" fillId="0" borderId="17" xfId="1" applyFont="1" applyBorder="1" applyAlignment="1">
      <alignment horizontal="center"/>
    </xf>
    <xf numFmtId="9" fontId="0" fillId="0" borderId="0" xfId="1" applyFont="1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7" xfId="0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2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medium">
          <color indexed="64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medium">
          <color indexed="64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8A045F-821A-4FD1-A99C-7599AE45C189}" name="Table3" displayName="Table3" ref="A61:F96" totalsRowShown="0" headerRowDxfId="215" dataDxfId="214" tableBorderDxfId="213">
  <autoFilter ref="A61:F96" xr:uid="{398A045F-821A-4FD1-A99C-7599AE45C189}"/>
  <tableColumns count="6">
    <tableColumn id="1" xr3:uid="{2895CCE8-06E6-4FF0-B2AF-4B749F2071FF}" name="DATE" dataDxfId="212"/>
    <tableColumn id="2" xr3:uid="{C6B7AB2C-8A70-4F6D-BD5B-65A167FED415}" name="TIME" dataDxfId="211"/>
    <tableColumn id="3" xr3:uid="{E257851F-9891-4F8F-BBB9-66B1D910E103}" name="OUTCOME" dataDxfId="210"/>
    <tableColumn id="4" xr3:uid="{C87C05B5-5CB8-4755-81D0-48C41091A86F}" name="SPOT PTS" dataDxfId="209"/>
    <tableColumn id="5" xr3:uid="{622E349A-A127-4F3D-9A11-22BF001445AB}" name="DAY" dataDxfId="208"/>
    <tableColumn id="6" xr3:uid="{21338C5F-5ABD-4088-9308-C8994CF26F1A}" name="RANGE" dataDxfId="20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3F34F78-8B95-46C1-80D6-9B0A5C18CB4E}" name="Table11" displayName="Table11" ref="A377:F406" totalsRowShown="0" headerRowDxfId="135" dataDxfId="134" tableBorderDxfId="133">
  <autoFilter ref="A377:F406" xr:uid="{73F34F78-8B95-46C1-80D6-9B0A5C18CB4E}"/>
  <tableColumns count="6">
    <tableColumn id="1" xr3:uid="{E41A9851-8D88-4C8E-A7B2-F93FF947D094}" name="DATE" dataDxfId="132"/>
    <tableColumn id="2" xr3:uid="{47086F8D-DC2F-426D-BF5A-608779863BEE}" name="TIME" dataDxfId="131"/>
    <tableColumn id="3" xr3:uid="{740E0CBA-DD84-422A-81F7-43B30688F4B9}" name="OUTCOME" dataDxfId="130"/>
    <tableColumn id="4" xr3:uid="{4B05C13F-0514-4735-B938-32A1972B8AAB}" name="SPOT PTS" dataDxfId="129"/>
    <tableColumn id="5" xr3:uid="{67BFB290-6B26-4566-B7C1-81998A62E72C}" name="DAY" dataDxfId="128"/>
    <tableColumn id="6" xr3:uid="{01D25921-CC7D-4D47-AE26-8317192EB730}" name="RANGE" dataDxfId="12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78B3843-AF06-45E7-A273-75E97F5D8B27}" name="Table12" displayName="Table12" ref="A408:F436" totalsRowShown="0" headerRowDxfId="126" dataDxfId="125" tableBorderDxfId="124">
  <autoFilter ref="A408:F436" xr:uid="{378B3843-AF06-45E7-A273-75E97F5D8B27}"/>
  <tableColumns count="6">
    <tableColumn id="1" xr3:uid="{DE149D0C-88FC-4580-9469-AE7CA6AA45CF}" name="DATE" dataDxfId="123"/>
    <tableColumn id="2" xr3:uid="{5548C11A-09E1-427A-992D-BE9F81F1CAC9}" name="TIME" dataDxfId="122"/>
    <tableColumn id="3" xr3:uid="{863F10C1-7CB4-426E-B5F5-BCCB01092F68}" name="OUTCOME" dataDxfId="121"/>
    <tableColumn id="4" xr3:uid="{5B9B5432-C281-4C52-A332-C5614A01A053}" name="SPOT PTS" dataDxfId="120"/>
    <tableColumn id="5" xr3:uid="{E26BD49B-3D9A-4686-A517-0DBA6616150E}" name="DAY" dataDxfId="119"/>
    <tableColumn id="6" xr3:uid="{91CF44C4-1F0B-4C7B-BB34-FD5CBBC7A7C4}" name="RANGE" dataDxfId="11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72A641-7DEC-450F-AC6E-048FB253E20D}" name="Table2" displayName="Table2" ref="A31:F59" totalsRowShown="0" headerRowDxfId="117" dataDxfId="116" tableBorderDxfId="115">
  <autoFilter ref="A31:F59" xr:uid="{BC72A641-7DEC-450F-AC6E-048FB253E20D}"/>
  <tableColumns count="6">
    <tableColumn id="1" xr3:uid="{5269E2F5-B95A-4A17-A665-1E525BE0EE44}" name="DATE" dataDxfId="114"/>
    <tableColumn id="2" xr3:uid="{91214494-E01C-42B0-AA65-B1A19C7B21A0}" name="TIME" dataDxfId="113"/>
    <tableColumn id="3" xr3:uid="{1BA80874-58E5-4125-BE1C-C327FC247BE8}" name="OUTCOME" dataDxfId="112"/>
    <tableColumn id="4" xr3:uid="{5303963A-27E0-4C62-B93E-C8942B7686D9}" name="SPOT PTS" dataDxfId="111"/>
    <tableColumn id="5" xr3:uid="{59B7E3CA-099E-4650-A632-B6A65E013EB0}" name="DAY" dataDxfId="110"/>
    <tableColumn id="6" xr3:uid="{BD46A3CD-8FC7-47F9-8A9C-5E21216100C0}" name="RANGE" dataDxfId="10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502DCE1-7A67-4B2F-949F-1487984A9356}" name="Table314" displayName="Table314" ref="A61:F96" totalsRowShown="0" headerRowDxfId="108" dataDxfId="107" tableBorderDxfId="106">
  <autoFilter ref="A61:F96" xr:uid="{5502DCE1-7A67-4B2F-949F-1487984A9356}"/>
  <tableColumns count="6">
    <tableColumn id="1" xr3:uid="{2F7BC04E-D877-49D3-9109-D859A120D9D5}" name="DATE" dataDxfId="105"/>
    <tableColumn id="2" xr3:uid="{18F285FE-A2FE-4DB9-B62C-C2243DC48C8C}" name="TIME" dataDxfId="104"/>
    <tableColumn id="3" xr3:uid="{E7588A29-C583-4AB1-83AE-092513D11C84}" name="OUTCOME" dataDxfId="103"/>
    <tableColumn id="4" xr3:uid="{F5CE4BAF-3449-4A4A-A656-645D04E20ED1}" name="SPOT PTS" dataDxfId="102"/>
    <tableColumn id="5" xr3:uid="{E5F27875-526F-44CC-B37A-F22FC5E991A1}" name="DAY" dataDxfId="101"/>
    <tableColumn id="6" xr3:uid="{3D54B4F4-9A0D-4117-A071-27BDC6AA3E2F}" name="RANGE" dataDxfId="10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09ECC3B-6C8E-4F34-B57E-746D769A3D13}" name="Table415" displayName="Table415" ref="A98:F131" totalsRowShown="0" headerRowDxfId="99" dataDxfId="98" tableBorderDxfId="97">
  <autoFilter ref="A98:F131" xr:uid="{409ECC3B-6C8E-4F34-B57E-746D769A3D13}"/>
  <tableColumns count="6">
    <tableColumn id="1" xr3:uid="{EB7D0C00-B0F1-4813-866E-BBA5751C9B55}" name="DATE" dataDxfId="96"/>
    <tableColumn id="2" xr3:uid="{EF2E3468-FC63-41E0-B2C4-54772F7ACB60}" name="TIME" dataDxfId="95"/>
    <tableColumn id="3" xr3:uid="{7F89EDA2-6972-4195-B688-DFB045230CF0}" name="OUTCOME" dataDxfId="94"/>
    <tableColumn id="4" xr3:uid="{19D47D2F-696C-4C13-810B-D85CA1630696}" name="SPOT PTS" dataDxfId="93"/>
    <tableColumn id="5" xr3:uid="{588D45D3-6704-4DB7-AC72-BD7AA446B55F}" name="DAY" dataDxfId="92"/>
    <tableColumn id="6" xr3:uid="{2EB9819F-855F-49A9-8180-AC0A8FDC4850}" name="RANGE" dataDxfId="9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D942377-8595-422A-BABE-454E8D12F4C0}" name="Table516" displayName="Table516" ref="A133:F173" totalsRowShown="0" headerRowDxfId="90" dataDxfId="89" tableBorderDxfId="88">
  <autoFilter ref="A133:F173" xr:uid="{AD942377-8595-422A-BABE-454E8D12F4C0}"/>
  <tableColumns count="6">
    <tableColumn id="1" xr3:uid="{52E78641-D6ED-4E47-9E25-5454EF54DA55}" name="DATE" dataDxfId="87"/>
    <tableColumn id="2" xr3:uid="{37547E3F-59D3-4409-9E0C-26EA39180F0D}" name="TIME" dataDxfId="86"/>
    <tableColumn id="3" xr3:uid="{1E6ABF87-C8A8-43D7-8B36-0ADC2E788478}" name="OUTCOME" dataDxfId="85"/>
    <tableColumn id="4" xr3:uid="{A17BACF1-DB9E-4CD4-8AB2-7D1E428AD80E}" name="SPOT PTS" dataDxfId="84"/>
    <tableColumn id="5" xr3:uid="{9423BEC0-D87A-4DC3-915A-C21408B7DE5C}" name="DAY" dataDxfId="83"/>
    <tableColumn id="6" xr3:uid="{E6CCEA30-5998-4707-88C4-AA8F14362908}" name="RANGE" dataDxfId="8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6A6F24A-6646-4CC3-894E-319AA10C0B54}" name="Table617" displayName="Table617" ref="A175:F207" totalsRowShown="0" headerRowDxfId="81" dataDxfId="80" tableBorderDxfId="79">
  <autoFilter ref="A175:F207" xr:uid="{E6A6F24A-6646-4CC3-894E-319AA10C0B54}"/>
  <tableColumns count="6">
    <tableColumn id="1" xr3:uid="{A61F09B9-9EE5-4330-8A77-79590D0A335C}" name="DATE" dataDxfId="78"/>
    <tableColumn id="2" xr3:uid="{49EFE4A9-95FC-44E6-ACE4-A391990EAE96}" name="TIME" dataDxfId="77"/>
    <tableColumn id="3" xr3:uid="{C501FF73-622E-4E35-B6FA-7CB2196DB24F}" name="OUTCOME" dataDxfId="76"/>
    <tableColumn id="4" xr3:uid="{90F6A87B-F05E-47EF-9278-52968B95DAD4}" name="SPOT PTS" dataDxfId="75"/>
    <tableColumn id="5" xr3:uid="{29F1A0A4-B7CF-40AE-8165-A49D3E68101B}" name="DAY" dataDxfId="74"/>
    <tableColumn id="6" xr3:uid="{AB1B4137-E3A9-49EC-95F9-265390ED5DB0}" name="RANGE" dataDxfId="7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2504B55-3868-4CAF-817F-4B8500057C9A}" name="Table718" displayName="Table718" ref="A209:F254" totalsRowShown="0" headerRowDxfId="72" dataDxfId="71" tableBorderDxfId="70">
  <autoFilter ref="A209:F254" xr:uid="{52504B55-3868-4CAF-817F-4B8500057C9A}"/>
  <tableColumns count="6">
    <tableColumn id="1" xr3:uid="{61D6D918-1BCF-4D96-82CB-73D76C4AEA44}" name="DATE" dataDxfId="69"/>
    <tableColumn id="2" xr3:uid="{DB36E825-D16E-4DA2-B55B-53855AD01FB7}" name="TIME" dataDxfId="68"/>
    <tableColumn id="3" xr3:uid="{A89B6F5E-A435-48B7-9D89-60EACE746C6E}" name="OUTCOME" dataDxfId="67"/>
    <tableColumn id="4" xr3:uid="{773C16CC-26F2-4151-A4FE-A6284C256480}" name="SPOT PTS" dataDxfId="66"/>
    <tableColumn id="5" xr3:uid="{8DD87686-ABB3-4BDD-B59C-22C46EF89B02}" name="DAY" dataDxfId="65"/>
    <tableColumn id="6" xr3:uid="{B39D3225-7E31-473F-BC72-56E64798BAE4}" name="RANGE" dataDxfId="6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768A14F-5C68-408F-98E5-6EA39F4E34B5}" name="Table119" displayName="Table119" ref="A256:F291" totalsRowShown="0" headerRowDxfId="63" dataDxfId="62" tableBorderDxfId="61">
  <autoFilter ref="A256:F291" xr:uid="{A768A14F-5C68-408F-98E5-6EA39F4E34B5}"/>
  <tableColumns count="6">
    <tableColumn id="1" xr3:uid="{4C32B564-38E6-434C-9698-AAAFFBB7A803}" name="DATE" dataDxfId="60"/>
    <tableColumn id="2" xr3:uid="{62A93A36-1130-4F97-AA30-71A2CB78A4C7}" name="TIME" dataDxfId="59"/>
    <tableColumn id="3" xr3:uid="{A51F4012-C160-4ABA-8133-FCDA5FA06787}" name="OUTCOME" dataDxfId="58"/>
    <tableColumn id="4" xr3:uid="{7DEC5D78-8C24-422A-B056-7A631A9027E7}" name="SPOT PTS" dataDxfId="57"/>
    <tableColumn id="5" xr3:uid="{FD25CDB1-9706-49B6-B085-1A3369B742DA}" name="DAY" dataDxfId="56"/>
    <tableColumn id="6" xr3:uid="{A120D23C-6409-406C-B41F-C5617DCECC5A}" name="RANGE" dataDxfId="5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2B740FF-26A9-4249-9C2A-3877A8C406A5}" name="Table820" displayName="Table820" ref="A2:F29" totalsRowShown="0" headerRowDxfId="54" dataDxfId="53" tableBorderDxfId="52">
  <autoFilter ref="A2:F29" xr:uid="{42B740FF-26A9-4249-9C2A-3877A8C406A5}"/>
  <tableColumns count="6">
    <tableColumn id="1" xr3:uid="{F5E3A130-348A-459C-BF51-7ECD87602C4D}" name="DATE" dataDxfId="51"/>
    <tableColumn id="2" xr3:uid="{E6325284-E3C4-4306-8EB9-565328BE5CF2}" name="TIME" dataDxfId="50"/>
    <tableColumn id="3" xr3:uid="{CBB578D8-5B5E-44CE-8BDB-1A193447A66F}" name="OUTCOME" dataDxfId="49"/>
    <tableColumn id="4" xr3:uid="{7A62366D-2278-4455-9E2C-509DEFCDCD9C}" name="SPOT PTS" dataDxfId="48"/>
    <tableColumn id="5" xr3:uid="{CF5924E2-8967-4FF5-BCB0-EAF20B10F4BE}" name="DAY" dataDxfId="47"/>
    <tableColumn id="6" xr3:uid="{CE33E38E-815E-49D1-A3B5-E0BA7ADADAF0}" name="RANGE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F39400-F300-410C-934C-9FE8221E9BDD}" name="Table4" displayName="Table4" ref="A98:F131" totalsRowShown="0" headerRowDxfId="206" dataDxfId="205" tableBorderDxfId="204">
  <autoFilter ref="A98:F131" xr:uid="{AFF39400-F300-410C-934C-9FE8221E9BDD}"/>
  <tableColumns count="6">
    <tableColumn id="1" xr3:uid="{BFA990F9-D1F0-469A-AD7A-4909B2602639}" name="DATE" dataDxfId="203"/>
    <tableColumn id="2" xr3:uid="{3E32CDEA-80AA-4C3F-B1EF-2430F67A8922}" name="TIME" dataDxfId="202"/>
    <tableColumn id="3" xr3:uid="{9D9BA1A4-8657-4A07-80AE-8059F3605DBE}" name="OUTCOME" dataDxfId="201"/>
    <tableColumn id="4" xr3:uid="{EC69DFF2-1070-4DB2-9E44-A4EE30BC0F64}" name="SPOT PTS" dataDxfId="200"/>
    <tableColumn id="5" xr3:uid="{9CEAEF2B-F9A9-4DAA-A29F-A1993E8118B9}" name="DAY" dataDxfId="199"/>
    <tableColumn id="6" xr3:uid="{455DCF05-0039-4A47-8341-8E9EF54B0D7F}" name="RANGE" dataDxfId="19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5CFA6DF-66DD-4892-BE6B-F1D58B46F3DC}" name="Table921" displayName="Table921" ref="A293:F335" totalsRowShown="0" headerRowDxfId="45" dataDxfId="44" tableBorderDxfId="43">
  <autoFilter ref="A293:F335" xr:uid="{A5CFA6DF-66DD-4892-BE6B-F1D58B46F3DC}"/>
  <tableColumns count="6">
    <tableColumn id="1" xr3:uid="{BEF04508-9DF5-4311-9251-ED0EB22DFCEE}" name="DATE" dataDxfId="42"/>
    <tableColumn id="2" xr3:uid="{59BF19E1-2A84-4131-8E7F-0F2C83E755C4}" name="TIME" dataDxfId="41"/>
    <tableColumn id="3" xr3:uid="{167EF597-DE9A-468E-BABF-1F975CF19665}" name="OUTCOME" dataDxfId="40"/>
    <tableColumn id="4" xr3:uid="{EC01C5E0-1AFD-4992-A079-87C64148E3FB}" name="SPOT PTS" dataDxfId="39"/>
    <tableColumn id="5" xr3:uid="{245747D4-B4D8-4CF8-B2A8-DA52A6BB7317}" name="DAY" dataDxfId="38"/>
    <tableColumn id="6" xr3:uid="{377B05F2-E70A-461F-8F3A-CE9664EB23D4}" name="RANGE" dataDxfId="3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74BB4D1-FBB0-4D6D-824B-247F8AD5A487}" name="Table1022" displayName="Table1022" ref="A337:F375" totalsRowShown="0" headerRowDxfId="36" dataDxfId="35">
  <autoFilter ref="A337:F375" xr:uid="{E74BB4D1-FBB0-4D6D-824B-247F8AD5A487}"/>
  <tableColumns count="6">
    <tableColumn id="1" xr3:uid="{DAEB9E95-F66A-408E-9FB6-E960D681CA16}" name="DATE" dataDxfId="34"/>
    <tableColumn id="2" xr3:uid="{1DCDB89F-9AD0-4D2E-AE3D-FC4CEEB1A416}" name="TIME" dataDxfId="33"/>
    <tableColumn id="3" xr3:uid="{5306E599-621E-4E06-8F29-CCB4C178DE76}" name="OUTCOME" dataDxfId="32"/>
    <tableColumn id="4" xr3:uid="{5512B629-188B-47BE-B2C0-69EB896B6B52}" name="SPOT PTS" dataDxfId="31"/>
    <tableColumn id="5" xr3:uid="{956EDB1E-5AC5-4111-BA8A-82CE04E48E9C}" name="DAY" dataDxfId="30"/>
    <tableColumn id="6" xr3:uid="{92A564BF-F789-456B-8F20-CAD35D53BEE8}" name="RANGE" dataDxfId="2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12E7B02-6121-436B-A50D-F2F440F835C0}" name="Table1123" displayName="Table1123" ref="A377:F406" totalsRowShown="0" headerRowDxfId="28" dataDxfId="27" tableBorderDxfId="26">
  <autoFilter ref="A377:F406" xr:uid="{B12E7B02-6121-436B-A50D-F2F440F835C0}"/>
  <tableColumns count="6">
    <tableColumn id="1" xr3:uid="{3C4415FF-9C7E-4992-950A-F98D87F07A91}" name="DATE" dataDxfId="25"/>
    <tableColumn id="2" xr3:uid="{06EA26E2-529F-4501-9601-6CD54702518D}" name="TIME" dataDxfId="24"/>
    <tableColumn id="3" xr3:uid="{E348588F-C7FB-496F-B77F-7C069B36D46F}" name="OUTCOME" dataDxfId="23"/>
    <tableColumn id="4" xr3:uid="{5BA9A56D-3159-46A9-8DA6-E627FBFFDF9C}" name="SPOT PTS" dataDxfId="22"/>
    <tableColumn id="5" xr3:uid="{74B36834-B9E4-4C1B-9819-55556A90ABDB}" name="DAY" dataDxfId="21"/>
    <tableColumn id="6" xr3:uid="{C3B5AB78-4F57-4616-B931-5A251A9F5672}" name="RANGE" dataDxfId="2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CFE5BF8-8901-432F-9E29-6289727999EB}" name="Table1224" displayName="Table1224" ref="A408:F436" totalsRowShown="0" headerRowDxfId="19" dataDxfId="18" tableBorderDxfId="17">
  <autoFilter ref="A408:F436" xr:uid="{FCFE5BF8-8901-432F-9E29-6289727999EB}"/>
  <tableColumns count="6">
    <tableColumn id="1" xr3:uid="{DC3C2482-9AAE-475A-9819-02E43FE265C2}" name="DATE" dataDxfId="16"/>
    <tableColumn id="2" xr3:uid="{B114F322-9AFB-4A00-A384-BD45E430C193}" name="TIME" dataDxfId="15"/>
    <tableColumn id="3" xr3:uid="{DB33D5CE-40C3-4961-83A1-690DB153679D}" name="OUTCOME" dataDxfId="14"/>
    <tableColumn id="4" xr3:uid="{CC5F909C-0F8E-4390-91CC-851B2ACC5201}" name="SPOT PTS" dataDxfId="13"/>
    <tableColumn id="5" xr3:uid="{81178626-E064-43DD-A0B4-EB73C30A0304}" name="DAY" dataDxfId="12"/>
    <tableColumn id="6" xr3:uid="{69D31876-50E2-4C1B-8260-68D17B9E47D4}" name="RANGE" dataDxfId="1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87E5D0C-91F1-4664-8956-3E799A79CC54}" name="Table225" displayName="Table225" ref="A31:F59" totalsRowShown="0" headerRowDxfId="10" dataDxfId="9" tableBorderDxfId="8">
  <autoFilter ref="A31:F59" xr:uid="{687E5D0C-91F1-4664-8956-3E799A79CC54}"/>
  <tableColumns count="6">
    <tableColumn id="1" xr3:uid="{88B8DC9B-2002-4AE3-8A48-F199CCB94FCF}" name="DATE" dataDxfId="7"/>
    <tableColumn id="2" xr3:uid="{13BB7AE9-FC53-469E-BFF8-3ECCC9725171}" name="TIME" dataDxfId="6"/>
    <tableColumn id="3" xr3:uid="{7DFEC0B0-AC28-4283-B0FD-A3E796E9043E}" name="OUTCOME" dataDxfId="5"/>
    <tableColumn id="4" xr3:uid="{85FD01B4-FF82-422B-86C2-CE6FE171968C}" name="SPOT PTS" dataDxfId="4"/>
    <tableColumn id="5" xr3:uid="{BBBEE560-1350-4166-BFC2-F81571DED28F}" name="DAY" dataDxfId="3"/>
    <tableColumn id="6" xr3:uid="{9B541957-F02E-4331-AC49-FAB63A29207D}" name="RANG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54C7F8-E9DE-45D1-A88F-EE93302D827F}" name="Table5" displayName="Table5" ref="A133:F173" totalsRowShown="0" headerRowDxfId="197" dataDxfId="196" tableBorderDxfId="195">
  <autoFilter ref="A133:F173" xr:uid="{DD54C7F8-E9DE-45D1-A88F-EE93302D827F}"/>
  <tableColumns count="6">
    <tableColumn id="1" xr3:uid="{CFC5671F-BC09-4DEF-B112-54E40A212FEC}" name="DATE" dataDxfId="194"/>
    <tableColumn id="2" xr3:uid="{1E379937-200C-4B3C-A650-03696870C33E}" name="TIME" dataDxfId="193"/>
    <tableColumn id="3" xr3:uid="{5E6C9A22-8F09-4738-881C-72CBB25F22C7}" name="OUTCOME" dataDxfId="192"/>
    <tableColumn id="4" xr3:uid="{59191B34-0936-4E22-94E9-B11EFE3E1068}" name="SPOT PTS" dataDxfId="191"/>
    <tableColumn id="5" xr3:uid="{C382A5FE-A85A-47B0-8399-0C033CF0C6A6}" name="DAY" dataDxfId="190"/>
    <tableColumn id="6" xr3:uid="{9940A510-4551-4765-9892-B4040817927C}" name="RANGE" dataDxfId="18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A3B495-29DE-4F58-AAFB-17463462168C}" name="Table6" displayName="Table6" ref="A175:F207" totalsRowShown="0" headerRowDxfId="188" dataDxfId="187" tableBorderDxfId="186">
  <autoFilter ref="A175:F207" xr:uid="{C4A3B495-29DE-4F58-AAFB-17463462168C}"/>
  <tableColumns count="6">
    <tableColumn id="1" xr3:uid="{0D538186-DBBC-4F24-8FE2-4B2CF1A690EB}" name="DATE" dataDxfId="185"/>
    <tableColumn id="2" xr3:uid="{52FB3C72-AD6D-4463-B270-E365F684B01B}" name="TIME" dataDxfId="184"/>
    <tableColumn id="3" xr3:uid="{E09C38AA-D2EF-47CB-B857-58BFD3E33F92}" name="OUTCOME" dataDxfId="183"/>
    <tableColumn id="4" xr3:uid="{7D9B435C-8A1D-4A1E-BA81-6B75B4FC0D9F}" name="SPOT PTS" dataDxfId="182"/>
    <tableColumn id="5" xr3:uid="{0B67F591-4D29-4C0A-AD33-0056585D1AB0}" name="DAY" dataDxfId="181"/>
    <tableColumn id="6" xr3:uid="{FF99EE20-44DE-4706-8627-09C684A01B4F}" name="RANGE" dataDxfId="1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45BE278-65E6-4B4C-86FE-34EAB4296955}" name="Table7" displayName="Table7" ref="A209:F254" totalsRowShown="0" headerRowDxfId="179" dataDxfId="178" tableBorderDxfId="177">
  <autoFilter ref="A209:F254" xr:uid="{C45BE278-65E6-4B4C-86FE-34EAB4296955}"/>
  <tableColumns count="6">
    <tableColumn id="1" xr3:uid="{032AE11A-7556-4903-8695-478E340AF478}" name="DATE" dataDxfId="176"/>
    <tableColumn id="2" xr3:uid="{0B3FB492-D79A-4595-BF4F-5E44260FAE7F}" name="TIME" dataDxfId="175"/>
    <tableColumn id="3" xr3:uid="{87136105-0C63-461D-B896-300CC2023826}" name="OUTCOME" dataDxfId="174"/>
    <tableColumn id="4" xr3:uid="{1F9078FF-F0E2-4581-8804-7D6524CA5600}" name="SPOT PTS" dataDxfId="173"/>
    <tableColumn id="5" xr3:uid="{AEED8ED2-0115-46A4-B356-BBBDD6784434}" name="DAY" dataDxfId="172"/>
    <tableColumn id="6" xr3:uid="{BAA6B385-EF0E-4039-8A52-1FF680224B86}" name="RANGE" dataDxfId="1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21AD0-98B3-43A2-854D-392174607FB3}" name="Table1" displayName="Table1" ref="A256:F291" totalsRowShown="0" headerRowDxfId="170" dataDxfId="169" tableBorderDxfId="168">
  <autoFilter ref="A256:F291" xr:uid="{9E421AD0-98B3-43A2-854D-392174607FB3}"/>
  <tableColumns count="6">
    <tableColumn id="1" xr3:uid="{33A5FF69-71CD-49A6-84E9-9675EB5DAA0E}" name="DATE" dataDxfId="167"/>
    <tableColumn id="2" xr3:uid="{029A8F81-4EBE-43B3-9432-E7887682F00F}" name="TIME" dataDxfId="166"/>
    <tableColumn id="3" xr3:uid="{76F8D1C1-56BA-47D7-912B-5B5BFBD9644B}" name="OUTCOME" dataDxfId="165"/>
    <tableColumn id="4" xr3:uid="{3AF178B6-2B2C-4231-940F-5F3EAD1EFA48}" name="SPOT PTS" dataDxfId="164"/>
    <tableColumn id="5" xr3:uid="{76A8D70E-CC5E-4637-8D15-0672FC56B0D3}" name="DAY" dataDxfId="163"/>
    <tableColumn id="6" xr3:uid="{BA8D3FF1-48ED-4133-B1DD-03DC836037EE}" name="RANGE" dataDxfId="16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A6338C6-413F-4E00-9413-DB79D9650798}" name="Table8" displayName="Table8" ref="A2:F29" totalsRowShown="0" headerRowDxfId="161" dataDxfId="160" tableBorderDxfId="159">
  <autoFilter ref="A2:F29" xr:uid="{3A6338C6-413F-4E00-9413-DB79D9650798}"/>
  <tableColumns count="6">
    <tableColumn id="1" xr3:uid="{9635C59F-4139-49CB-893D-908C6E2FF429}" name="DATE" dataDxfId="158"/>
    <tableColumn id="2" xr3:uid="{FD0A8B27-03D0-492A-97AE-B1B4E108E8EE}" name="TIME" dataDxfId="157"/>
    <tableColumn id="3" xr3:uid="{2F82C916-87B8-470A-A36B-FC2D5A2AF3C4}" name="OUTCOME" dataDxfId="156"/>
    <tableColumn id="4" xr3:uid="{FFAB8B7A-2BF5-4F34-9712-1DCFDECDA59E}" name="SPOT PTS" dataDxfId="155"/>
    <tableColumn id="5" xr3:uid="{8A42AC07-5911-4806-824A-2D76E4CBAE93}" name="DAY" dataDxfId="154"/>
    <tableColumn id="6" xr3:uid="{892CA20B-90B7-42DE-8CAB-6B608338A21A}" name="RANGE" dataDxfId="1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1A013A-126F-482C-AF33-272902E81BC9}" name="Table9" displayName="Table9" ref="A293:F335" totalsRowShown="0" headerRowDxfId="152" dataDxfId="151" tableBorderDxfId="150">
  <autoFilter ref="A293:F335" xr:uid="{C31A013A-126F-482C-AF33-272902E81BC9}"/>
  <tableColumns count="6">
    <tableColumn id="1" xr3:uid="{15B4E355-DBC7-42BD-9914-72658921EF6E}" name="DATE" dataDxfId="149"/>
    <tableColumn id="2" xr3:uid="{979D6143-D719-49B8-A28B-AC97CB2FF6FA}" name="TIME" dataDxfId="148"/>
    <tableColumn id="3" xr3:uid="{CA118B75-4501-4F34-9FD8-B8864EF20DC6}" name="OUTCOME" dataDxfId="147"/>
    <tableColumn id="4" xr3:uid="{67CFAF87-FC88-471C-82BF-497CDBC0A19F}" name="SPOT PTS" dataDxfId="146"/>
    <tableColumn id="5" xr3:uid="{1AA5B03A-34FE-4DE8-86EA-A38537420F1F}" name="DAY" dataDxfId="145"/>
    <tableColumn id="6" xr3:uid="{5C82F755-92A7-41E0-AF2A-86313E46369A}" name="RANGE" dataDxfId="14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18235D7-54AF-4194-9138-C3463F786D57}" name="Table10" displayName="Table10" ref="A337:F375" totalsRowShown="0" headerRowDxfId="143" dataDxfId="142">
  <autoFilter ref="A337:F375" xr:uid="{718235D7-54AF-4194-9138-C3463F786D57}"/>
  <tableColumns count="6">
    <tableColumn id="1" xr3:uid="{CC7E14C9-3551-4E8D-AEAD-2FFB6594D8C1}" name="DATE" dataDxfId="141"/>
    <tableColumn id="2" xr3:uid="{6257C3D5-2485-4180-A8AC-10D597B5BB84}" name="TIME" dataDxfId="140"/>
    <tableColumn id="3" xr3:uid="{8AABE2BE-4FD7-4EDD-8B81-3081F10D4ECA}" name="OUTCOME" dataDxfId="139"/>
    <tableColumn id="4" xr3:uid="{0E42EF48-68B7-4EC1-8651-0B3DC91F06EE}" name="SPOT PTS" dataDxfId="138"/>
    <tableColumn id="5" xr3:uid="{659157E2-4196-4685-BDDF-64BBF6225A74}" name="DAY" dataDxfId="137"/>
    <tableColumn id="6" xr3:uid="{517DD9E8-4C15-4F1B-8327-AE5BFB221BC5}" name="RANGE" dataDxfId="1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12" Type="http://schemas.openxmlformats.org/officeDocument/2006/relationships/table" Target="../tables/table24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11" Type="http://schemas.openxmlformats.org/officeDocument/2006/relationships/table" Target="../tables/table23.xml"/><Relationship Id="rId5" Type="http://schemas.openxmlformats.org/officeDocument/2006/relationships/table" Target="../tables/table17.xml"/><Relationship Id="rId10" Type="http://schemas.openxmlformats.org/officeDocument/2006/relationships/table" Target="../tables/table22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9C94-5B94-48A6-BF06-DC984038CC46}">
  <dimension ref="A1:L19"/>
  <sheetViews>
    <sheetView zoomScale="120" zoomScaleNormal="120" workbookViewId="0">
      <selection activeCell="C19" sqref="C19"/>
    </sheetView>
  </sheetViews>
  <sheetFormatPr defaultRowHeight="14.4" x14ac:dyDescent="0.3"/>
  <cols>
    <col min="1" max="1" width="14.77734375" style="1" bestFit="1" customWidth="1"/>
    <col min="2" max="2" width="9.109375" style="1" bestFit="1" customWidth="1"/>
    <col min="3" max="3" width="14.6640625" style="1" bestFit="1" customWidth="1"/>
    <col min="4" max="4" width="14.33203125" style="1" bestFit="1" customWidth="1"/>
    <col min="5" max="6" width="8.88671875" style="1"/>
    <col min="7" max="7" width="12.77734375" style="1" bestFit="1" customWidth="1"/>
    <col min="8" max="8" width="11.44140625" style="1" bestFit="1" customWidth="1"/>
    <col min="9" max="10" width="8.88671875" style="1"/>
    <col min="11" max="11" width="11" style="1" bestFit="1" customWidth="1"/>
    <col min="12" max="16384" width="8.88671875" style="1"/>
  </cols>
  <sheetData>
    <row r="1" spans="1:12" x14ac:dyDescent="0.3">
      <c r="A1" s="2" t="s">
        <v>3</v>
      </c>
      <c r="B1" s="2" t="s">
        <v>13</v>
      </c>
      <c r="C1" s="2" t="s">
        <v>14</v>
      </c>
      <c r="D1" s="2" t="s">
        <v>15</v>
      </c>
      <c r="G1" s="2" t="s">
        <v>25</v>
      </c>
      <c r="H1" s="3">
        <f>C4/2</f>
        <v>5262</v>
      </c>
      <c r="J1" s="2" t="s">
        <v>29</v>
      </c>
      <c r="K1" s="3">
        <f>SUM(COUNTIF(Table1[RANGE],1),COUNTIF(Table2[RANGE],1),COUNTIF(Table3[RANGE],1),COUNTIF(Table4[RANGE],1),COUNTIF(Table5[RANGE],1),COUNTIF(Table6[RANGE],1),COUNTIF(Table7[RANGE],1),COUNTIF(Table8[RANGE],1),COUNTIF(Table9[RANGE],1),COUNTIF(Table10[RANGE],1),COUNTIF(Table11[RANGE],1),COUNTIF(Table12[RANGE],1))</f>
        <v>302</v>
      </c>
      <c r="L1" s="5">
        <f>K1/B4</f>
        <v>0.73300970873786409</v>
      </c>
    </row>
    <row r="2" spans="1:12" x14ac:dyDescent="0.3">
      <c r="A2" s="3" t="s">
        <v>16</v>
      </c>
      <c r="B2" s="3">
        <f>B13</f>
        <v>253</v>
      </c>
      <c r="C2" s="3">
        <f>SUM('MONTHLY-SIMPLE'!I6,'MONTHLY-SIMPLE'!I36,'MONTHLY-SIMPLE'!I66,'MONTHLY-SIMPLE'!I103,'MONTHLY-SIMPLE'!I138,'MONTHLY-SIMPLE'!I180,'MONTHLY-SIMPLE'!I214,'MONTHLY-SIMPLE'!I261,'MONTHLY-SIMPLE'!I297,'MONTHLY-SIMPLE'!I341,'MONTHLY-SIMPLE'!I381,'MONTHLY-SIMPLE'!I412)</f>
        <v>-12226</v>
      </c>
      <c r="D2" s="3">
        <f>((C2/2)/B2)*15</f>
        <v>-362.43083003952569</v>
      </c>
      <c r="E2" s="5">
        <f>B2/B4</f>
        <v>0.61407766990291257</v>
      </c>
      <c r="G2" s="2" t="s">
        <v>26</v>
      </c>
      <c r="H2" s="49">
        <f>H1*15</f>
        <v>78930</v>
      </c>
      <c r="J2" s="2" t="s">
        <v>30</v>
      </c>
      <c r="K2" s="3">
        <f>SUM(COUNTIF(Table1[RANGE],2),COUNTIF(Table2[RANGE],2),COUNTIF(Table3[RANGE],2),COUNTIF(Table4[RANGE],2),COUNTIF(Table5[RANGE],2),COUNTIF(Table6[RANGE],2),COUNTIF(Table7[RANGE],2),COUNTIF(Table8[RANGE],2),COUNTIF(Table9[RANGE],2),COUNTIF(Table10[RANGE],2),COUNTIF(Table11[RANGE],2),COUNTIF(Table12[RANGE],2))</f>
        <v>110</v>
      </c>
      <c r="L2" s="5">
        <f>K2/B4</f>
        <v>0.26699029126213591</v>
      </c>
    </row>
    <row r="3" spans="1:12" x14ac:dyDescent="0.3">
      <c r="A3" s="3" t="s">
        <v>17</v>
      </c>
      <c r="B3" s="3">
        <f>C13</f>
        <v>159</v>
      </c>
      <c r="C3" s="3">
        <f>SUM('MONTHLY-SIMPLE'!I413,'MONTHLY-SIMPLE'!I382,'MONTHLY-SIMPLE'!I342,'MONTHLY-SIMPLE'!I298,'MONTHLY-SIMPLE'!I262,'MONTHLY-SIMPLE'!I215,'MONTHLY-SIMPLE'!I181,'MONTHLY-SIMPLE'!I139,'MONTHLY-SIMPLE'!I104,'MONTHLY-SIMPLE'!I67,'MONTHLY-SIMPLE'!I37,'MONTHLY-SIMPLE'!I7)</f>
        <v>22750</v>
      </c>
      <c r="D3" s="3">
        <f>((C3/2)/B3)*15</f>
        <v>1073.1132075471696</v>
      </c>
      <c r="E3" s="5">
        <f>B3/B4</f>
        <v>0.38592233009708737</v>
      </c>
      <c r="G3" s="2" t="s">
        <v>8</v>
      </c>
      <c r="H3" s="49">
        <f>65*B4</f>
        <v>26780</v>
      </c>
    </row>
    <row r="4" spans="1:12" x14ac:dyDescent="0.3">
      <c r="A4" s="2" t="s">
        <v>18</v>
      </c>
      <c r="B4" s="2">
        <f>B3+B2</f>
        <v>412</v>
      </c>
      <c r="C4" s="2">
        <f>C3+C2</f>
        <v>10524</v>
      </c>
      <c r="D4" s="51">
        <f>B4/12</f>
        <v>34.333333333333336</v>
      </c>
      <c r="G4" s="2" t="s">
        <v>27</v>
      </c>
      <c r="H4" s="49">
        <f>H2-H3</f>
        <v>52150</v>
      </c>
    </row>
    <row r="5" spans="1:12" x14ac:dyDescent="0.3">
      <c r="G5" s="2" t="s">
        <v>28</v>
      </c>
      <c r="H5" s="50">
        <f>(H4-1000)/10000</f>
        <v>5.1150000000000002</v>
      </c>
    </row>
    <row r="7" spans="1:12" x14ac:dyDescent="0.3">
      <c r="A7" s="2" t="s">
        <v>4</v>
      </c>
      <c r="B7" s="2" t="s">
        <v>16</v>
      </c>
      <c r="C7" s="2" t="s">
        <v>17</v>
      </c>
      <c r="D7" s="2" t="s">
        <v>19</v>
      </c>
      <c r="G7" s="2" t="s">
        <v>31</v>
      </c>
      <c r="H7" s="2" t="s">
        <v>44</v>
      </c>
      <c r="I7" s="2" t="s">
        <v>45</v>
      </c>
      <c r="J7" s="2" t="s">
        <v>46</v>
      </c>
      <c r="K7" s="2" t="s">
        <v>61</v>
      </c>
    </row>
    <row r="8" spans="1:12" x14ac:dyDescent="0.3">
      <c r="A8" s="3" t="s">
        <v>20</v>
      </c>
      <c r="B8" s="3">
        <f>SUM(COUNTIFS(Table1[OUTCOME],"Stoploss",Table1[DAY],"THU"),COUNTIFS(Table2[OUTCOME],"Stoploss",Table2[DAY],"THU"),COUNTIFS(Table3[OUTCOME],"Stoploss",Table3[DAY],"THU"),COUNTIFS(Table4[OUTCOME],"Stoploss",Table4[DAY],"THU"),COUNTIFS(Table5[OUTCOME],"Stoploss",Table5[DAY],"THU"),COUNTIFS(Table6[OUTCOME],"Stoploss",Table6[DAY],"THU"),COUNTIFS(Table7[OUTCOME],"Stoploss",Table7[DAY],"THU"),COUNTIFS(Table8[OUTCOME],"Stoploss",Table8[DAY],"THU"),COUNTIFS(Table9[OUTCOME],"Stoploss",Table9[DAY],"THU"),COUNTIFS(Table10[OUTCOME],"Stoploss",Table10[DAY],"THU"),COUNTIFS(Table11[OUTCOME],"Stoploss",Table11[DAY],"THU"),COUNTIFS(Table12[OUTCOME],"Stoploss",Table12[DAY],"THU"))</f>
        <v>48</v>
      </c>
      <c r="C8" s="3">
        <f>SUM(COUNTIFS(Table1[OUTCOME],"Target",Table1[DAY],"THU"),COUNTIFS(Table2[OUTCOME],"Target",Table2[DAY],"THU"),COUNTIFS(Table3[OUTCOME],"Target",Table3[DAY],"THU"),COUNTIFS(Table4[OUTCOME],"Target",Table4[DAY],"THU"),COUNTIFS(Table5[OUTCOME],"Target",Table5[DAY],"THU"),COUNTIFS(Table6[OUTCOME],"Target",Table6[DAY],"THU"),COUNTIFS(Table7[OUTCOME],"Target",Table7[DAY],"THU"),COUNTIFS(Table8[OUTCOME],"Target",Table8[DAY],"THU"),COUNTIFS(Table9[OUTCOME],"Target",Table9[DAY],"THU"),COUNTIFS(Table10[OUTCOME],"Target",Table10[DAY],"THU"),COUNTIFS(Table11[OUTCOME],"Target",Table11[DAY],"THU"),COUNTIFS(Table12[OUTCOME],"Target",Table12[DAY],"THU"))</f>
        <v>34</v>
      </c>
      <c r="D8" s="3">
        <f>C8+B8</f>
        <v>82</v>
      </c>
      <c r="E8" s="5">
        <f>C8/D8</f>
        <v>0.41463414634146339</v>
      </c>
      <c r="G8" s="4" t="s">
        <v>32</v>
      </c>
      <c r="H8" s="5">
        <f>'MONTHLY-SIMPLE'!I3</f>
        <v>0.33333333333333331</v>
      </c>
      <c r="I8" s="53">
        <f>'MONTHLY-SIMPLE'!I7/823</f>
        <v>1.5273390036452006</v>
      </c>
      <c r="J8" s="51">
        <f>(COUNTIF(Table8[OUTCOME],"Target"))/(COUNTIF(Table8[OUTCOME],"Stoploss"))</f>
        <v>0.5</v>
      </c>
      <c r="K8" s="49">
        <f>'MONTHLY-SIMPLE'!I9</f>
        <v>1500</v>
      </c>
    </row>
    <row r="9" spans="1:12" x14ac:dyDescent="0.3">
      <c r="A9" s="3" t="s">
        <v>21</v>
      </c>
      <c r="B9" s="3">
        <f>SUM(COUNTIFS(Table1[OUTCOME],"Stoploss",Table1[DAY],"FRI"),COUNTIFS(Table2[OUTCOME],"Stoploss",Table2[DAY],"FRI"),COUNTIFS(Table3[OUTCOME],"Stoploss",Table3[DAY],"FRI"),COUNTIFS(Table4[OUTCOME],"Stoploss",Table4[DAY],"FRI"),COUNTIFS(Table5[OUTCOME],"Stoploss",Table5[DAY],"FRI"),COUNTIFS(Table6[OUTCOME],"Stoploss",Table6[DAY],"FRI"),COUNTIFS(Table7[OUTCOME],"Stoploss",Table7[DAY],"FRI"),COUNTIFS(Table8[OUTCOME],"Stoploss",Table8[DAY],"FRI"),COUNTIFS(Table9[OUTCOME],"Stoploss",Table9[DAY],"FRI"),COUNTIFS(Table10[OUTCOME],"Stoploss",Table10[DAY],"FRI"),COUNTIFS(Table11[OUTCOME],"Stoploss",Table11[DAY],"FRI"),COUNTIFS(Table12[OUTCOME],"Stoploss",Table12[DAY],"FRI"))</f>
        <v>53</v>
      </c>
      <c r="C9" s="3">
        <f>SUM(COUNTIFS(Table1[OUTCOME],"Target",Table1[DAY],"FRI"),COUNTIFS(Table2[OUTCOME],"Target",Table2[DAY],"FRI"),COUNTIFS(Table3[OUTCOME],"Target",Table3[DAY],"FRI"),COUNTIFS(Table4[OUTCOME],"Target",Table4[DAY],"FRI"),COUNTIFS(Table5[OUTCOME],"Target",Table5[DAY],"FRI"),COUNTIFS(Table6[OUTCOME],"Target",Table6[DAY],"FRI"),COUNTIFS(Table7[OUTCOME],"Target",Table7[DAY],"FRI"),COUNTIFS(Table8[OUTCOME],"Target",Table8[DAY],"FRI"),COUNTIFS(Table9[OUTCOME],"Target",Table9[DAY],"FRI"),COUNTIFS(Table10[OUTCOME],"Target",Table10[DAY],"FRI"),COUNTIFS(Table11[OUTCOME],"Target",Table11[DAY],"FRI"),COUNTIFS(Table12[OUTCOME],"Target",Table12[DAY],"FRI"))</f>
        <v>31</v>
      </c>
      <c r="D9" s="3">
        <f t="shared" ref="D9:D12" si="0">C9+B9</f>
        <v>84</v>
      </c>
      <c r="E9" s="5">
        <f t="shared" ref="E9:E12" si="1">C9/D9</f>
        <v>0.36904761904761907</v>
      </c>
      <c r="G9" s="4" t="s">
        <v>33</v>
      </c>
      <c r="H9" s="52">
        <f>'MONTHLY-SIMPLE'!I33</f>
        <v>0.4642857142857143</v>
      </c>
      <c r="I9" s="53">
        <f>'MONTHLY-SIMPLE'!I37/936</f>
        <v>2.2564102564102564</v>
      </c>
      <c r="J9" s="51">
        <f>(COUNTIF(Table2[OUTCOME],"Target"))/(COUNTIF(Table2[OUTCOME],"Stoploss"))</f>
        <v>0.8666666666666667</v>
      </c>
      <c r="K9" s="49">
        <f>'MONTHLY-SIMPLE'!I39</f>
        <v>7000</v>
      </c>
    </row>
    <row r="10" spans="1:12" x14ac:dyDescent="0.3">
      <c r="A10" s="3" t="s">
        <v>22</v>
      </c>
      <c r="B10" s="1">
        <f>SUM(COUNTIFS(Table1[OUTCOME],"Stoploss",Table1[DAY],"MON"),COUNTIFS(Table2[OUTCOME],"Stoploss",Table2[DAY],"MON"),COUNTIFS(Table3[OUTCOME],"Stoploss",Table3[DAY],"MON"),COUNTIFS(Table4[OUTCOME],"Stoploss",Table4[DAY],"MON"),COUNTIFS(Table5[OUTCOME],"Stoploss",Table5[DAY],"MON"),COUNTIFS(Table6[OUTCOME],"Stoploss",Table6[DAY],"MON"),COUNTIFS(Table7[OUTCOME],"Stoploss",Table7[DAY],"MON"),COUNTIFS(Table8[OUTCOME],"Stoploss",Table8[DAY],"MON"),COUNTIFS(Table9[OUTCOME],"Stoploss",Table9[DAY],"MON"),COUNTIFS(Table10[OUTCOME],"Stoploss",Table10[DAY],"MON"),COUNTIFS(Table11[OUTCOME],"Stoploss",Table11[DAY],"MON"),COUNTIFS(Table12[OUTCOME],"Stoploss",Table12[DAY],"MON"))</f>
        <v>57</v>
      </c>
      <c r="C10" s="3">
        <f>SUM(COUNTIFS(Table1[OUTCOME],"Target",Table1[DAY],"MON"),COUNTIFS(Table2[OUTCOME],"Target",Table2[DAY],"MON"),COUNTIFS(Table3[OUTCOME],"Target",Table3[DAY],"MON"),COUNTIFS(Table4[OUTCOME],"Target",Table4[DAY],"MON"),COUNTIFS(Table5[OUTCOME],"Target",Table5[DAY],"MON"),COUNTIFS(Table6[OUTCOME],"Target",Table6[DAY],"MON"),COUNTIFS(Table7[OUTCOME],"Target",Table7[DAY],"MON"),COUNTIFS(Table8[OUTCOME],"Target",Table8[DAY],"MON"),COUNTIFS(Table9[OUTCOME],"Target",Table9[DAY],"MON"),COUNTIFS(Table10[OUTCOME],"Target",Table10[DAY],"MON"),COUNTIFS(Table11[OUTCOME],"Target",Table11[DAY],"MON"),COUNTIFS(Table12[OUTCOME],"Target",Table12[DAY],"MON"))</f>
        <v>27</v>
      </c>
      <c r="D10" s="3">
        <f t="shared" si="0"/>
        <v>84</v>
      </c>
      <c r="E10" s="5">
        <f t="shared" si="1"/>
        <v>0.32142857142857145</v>
      </c>
      <c r="G10" s="4" t="s">
        <v>34</v>
      </c>
      <c r="H10" s="52">
        <f>'MONTHLY-SIMPLE'!I63</f>
        <v>0.45714285714285713</v>
      </c>
      <c r="I10" s="53">
        <f>'MONTHLY-SIMPLE'!I67/1079</f>
        <v>2.4392956441149214</v>
      </c>
      <c r="J10" s="51">
        <f>(COUNTIF(Table3[OUTCOME],"Target"))/(COUNTIF(Table3[OUTCOME],"Stoploss"))</f>
        <v>0.84210526315789469</v>
      </c>
      <c r="K10" s="49">
        <f>'MONTHLY-SIMPLE'!I69</f>
        <v>9372.5</v>
      </c>
    </row>
    <row r="11" spans="1:12" x14ac:dyDescent="0.3">
      <c r="A11" s="3" t="s">
        <v>23</v>
      </c>
      <c r="B11" s="3">
        <f>SUM(COUNTIFS(Table1[OUTCOME],"Stoploss",Table1[DAY],"TUE"),COUNTIFS(Table2[OUTCOME],"Stoploss",Table2[DAY],"TUE"),COUNTIFS(Table3[OUTCOME],"Stoploss",Table3[DAY],"TUE"),COUNTIFS(Table4[OUTCOME],"Stoploss",Table4[DAY],"TUE"),COUNTIFS(Table5[OUTCOME],"Stoploss",Table5[DAY],"TUE"),COUNTIFS(Table6[OUTCOME],"Stoploss",Table6[DAY],"TUE"),COUNTIFS(Table7[OUTCOME],"Stoploss",Table7[DAY],"TUE"),COUNTIFS(Table8[OUTCOME],"Stoploss",Table8[DAY],"TUE"),COUNTIFS(Table9[OUTCOME],"Stoploss",Table9[DAY],"TUE"),COUNTIFS(Table10[OUTCOME],"Stoploss",Table10[DAY],"TUE"),COUNTIFS(Table11[OUTCOME],"Stoploss",Table11[DAY],"TUE"),COUNTIFS(Table12[OUTCOME],"Stoploss",Table12[DAY],"TUE"))</f>
        <v>51</v>
      </c>
      <c r="C11" s="3">
        <f>SUM(COUNTIFS(Table1[OUTCOME],"Target",Table1[DAY],"TUE"),COUNTIFS(Table2[OUTCOME],"Target",Table2[DAY],"TUE"),COUNTIFS(Table3[OUTCOME],"Target",Table3[DAY],"TUE"),COUNTIFS(Table4[OUTCOME],"Target",Table4[DAY],"TUE"),COUNTIFS(Table5[OUTCOME],"Target",Table5[DAY],"TUE"),COUNTIFS(Table6[OUTCOME],"Target",Table6[DAY],"TUE"),COUNTIFS(Table7[OUTCOME],"Target",Table7[DAY],"TUE"),COUNTIFS(Table8[OUTCOME],"Target",Table8[DAY],"TUE"),COUNTIFS(Table9[OUTCOME],"Target",Table9[DAY],"TUE"),COUNTIFS(Table10[OUTCOME],"Target",Table10[DAY],"TUE"),COUNTIFS(Table11[OUTCOME],"Target",Table11[DAY],"TUE"),COUNTIFS(Table12[OUTCOME],"Target",Table12[DAY],"TUE"))</f>
        <v>32</v>
      </c>
      <c r="D11" s="3">
        <f t="shared" si="0"/>
        <v>83</v>
      </c>
      <c r="E11" s="5">
        <f t="shared" si="1"/>
        <v>0.38554216867469882</v>
      </c>
      <c r="G11" s="4" t="s">
        <v>35</v>
      </c>
      <c r="H11" s="52">
        <f>'MONTHLY-SIMPLE'!I100</f>
        <v>0.45454545454545453</v>
      </c>
      <c r="I11" s="53">
        <f>'MONTHLY-SIMPLE'!I104/983</f>
        <v>2.1546286876907428</v>
      </c>
      <c r="J11" s="51">
        <f>(COUNTIF(Table4[OUTCOME],"Target"))/(COUNTIF(Table4[OUTCOME],"Stoploss"))</f>
        <v>0.83333333333333337</v>
      </c>
      <c r="K11" s="49">
        <f>'MONTHLY-SIMPLE'!I106</f>
        <v>6367.5</v>
      </c>
    </row>
    <row r="12" spans="1:12" x14ac:dyDescent="0.3">
      <c r="A12" s="3" t="s">
        <v>24</v>
      </c>
      <c r="B12" s="3">
        <f>SUM(COUNTIFS(Table1[OUTCOME],"Stoploss",Table1[DAY],"WED"),COUNTIFS(Table2[OUTCOME],"Stoploss",Table2[DAY],"WED"),COUNTIFS(Table3[OUTCOME],"Stoploss",Table3[DAY],"WED"),COUNTIFS(Table4[OUTCOME],"Stoploss",Table4[DAY],"WED"),COUNTIFS(Table5[OUTCOME],"Stoploss",Table5[DAY],"WED"),COUNTIFS(Table6[OUTCOME],"Stoploss",Table6[DAY],"WED"),COUNTIFS(Table7[OUTCOME],"Stoploss",Table7[DAY],"WED"),COUNTIFS(Table8[OUTCOME],"Stoploss",Table8[DAY],"WED"),COUNTIFS(Table9[OUTCOME],"Stoploss",Table9[DAY],"WED"),COUNTIFS(Table10[OUTCOME],"Stoploss",Table10[DAY],"WED"),COUNTIFS(Table11[OUTCOME],"Stoploss",Table11[DAY],"WED"),COUNTIFS(Table12[OUTCOME],"Stoploss",Table12[DAY],"WED"))</f>
        <v>44</v>
      </c>
      <c r="C12" s="3">
        <f>SUM(COUNTIFS(Table1[OUTCOME],"Target",Table1[DAY],"WED"),COUNTIFS(Table2[OUTCOME],"Target",Table2[DAY],"WED"),COUNTIFS(Table3[OUTCOME],"Target",Table3[DAY],"WED"),COUNTIFS(Table4[OUTCOME],"Target",Table4[DAY],"WED"),COUNTIFS(Table5[OUTCOME],"Target",Table5[DAY],"WED"),COUNTIFS(Table6[OUTCOME],"Target",Table6[DAY],"WED"),COUNTIFS(Table7[OUTCOME],"Target",Table7[DAY],"WED"),COUNTIFS(Table8[OUTCOME],"Target",Table8[DAY],"WED"),COUNTIFS(Table9[OUTCOME],"Target",Table9[DAY],"WED"),COUNTIFS(Table10[OUTCOME],"Target",Table10[DAY],"WED"),COUNTIFS(Table11[OUTCOME],"Target",Table11[DAY],"WED"),COUNTIFS(Table12[OUTCOME],"Target",Table12[DAY],"WED"))</f>
        <v>35</v>
      </c>
      <c r="D12" s="3">
        <f t="shared" si="0"/>
        <v>79</v>
      </c>
      <c r="E12" s="5">
        <f t="shared" si="1"/>
        <v>0.44303797468354428</v>
      </c>
      <c r="G12" s="4" t="s">
        <v>36</v>
      </c>
      <c r="H12" s="52">
        <f>'MONTHLY-SIMPLE'!I135</f>
        <v>0.47499999999999998</v>
      </c>
      <c r="I12" s="53">
        <f>'MONTHLY-SIMPLE'!I139/1191</f>
        <v>2.1628883291351806</v>
      </c>
      <c r="J12" s="51">
        <f>(COUNTIF(Table5[OUTCOME],"Target"))/(COUNTIF(Table5[OUTCOME],"Stoploss"))</f>
        <v>0.90476190476190477</v>
      </c>
      <c r="K12" s="49">
        <f>'MONTHLY-SIMPLE'!I141</f>
        <v>7787.5</v>
      </c>
    </row>
    <row r="13" spans="1:12" x14ac:dyDescent="0.3">
      <c r="A13" s="2" t="s">
        <v>19</v>
      </c>
      <c r="B13" s="2">
        <f>SUM(B8:B12)</f>
        <v>253</v>
      </c>
      <c r="C13" s="2">
        <f t="shared" ref="C13:D13" si="2">SUM(C8:C12)</f>
        <v>159</v>
      </c>
      <c r="D13" s="2">
        <f t="shared" si="2"/>
        <v>412</v>
      </c>
      <c r="E13"/>
      <c r="G13" s="4" t="s">
        <v>37</v>
      </c>
      <c r="H13" s="52">
        <f>'MONTHLY-SIMPLE'!I177</f>
        <v>0.40625</v>
      </c>
      <c r="I13" s="53">
        <f>'MONTHLY-SIMPLE'!I181/975</f>
        <v>2.0215384615384617</v>
      </c>
      <c r="J13" s="51">
        <f>(COUNTIF(Table6[OUTCOME],"Target"))/(COUNTIF(Table6[OUTCOME],"Stoploss"))</f>
        <v>0.68421052631578949</v>
      </c>
      <c r="K13" s="49">
        <f>'MONTHLY-SIMPLE'!I183</f>
        <v>5390</v>
      </c>
    </row>
    <row r="14" spans="1:12" ht="15" thickBot="1" x14ac:dyDescent="0.35">
      <c r="G14" s="4" t="s">
        <v>38</v>
      </c>
      <c r="H14" s="52">
        <f>'MONTHLY-SIMPLE'!I211</f>
        <v>0.26666666666666666</v>
      </c>
      <c r="I14" s="53">
        <f>'MONTHLY-SIMPLE'!I215/1309</f>
        <v>0.81818181818181823</v>
      </c>
      <c r="J14" s="51">
        <f>(COUNTIF(Table7[OUTCOME],"Target"))/(COUNTIF(Table7[OUTCOME],"Stoploss"))</f>
        <v>0.36363636363636365</v>
      </c>
      <c r="K14" s="49">
        <f>'MONTHLY-SIMPLE'!I217</f>
        <v>-4710</v>
      </c>
    </row>
    <row r="15" spans="1:12" ht="15" thickBot="1" x14ac:dyDescent="0.35">
      <c r="A15" s="16" t="s">
        <v>63</v>
      </c>
      <c r="B15" s="18">
        <f>((0.3859*1073.11)-(0.6141*362.43))-65</f>
        <v>126.54488599999996</v>
      </c>
      <c r="C15" s="59">
        <f>B15/8000</f>
        <v>1.5818110749999996E-2</v>
      </c>
      <c r="D15" s="60">
        <f>100/1.58</f>
        <v>63.291139240506325</v>
      </c>
      <c r="G15" s="4" t="s">
        <v>39</v>
      </c>
      <c r="H15" s="52">
        <f>'MONTHLY-SIMPLE'!I258</f>
        <v>0.31428571428571428</v>
      </c>
      <c r="I15" s="53">
        <f>'MONTHLY-SIMPLE'!I262/823</f>
        <v>1.8554070473876063</v>
      </c>
      <c r="J15" s="51">
        <f>(COUNTIF(Table1[OUTCOME],"Target"))/(COUNTIF(Table1[OUTCOME],"Stoploss"))</f>
        <v>0.45833333333333331</v>
      </c>
      <c r="K15" s="49">
        <f>'MONTHLY-SIMPLE'!I264</f>
        <v>3005</v>
      </c>
    </row>
    <row r="16" spans="1:12" x14ac:dyDescent="0.3">
      <c r="G16" s="4" t="s">
        <v>40</v>
      </c>
      <c r="H16" s="52">
        <f>'MONTHLY-SIMPLE'!I294</f>
        <v>0.38095238095238093</v>
      </c>
      <c r="I16" s="53">
        <f>'MONTHLY-SIMPLE'!I298/1373</f>
        <v>1.7560087399854334</v>
      </c>
      <c r="J16" s="51">
        <f>(COUNTIF(Table9[OUTCOME],"Target"))/(COUNTIF(Table9[OUTCOME],"Stoploss"))</f>
        <v>0.61538461538461542</v>
      </c>
      <c r="K16" s="49">
        <f>'MONTHLY-SIMPLE'!I300</f>
        <v>5055</v>
      </c>
    </row>
    <row r="17" spans="1:11" ht="15" thickBot="1" x14ac:dyDescent="0.35">
      <c r="B17" s="55"/>
      <c r="G17" s="4" t="s">
        <v>41</v>
      </c>
      <c r="H17" s="52">
        <f>'MONTHLY-SIMPLE'!I338</f>
        <v>0.36842105263157893</v>
      </c>
      <c r="I17" s="53">
        <f>'MONTHLY-SIMPLE'!I342/1279</f>
        <v>1.4566067240031275</v>
      </c>
      <c r="J17" s="51">
        <f>(COUNTIF(Table10[OUTCOME],"Target"))/(COUNTIF(Table10[OUTCOME],"Stoploss"))</f>
        <v>0.58333333333333337</v>
      </c>
      <c r="K17" s="49">
        <f>'MONTHLY-SIMPLE'!I344</f>
        <v>1910</v>
      </c>
    </row>
    <row r="18" spans="1:11" ht="15" thickBot="1" x14ac:dyDescent="0.35">
      <c r="A18" s="16" t="s">
        <v>62</v>
      </c>
      <c r="B18" s="61">
        <f>SUM(COUNTIFS(Table1[OUTCOME],"Target",Table1[RANGE],"1",Table1[DAY],"THU"),COUNTIFS(Table2[OUTCOME],"Target",Table2[RANGE],"1",Table2[DAY],"THU"),COUNTIFS(Table3[OUTCOME],"Target",Table3[RANGE],"1",Table3[DAY],"THU"),COUNTIFS(Table4[OUTCOME],"Target",Table4[RANGE],"1",Table4[DAY],"THU"),COUNTIFS(Table5[OUTCOME],"Target",Table5[RANGE],"1",Table5[DAY],"THU"),COUNTIFS(Table6[OUTCOME],"Target",Table6[RANGE],"1",Table6[DAY],"THU"),COUNTIFS(Table7[OUTCOME],"Target",Table7[RANGE],"1",Table7[DAY],"THU"),COUNTIFS(Table8[OUTCOME],"Target",Table8[RANGE],"1",Table8[DAY],"THU"),COUNTIFS(Table9[OUTCOME],"Target",Table9[RANGE],"1",Table9[DAY],"THU"),COUNTIFS(Table10[OUTCOME],"Target",Table10[RANGE],"1",Table10[DAY],"THU"),COUNTIFS(Table11[OUTCOME],"Target",Table11[RANGE],"1",Table11[DAY],"THU"),COUNTIFS(Table12[OUTCOME],"Target",Table12[RANGE],"1",Table12[DAY],"THU"))</f>
        <v>22</v>
      </c>
      <c r="G18" s="4" t="s">
        <v>42</v>
      </c>
      <c r="H18" s="52">
        <f>'MONTHLY-SIMPLE'!I378</f>
        <v>0.37931034482758619</v>
      </c>
      <c r="I18" s="53">
        <f>'MONTHLY-SIMPLE'!I382/797</f>
        <v>1.8732747804265997</v>
      </c>
      <c r="J18" s="51">
        <f>(COUNTIF(Table11[OUTCOME],"Target"))/(COUNTIF(Table11[OUTCOME],"Stoploss"))</f>
        <v>0.61111111111111116</v>
      </c>
      <c r="K18" s="49">
        <f>'MONTHLY-SIMPLE'!I384</f>
        <v>3335</v>
      </c>
    </row>
    <row r="19" spans="1:11" ht="15" thickBot="1" x14ac:dyDescent="0.35">
      <c r="B19" s="54">
        <f>B18/C8</f>
        <v>0.6470588235294118</v>
      </c>
      <c r="G19" s="4" t="s">
        <v>43</v>
      </c>
      <c r="H19" s="52">
        <f>'MONTHLY-SIMPLE'!I409</f>
        <v>0.35714285714285715</v>
      </c>
      <c r="I19" s="53">
        <f>'MONTHLY-SIMPLE'!I413/658</f>
        <v>2.6124620060790273</v>
      </c>
      <c r="J19" s="51">
        <f>(COUNTIF(Table12[OUTCOME],"Target"))/(COUNTIF(Table12[OUTCOME],"Stoploss"))</f>
        <v>0.55555555555555558</v>
      </c>
      <c r="K19" s="49">
        <f>'MONTHLY-SIMPLE'!I415</f>
        <v>6137.5</v>
      </c>
    </row>
  </sheetData>
  <phoneticPr fontId="2" type="noConversion"/>
  <conditionalFormatting sqref="B8:B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D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9A78-4DBB-4B43-ABB2-DA4E558BAF77}">
  <dimension ref="A1:L436"/>
  <sheetViews>
    <sheetView tabSelected="1" topLeftCell="A126" zoomScale="130" zoomScaleNormal="130" workbookViewId="0">
      <selection activeCell="G135" sqref="G135"/>
    </sheetView>
  </sheetViews>
  <sheetFormatPr defaultColWidth="10.77734375" defaultRowHeight="16.2" customHeight="1" x14ac:dyDescent="0.3"/>
  <cols>
    <col min="1" max="2" width="10.77734375" style="1"/>
    <col min="3" max="3" width="11.77734375" style="1" customWidth="1"/>
    <col min="4" max="4" width="10.88671875" style="1" customWidth="1"/>
    <col min="5" max="6" width="10.77734375" style="1"/>
    <col min="7" max="7" width="16" style="1" customWidth="1"/>
    <col min="8" max="8" width="16.6640625" style="1" bestFit="1" customWidth="1"/>
    <col min="9" max="9" width="13.6640625" style="1" bestFit="1" customWidth="1"/>
    <col min="10" max="10" width="10.77734375" style="1"/>
    <col min="11" max="12" width="10.77734375" style="34"/>
    <col min="13" max="16384" width="10.77734375" style="1"/>
  </cols>
  <sheetData>
    <row r="1" spans="1:12" ht="16.2" customHeight="1" thickBot="1" x14ac:dyDescent="0.35">
      <c r="A1" s="58" t="s">
        <v>49</v>
      </c>
      <c r="B1" s="58"/>
      <c r="C1" s="58"/>
      <c r="D1" s="58"/>
      <c r="E1" s="58"/>
      <c r="F1" s="58"/>
    </row>
    <row r="2" spans="1:12" ht="16.2" customHeight="1" x14ac:dyDescent="0.3">
      <c r="A2" s="20" t="s">
        <v>0</v>
      </c>
      <c r="B2" s="20" t="s">
        <v>1</v>
      </c>
      <c r="C2" s="20" t="s">
        <v>3</v>
      </c>
      <c r="D2" s="20" t="s">
        <v>2</v>
      </c>
      <c r="E2" s="20" t="s">
        <v>4</v>
      </c>
      <c r="F2" s="20" t="s">
        <v>47</v>
      </c>
      <c r="H2" s="3" t="s">
        <v>5</v>
      </c>
      <c r="I2" s="3">
        <f>COUNT(Table8[DATE])</f>
        <v>27</v>
      </c>
      <c r="L2" s="34">
        <v>10000</v>
      </c>
    </row>
    <row r="3" spans="1:12" ht="16.2" customHeight="1" x14ac:dyDescent="0.3">
      <c r="A3" s="7">
        <v>3</v>
      </c>
      <c r="B3" s="6">
        <v>0.42708333333333331</v>
      </c>
      <c r="C3" s="7" t="s">
        <v>48</v>
      </c>
      <c r="D3" s="7">
        <v>-27</v>
      </c>
      <c r="E3" s="7" t="s">
        <v>22</v>
      </c>
      <c r="F3" s="7">
        <v>1</v>
      </c>
      <c r="H3" s="3" t="s">
        <v>6</v>
      </c>
      <c r="I3" s="5">
        <f>((COUNTIF(Table8[OUTCOME],"Target"))/I2)</f>
        <v>0.33333333333333331</v>
      </c>
      <c r="K3" s="34">
        <f>((Table8[[#This Row],[SPOT PTS]]/2)*15)-65</f>
        <v>-267.5</v>
      </c>
      <c r="L3" s="34">
        <f>L2+K3</f>
        <v>9732.5</v>
      </c>
    </row>
    <row r="4" spans="1:12" ht="16.2" customHeight="1" x14ac:dyDescent="0.3">
      <c r="A4" s="9">
        <v>3</v>
      </c>
      <c r="B4" s="8">
        <v>0.44097222222222227</v>
      </c>
      <c r="C4" s="9" t="s">
        <v>48</v>
      </c>
      <c r="D4" s="9">
        <v>-56</v>
      </c>
      <c r="E4" s="9" t="s">
        <v>22</v>
      </c>
      <c r="F4" s="9">
        <v>1</v>
      </c>
      <c r="H4" s="3" t="s">
        <v>7</v>
      </c>
      <c r="I4" s="3">
        <f>SUM(Table8[SPOT PTS])</f>
        <v>434</v>
      </c>
      <c r="K4" s="34">
        <f>((Table8[[#This Row],[SPOT PTS]]/2)*15)-65</f>
        <v>-485</v>
      </c>
      <c r="L4" s="34">
        <f t="shared" ref="L4:L29" si="0">L3+K4</f>
        <v>9247.5</v>
      </c>
    </row>
    <row r="5" spans="1:12" ht="16.2" customHeight="1" thickBot="1" x14ac:dyDescent="0.35">
      <c r="A5" s="7">
        <v>3</v>
      </c>
      <c r="B5" s="6">
        <v>0.47569444444444442</v>
      </c>
      <c r="C5" s="7" t="s">
        <v>48</v>
      </c>
      <c r="D5" s="7">
        <v>-30</v>
      </c>
      <c r="E5" s="7" t="s">
        <v>22</v>
      </c>
      <c r="F5" s="7">
        <v>1</v>
      </c>
      <c r="H5" s="3" t="s">
        <v>8</v>
      </c>
      <c r="I5" s="3">
        <f>65*I2</f>
        <v>1755</v>
      </c>
      <c r="K5" s="34">
        <f>((Table8[[#This Row],[SPOT PTS]]/2)*15)-65</f>
        <v>-290</v>
      </c>
      <c r="L5" s="34">
        <f t="shared" si="0"/>
        <v>8957.5</v>
      </c>
    </row>
    <row r="6" spans="1:12" ht="16.2" customHeight="1" thickBot="1" x14ac:dyDescent="0.35">
      <c r="A6" s="12">
        <v>4</v>
      </c>
      <c r="B6" s="11">
        <v>0.39583333333333331</v>
      </c>
      <c r="C6" s="12" t="s">
        <v>50</v>
      </c>
      <c r="D6" s="12">
        <v>181</v>
      </c>
      <c r="E6" s="12" t="s">
        <v>23</v>
      </c>
      <c r="F6" s="12">
        <v>1</v>
      </c>
      <c r="H6" s="3" t="s">
        <v>9</v>
      </c>
      <c r="I6" s="3">
        <f>SUMIF(Table8[OUTCOME],"Stoploss",Table8[SPOT PTS])</f>
        <v>-823</v>
      </c>
      <c r="K6" s="34">
        <f>((Table8[[#This Row],[SPOT PTS]]/2)*15)-65</f>
        <v>1292.5</v>
      </c>
      <c r="L6" s="34">
        <f t="shared" si="0"/>
        <v>10250</v>
      </c>
    </row>
    <row r="7" spans="1:12" ht="16.2" customHeight="1" x14ac:dyDescent="0.3">
      <c r="A7" s="15">
        <v>5</v>
      </c>
      <c r="B7" s="14">
        <v>0.39930555555555558</v>
      </c>
      <c r="C7" s="15" t="s">
        <v>48</v>
      </c>
      <c r="D7" s="15">
        <v>-80</v>
      </c>
      <c r="E7" s="15" t="s">
        <v>24</v>
      </c>
      <c r="F7" s="15">
        <v>1</v>
      </c>
      <c r="H7" s="3" t="s">
        <v>10</v>
      </c>
      <c r="I7" s="3">
        <f>SUMIF(Table8[OUTCOME],"Target",Table8[SPOT PTS])</f>
        <v>1257</v>
      </c>
      <c r="K7" s="34">
        <f>((Table8[[#This Row],[SPOT PTS]]/2)*15)-65</f>
        <v>-665</v>
      </c>
      <c r="L7" s="34">
        <f t="shared" si="0"/>
        <v>9585</v>
      </c>
    </row>
    <row r="8" spans="1:12" ht="16.2" customHeight="1" x14ac:dyDescent="0.3">
      <c r="A8" s="9">
        <v>5</v>
      </c>
      <c r="B8" s="8">
        <v>0.4826388888888889</v>
      </c>
      <c r="C8" s="9" t="s">
        <v>48</v>
      </c>
      <c r="D8" s="9">
        <v>-49</v>
      </c>
      <c r="E8" s="9" t="s">
        <v>24</v>
      </c>
      <c r="F8" s="9">
        <v>1</v>
      </c>
      <c r="H8" s="3" t="s">
        <v>11</v>
      </c>
      <c r="I8" s="5">
        <f>I9/10000</f>
        <v>0.15</v>
      </c>
      <c r="K8" s="34">
        <f>((Table8[[#This Row],[SPOT PTS]]/2)*15)-65</f>
        <v>-432.5</v>
      </c>
      <c r="L8" s="34">
        <f t="shared" si="0"/>
        <v>9152.5</v>
      </c>
    </row>
    <row r="9" spans="1:12" ht="16.2" customHeight="1" thickBot="1" x14ac:dyDescent="0.35">
      <c r="A9" s="7">
        <v>5</v>
      </c>
      <c r="B9" s="6">
        <v>0.53125</v>
      </c>
      <c r="C9" s="7" t="s">
        <v>48</v>
      </c>
      <c r="D9" s="7">
        <v>-47</v>
      </c>
      <c r="E9" s="7" t="s">
        <v>24</v>
      </c>
      <c r="F9" s="7">
        <v>2</v>
      </c>
      <c r="H9" s="3" t="s">
        <v>12</v>
      </c>
      <c r="I9" s="35">
        <f>((I4/2)*15)-I5</f>
        <v>1500</v>
      </c>
      <c r="K9" s="34">
        <f>((Table8[[#This Row],[SPOT PTS]]/2)*15)-65</f>
        <v>-417.5</v>
      </c>
      <c r="L9" s="34">
        <f t="shared" si="0"/>
        <v>8735</v>
      </c>
    </row>
    <row r="10" spans="1:12" ht="16.2" customHeight="1" thickBot="1" x14ac:dyDescent="0.35">
      <c r="A10" s="12">
        <v>6</v>
      </c>
      <c r="B10" s="11">
        <v>0.4826388888888889</v>
      </c>
      <c r="C10" s="12" t="s">
        <v>48</v>
      </c>
      <c r="D10" s="12">
        <v>-44</v>
      </c>
      <c r="E10" s="12" t="s">
        <v>20</v>
      </c>
      <c r="F10" s="12">
        <v>1</v>
      </c>
      <c r="K10" s="34">
        <f>((Table8[[#This Row],[SPOT PTS]]/2)*15)-65</f>
        <v>-395</v>
      </c>
      <c r="L10" s="34">
        <f t="shared" si="0"/>
        <v>8340</v>
      </c>
    </row>
    <row r="11" spans="1:12" ht="16.2" customHeight="1" thickBot="1" x14ac:dyDescent="0.35">
      <c r="A11" s="15">
        <v>10</v>
      </c>
      <c r="B11" s="14">
        <v>0.39583333333333331</v>
      </c>
      <c r="C11" s="15" t="s">
        <v>48</v>
      </c>
      <c r="D11" s="15">
        <v>-80</v>
      </c>
      <c r="E11" s="15" t="s">
        <v>22</v>
      </c>
      <c r="F11" s="15">
        <v>1</v>
      </c>
      <c r="K11" s="34">
        <f>((Table8[[#This Row],[SPOT PTS]]/2)*15)-65</f>
        <v>-665</v>
      </c>
      <c r="L11" s="34">
        <f t="shared" si="0"/>
        <v>7675</v>
      </c>
    </row>
    <row r="12" spans="1:12" ht="16.2" customHeight="1" x14ac:dyDescent="0.3">
      <c r="A12" s="12">
        <v>11</v>
      </c>
      <c r="B12" s="11">
        <v>0.44444444444444442</v>
      </c>
      <c r="C12" s="12" t="s">
        <v>48</v>
      </c>
      <c r="D12" s="12">
        <v>-26</v>
      </c>
      <c r="E12" s="12" t="s">
        <v>23</v>
      </c>
      <c r="F12" s="12">
        <v>1</v>
      </c>
      <c r="K12" s="34">
        <f>((Table8[[#This Row],[SPOT PTS]]/2)*15)-65</f>
        <v>-260</v>
      </c>
      <c r="L12" s="34">
        <f t="shared" si="0"/>
        <v>7415</v>
      </c>
    </row>
    <row r="13" spans="1:12" ht="16.2" customHeight="1" thickBot="1" x14ac:dyDescent="0.35">
      <c r="A13" s="7">
        <v>11</v>
      </c>
      <c r="B13" s="6">
        <v>6.9444444444444434E-2</v>
      </c>
      <c r="C13" s="7" t="s">
        <v>50</v>
      </c>
      <c r="D13" s="7">
        <v>71</v>
      </c>
      <c r="E13" s="7" t="s">
        <v>23</v>
      </c>
      <c r="F13" s="7">
        <v>2</v>
      </c>
      <c r="K13" s="34">
        <f>((Table8[[#This Row],[SPOT PTS]]/2)*15)-65</f>
        <v>467.5</v>
      </c>
      <c r="L13" s="34">
        <f t="shared" si="0"/>
        <v>7882.5</v>
      </c>
    </row>
    <row r="14" spans="1:12" ht="16.2" customHeight="1" thickBot="1" x14ac:dyDescent="0.35">
      <c r="A14" s="12">
        <v>12</v>
      </c>
      <c r="B14" s="11">
        <v>0.39583333333333331</v>
      </c>
      <c r="C14" s="12" t="s">
        <v>48</v>
      </c>
      <c r="D14" s="12">
        <v>-51</v>
      </c>
      <c r="E14" s="12" t="s">
        <v>24</v>
      </c>
      <c r="F14" s="12">
        <v>1</v>
      </c>
      <c r="K14" s="34">
        <f>((Table8[[#This Row],[SPOT PTS]]/2)*15)-65</f>
        <v>-447.5</v>
      </c>
      <c r="L14" s="34">
        <f t="shared" si="0"/>
        <v>7435</v>
      </c>
    </row>
    <row r="15" spans="1:12" ht="16.2" customHeight="1" thickBot="1" x14ac:dyDescent="0.35">
      <c r="A15" s="15">
        <v>14</v>
      </c>
      <c r="B15" s="14">
        <v>0.49652777777777773</v>
      </c>
      <c r="C15" s="15" t="s">
        <v>48</v>
      </c>
      <c r="D15" s="15">
        <v>-40</v>
      </c>
      <c r="E15" s="15" t="s">
        <v>21</v>
      </c>
      <c r="F15" s="15">
        <v>1</v>
      </c>
      <c r="K15" s="34">
        <f>((Table8[[#This Row],[SPOT PTS]]/2)*15)-65</f>
        <v>-365</v>
      </c>
      <c r="L15" s="34">
        <f t="shared" si="0"/>
        <v>7070</v>
      </c>
    </row>
    <row r="16" spans="1:12" ht="16.2" customHeight="1" thickBot="1" x14ac:dyDescent="0.35">
      <c r="A16" s="12">
        <v>17</v>
      </c>
      <c r="B16" s="11">
        <v>8.6805555555555566E-2</v>
      </c>
      <c r="C16" s="12" t="s">
        <v>50</v>
      </c>
      <c r="D16" s="12">
        <v>3</v>
      </c>
      <c r="E16" s="12" t="s">
        <v>22</v>
      </c>
      <c r="F16" s="12">
        <v>2</v>
      </c>
      <c r="K16" s="34">
        <f>((Table8[[#This Row],[SPOT PTS]]/2)*15)-65</f>
        <v>-42.5</v>
      </c>
      <c r="L16" s="34">
        <f t="shared" si="0"/>
        <v>7027.5</v>
      </c>
    </row>
    <row r="17" spans="1:12" ht="16.2" customHeight="1" x14ac:dyDescent="0.3">
      <c r="A17" s="15">
        <v>18</v>
      </c>
      <c r="B17" s="14">
        <v>0.39930555555555558</v>
      </c>
      <c r="C17" s="15" t="s">
        <v>48</v>
      </c>
      <c r="D17" s="15">
        <v>-62</v>
      </c>
      <c r="E17" s="15" t="s">
        <v>23</v>
      </c>
      <c r="F17" s="15">
        <v>1</v>
      </c>
      <c r="K17" s="34">
        <f>((Table8[[#This Row],[SPOT PTS]]/2)*15)-65</f>
        <v>-530</v>
      </c>
      <c r="L17" s="34">
        <f t="shared" si="0"/>
        <v>6497.5</v>
      </c>
    </row>
    <row r="18" spans="1:12" ht="16.2" customHeight="1" x14ac:dyDescent="0.3">
      <c r="A18" s="9">
        <v>18</v>
      </c>
      <c r="B18" s="8">
        <v>0.52083333333333337</v>
      </c>
      <c r="C18" s="9" t="s">
        <v>48</v>
      </c>
      <c r="D18" s="9">
        <v>-26</v>
      </c>
      <c r="E18" s="9" t="s">
        <v>23</v>
      </c>
      <c r="F18" s="9">
        <v>2</v>
      </c>
      <c r="K18" s="34">
        <f>((Table8[[#This Row],[SPOT PTS]]/2)*15)-65</f>
        <v>-260</v>
      </c>
      <c r="L18" s="34">
        <f t="shared" si="0"/>
        <v>6237.5</v>
      </c>
    </row>
    <row r="19" spans="1:12" ht="16.2" customHeight="1" thickBot="1" x14ac:dyDescent="0.35">
      <c r="A19" s="7">
        <v>18</v>
      </c>
      <c r="B19" s="6">
        <v>6.25E-2</v>
      </c>
      <c r="C19" s="7" t="s">
        <v>50</v>
      </c>
      <c r="D19" s="7">
        <v>252</v>
      </c>
      <c r="E19" s="7" t="s">
        <v>23</v>
      </c>
      <c r="F19" s="7">
        <v>2</v>
      </c>
      <c r="K19" s="34">
        <f>((Table8[[#This Row],[SPOT PTS]]/2)*15)-65</f>
        <v>1825</v>
      </c>
      <c r="L19" s="34">
        <f t="shared" si="0"/>
        <v>8062.5</v>
      </c>
    </row>
    <row r="20" spans="1:12" ht="16.2" customHeight="1" thickBot="1" x14ac:dyDescent="0.35">
      <c r="A20" s="12">
        <v>19</v>
      </c>
      <c r="B20" s="11">
        <v>0.11805555555555557</v>
      </c>
      <c r="C20" s="12" t="s">
        <v>50</v>
      </c>
      <c r="D20" s="12">
        <v>28</v>
      </c>
      <c r="E20" s="12" t="s">
        <v>24</v>
      </c>
      <c r="F20" s="12">
        <v>2</v>
      </c>
      <c r="K20" s="34">
        <f>((Table8[[#This Row],[SPOT PTS]]/2)*15)-65</f>
        <v>145</v>
      </c>
      <c r="L20" s="34">
        <f t="shared" si="0"/>
        <v>8207.5</v>
      </c>
    </row>
    <row r="21" spans="1:12" ht="16.2" customHeight="1" x14ac:dyDescent="0.3">
      <c r="A21" s="15">
        <v>20</v>
      </c>
      <c r="B21" s="14">
        <v>0.50694444444444442</v>
      </c>
      <c r="C21" s="15" t="s">
        <v>48</v>
      </c>
      <c r="D21" s="15">
        <v>-27</v>
      </c>
      <c r="E21" s="15" t="s">
        <v>20</v>
      </c>
      <c r="F21" s="15">
        <v>2</v>
      </c>
      <c r="K21" s="34">
        <f>((Table8[[#This Row],[SPOT PTS]]/2)*15)-65</f>
        <v>-267.5</v>
      </c>
      <c r="L21" s="34">
        <f t="shared" si="0"/>
        <v>7940</v>
      </c>
    </row>
    <row r="22" spans="1:12" ht="16.2" customHeight="1" thickBot="1" x14ac:dyDescent="0.35">
      <c r="A22" s="9">
        <v>20</v>
      </c>
      <c r="B22" s="8">
        <v>0.53125</v>
      </c>
      <c r="C22" s="9" t="s">
        <v>50</v>
      </c>
      <c r="D22" s="9">
        <v>86</v>
      </c>
      <c r="E22" s="9" t="s">
        <v>20</v>
      </c>
      <c r="F22" s="9">
        <v>2</v>
      </c>
      <c r="K22" s="34">
        <f>((Table8[[#This Row],[SPOT PTS]]/2)*15)-65</f>
        <v>580</v>
      </c>
      <c r="L22" s="34">
        <f t="shared" si="0"/>
        <v>8520</v>
      </c>
    </row>
    <row r="23" spans="1:12" ht="16.2" customHeight="1" thickBot="1" x14ac:dyDescent="0.35">
      <c r="A23" s="15">
        <v>21</v>
      </c>
      <c r="B23" s="14">
        <v>0.47916666666666669</v>
      </c>
      <c r="C23" s="15" t="s">
        <v>48</v>
      </c>
      <c r="D23" s="15">
        <v>-37</v>
      </c>
      <c r="E23" s="15" t="s">
        <v>21</v>
      </c>
      <c r="F23" s="15">
        <v>1</v>
      </c>
      <c r="K23" s="34">
        <f>((Table8[[#This Row],[SPOT PTS]]/2)*15)-65</f>
        <v>-342.5</v>
      </c>
      <c r="L23" s="34">
        <f t="shared" si="0"/>
        <v>8177.5</v>
      </c>
    </row>
    <row r="24" spans="1:12" ht="16.2" customHeight="1" thickBot="1" x14ac:dyDescent="0.35">
      <c r="A24" s="12">
        <v>24</v>
      </c>
      <c r="B24" s="11">
        <v>0.41319444444444442</v>
      </c>
      <c r="C24" s="12" t="s">
        <v>50</v>
      </c>
      <c r="D24" s="12">
        <v>239</v>
      </c>
      <c r="E24" s="12" t="s">
        <v>22</v>
      </c>
      <c r="F24" s="12">
        <v>1</v>
      </c>
      <c r="K24" s="34">
        <f>((Table8[[#This Row],[SPOT PTS]]/2)*15)-65</f>
        <v>1727.5</v>
      </c>
      <c r="L24" s="34">
        <f t="shared" si="0"/>
        <v>9905</v>
      </c>
    </row>
    <row r="25" spans="1:12" ht="16.2" customHeight="1" thickBot="1" x14ac:dyDescent="0.35">
      <c r="A25" s="15">
        <v>25</v>
      </c>
      <c r="B25" s="14">
        <v>0.52083333333333337</v>
      </c>
      <c r="C25" s="15" t="s">
        <v>48</v>
      </c>
      <c r="D25" s="15">
        <v>-43</v>
      </c>
      <c r="E25" s="15" t="s">
        <v>23</v>
      </c>
      <c r="F25" s="15">
        <v>2</v>
      </c>
      <c r="K25" s="34">
        <f>((Table8[[#This Row],[SPOT PTS]]/2)*15)-65</f>
        <v>-387.5</v>
      </c>
      <c r="L25" s="34">
        <f t="shared" si="0"/>
        <v>9517.5</v>
      </c>
    </row>
    <row r="26" spans="1:12" ht="16.2" customHeight="1" thickBot="1" x14ac:dyDescent="0.35">
      <c r="A26" s="12">
        <v>27</v>
      </c>
      <c r="B26" s="11">
        <v>0.4201388888888889</v>
      </c>
      <c r="C26" s="12" t="s">
        <v>50</v>
      </c>
      <c r="D26" s="12">
        <v>274</v>
      </c>
      <c r="E26" s="12" t="s">
        <v>20</v>
      </c>
      <c r="F26" s="12">
        <v>1</v>
      </c>
      <c r="K26" s="34">
        <f>((Table8[[#This Row],[SPOT PTS]]/2)*15)-65</f>
        <v>1990</v>
      </c>
      <c r="L26" s="34">
        <f t="shared" si="0"/>
        <v>11507.5</v>
      </c>
    </row>
    <row r="27" spans="1:12" ht="16.2" customHeight="1" thickBot="1" x14ac:dyDescent="0.35">
      <c r="A27" s="15">
        <v>28</v>
      </c>
      <c r="B27" s="14">
        <v>0.41666666666666669</v>
      </c>
      <c r="C27" s="15" t="s">
        <v>50</v>
      </c>
      <c r="D27" s="15">
        <v>123</v>
      </c>
      <c r="E27" s="15" t="s">
        <v>21</v>
      </c>
      <c r="F27" s="15">
        <v>1</v>
      </c>
      <c r="K27" s="34">
        <f>((Table8[[#This Row],[SPOT PTS]]/2)*15)-65</f>
        <v>857.5</v>
      </c>
      <c r="L27" s="34">
        <f t="shared" si="0"/>
        <v>12365</v>
      </c>
    </row>
    <row r="28" spans="1:12" ht="16.2" customHeight="1" x14ac:dyDescent="0.3">
      <c r="A28" s="12">
        <v>31</v>
      </c>
      <c r="B28" s="11">
        <v>0.40625</v>
      </c>
      <c r="C28" s="12" t="s">
        <v>48</v>
      </c>
      <c r="D28" s="12">
        <v>-52</v>
      </c>
      <c r="E28" s="12" t="s">
        <v>22</v>
      </c>
      <c r="F28" s="12">
        <v>1</v>
      </c>
      <c r="K28" s="34">
        <f>((Table8[[#This Row],[SPOT PTS]]/2)*15)-65</f>
        <v>-455</v>
      </c>
      <c r="L28" s="34">
        <f t="shared" si="0"/>
        <v>11910</v>
      </c>
    </row>
    <row r="29" spans="1:12" ht="16.2" customHeight="1" x14ac:dyDescent="0.3">
      <c r="A29" s="7">
        <v>31</v>
      </c>
      <c r="B29" s="6">
        <v>9.375E-2</v>
      </c>
      <c r="C29" s="7" t="s">
        <v>48</v>
      </c>
      <c r="D29" s="7">
        <v>-46</v>
      </c>
      <c r="E29" s="7" t="s">
        <v>22</v>
      </c>
      <c r="F29" s="7">
        <v>2</v>
      </c>
      <c r="K29" s="34">
        <f>((Table8[[#This Row],[SPOT PTS]]/2)*15)-65</f>
        <v>-410</v>
      </c>
      <c r="L29" s="34">
        <f t="shared" si="0"/>
        <v>11500</v>
      </c>
    </row>
    <row r="30" spans="1:12" ht="16.2" customHeight="1" thickBot="1" x14ac:dyDescent="0.35">
      <c r="A30" s="58" t="s">
        <v>51</v>
      </c>
      <c r="B30" s="58"/>
      <c r="C30" s="58"/>
      <c r="D30" s="58"/>
      <c r="E30" s="58"/>
      <c r="F30" s="58"/>
    </row>
    <row r="31" spans="1:12" ht="15" thickBot="1" x14ac:dyDescent="0.35">
      <c r="A31" s="20" t="s">
        <v>0</v>
      </c>
      <c r="B31" s="20" t="s">
        <v>1</v>
      </c>
      <c r="C31" s="20" t="s">
        <v>3</v>
      </c>
      <c r="D31" s="20" t="s">
        <v>2</v>
      </c>
      <c r="E31" s="20" t="s">
        <v>4</v>
      </c>
      <c r="F31" s="20" t="s">
        <v>47</v>
      </c>
      <c r="L31" s="34">
        <v>10000</v>
      </c>
    </row>
    <row r="32" spans="1:12" ht="16.2" customHeight="1" x14ac:dyDescent="0.3">
      <c r="A32" s="12">
        <v>1</v>
      </c>
      <c r="B32" s="11">
        <v>0.40277777777777773</v>
      </c>
      <c r="C32" s="12" t="s">
        <v>48</v>
      </c>
      <c r="D32" s="12">
        <v>-80</v>
      </c>
      <c r="E32" s="12" t="s">
        <v>23</v>
      </c>
      <c r="F32" s="12">
        <v>1</v>
      </c>
      <c r="H32" s="3" t="s">
        <v>5</v>
      </c>
      <c r="I32" s="3">
        <f>COUNT(Table2[RANGE])</f>
        <v>28</v>
      </c>
      <c r="K32" s="34">
        <f>(Table2[[#This Row],[SPOT PTS]]/2)*15-65</f>
        <v>-665</v>
      </c>
      <c r="L32" s="34">
        <f>K32+L31</f>
        <v>9335</v>
      </c>
    </row>
    <row r="33" spans="1:12" ht="16.2" customHeight="1" thickBot="1" x14ac:dyDescent="0.35">
      <c r="A33" s="36">
        <v>1</v>
      </c>
      <c r="B33" s="37">
        <v>0.50347222222222221</v>
      </c>
      <c r="C33" s="36" t="s">
        <v>50</v>
      </c>
      <c r="D33" s="36">
        <v>239</v>
      </c>
      <c r="E33" s="36" t="s">
        <v>23</v>
      </c>
      <c r="F33" s="36">
        <v>2</v>
      </c>
      <c r="H33" s="3" t="s">
        <v>6</v>
      </c>
      <c r="I33" s="5">
        <f>((COUNTIF(Table2[OUTCOME],"Target"))/I32)</f>
        <v>0.4642857142857143</v>
      </c>
      <c r="K33" s="34">
        <f>(Table2[[#This Row],[SPOT PTS]]/2)*15-65</f>
        <v>1727.5</v>
      </c>
      <c r="L33" s="34">
        <f>K33+L32</f>
        <v>11062.5</v>
      </c>
    </row>
    <row r="34" spans="1:12" ht="16.2" customHeight="1" x14ac:dyDescent="0.3">
      <c r="A34" s="12">
        <v>2</v>
      </c>
      <c r="B34" s="11">
        <v>0.39930555555555558</v>
      </c>
      <c r="C34" s="12" t="s">
        <v>48</v>
      </c>
      <c r="D34" s="12">
        <v>-80</v>
      </c>
      <c r="E34" s="12" t="s">
        <v>24</v>
      </c>
      <c r="F34" s="12">
        <v>1</v>
      </c>
      <c r="H34" s="3" t="s">
        <v>7</v>
      </c>
      <c r="I34" s="3">
        <f>SUM(Table2[SPOT PTS])</f>
        <v>1176</v>
      </c>
      <c r="K34" s="34">
        <f>(Table2[[#This Row],[SPOT PTS]]/2)*15-65</f>
        <v>-665</v>
      </c>
      <c r="L34" s="34">
        <f t="shared" ref="L34:L43" si="1">K34+L33</f>
        <v>10397.5</v>
      </c>
    </row>
    <row r="35" spans="1:12" ht="16.2" customHeight="1" thickBot="1" x14ac:dyDescent="0.35">
      <c r="A35" s="36">
        <v>2</v>
      </c>
      <c r="B35" s="37">
        <v>0.51736111111111105</v>
      </c>
      <c r="C35" s="36" t="s">
        <v>50</v>
      </c>
      <c r="D35" s="36">
        <v>117</v>
      </c>
      <c r="E35" s="36" t="s">
        <v>24</v>
      </c>
      <c r="F35" s="36">
        <v>2</v>
      </c>
      <c r="H35" s="3" t="s">
        <v>8</v>
      </c>
      <c r="I35" s="3">
        <f>65*I32</f>
        <v>1820</v>
      </c>
      <c r="K35" s="34">
        <f>(Table2[[#This Row],[SPOT PTS]]/2)*15-65</f>
        <v>812.5</v>
      </c>
      <c r="L35" s="34">
        <f t="shared" si="1"/>
        <v>11210</v>
      </c>
    </row>
    <row r="36" spans="1:12" ht="16.2" customHeight="1" thickBot="1" x14ac:dyDescent="0.35">
      <c r="A36" s="12">
        <v>3</v>
      </c>
      <c r="B36" s="11">
        <v>0.53819444444444442</v>
      </c>
      <c r="C36" s="12" t="s">
        <v>50</v>
      </c>
      <c r="D36" s="12">
        <v>209</v>
      </c>
      <c r="E36" s="12" t="s">
        <v>20</v>
      </c>
      <c r="F36" s="12">
        <v>2</v>
      </c>
      <c r="H36" s="3" t="s">
        <v>9</v>
      </c>
      <c r="I36" s="3">
        <f>SUMIF(Table2[OUTCOME],"Stoploss",Table2[SPOT PTS])</f>
        <v>-936</v>
      </c>
      <c r="K36" s="34">
        <f>(Table2[[#This Row],[SPOT PTS]]/2)*15-65</f>
        <v>1502.5</v>
      </c>
      <c r="L36" s="34">
        <f t="shared" si="1"/>
        <v>12712.5</v>
      </c>
    </row>
    <row r="37" spans="1:12" ht="16.2" customHeight="1" x14ac:dyDescent="0.3">
      <c r="A37" s="38">
        <v>4</v>
      </c>
      <c r="B37" s="39">
        <v>0.39930555555555558</v>
      </c>
      <c r="C37" s="38" t="s">
        <v>48</v>
      </c>
      <c r="D37" s="38">
        <v>-80</v>
      </c>
      <c r="E37" s="38" t="s">
        <v>21</v>
      </c>
      <c r="F37" s="38">
        <v>1</v>
      </c>
      <c r="H37" s="3" t="s">
        <v>10</v>
      </c>
      <c r="I37" s="3">
        <f>SUMIF(Table2[OUTCOME],"Target",Table2[SPOT PTS])</f>
        <v>2112</v>
      </c>
      <c r="K37" s="34">
        <f>(Table2[[#This Row],[SPOT PTS]]/2)*15-65</f>
        <v>-665</v>
      </c>
      <c r="L37" s="34">
        <f t="shared" si="1"/>
        <v>12047.5</v>
      </c>
    </row>
    <row r="38" spans="1:12" ht="16.2" customHeight="1" thickBot="1" x14ac:dyDescent="0.35">
      <c r="A38" s="9">
        <v>4</v>
      </c>
      <c r="B38" s="8">
        <v>0.41319444444444442</v>
      </c>
      <c r="C38" s="9" t="s">
        <v>50</v>
      </c>
      <c r="D38" s="9">
        <v>113</v>
      </c>
      <c r="E38" s="9" t="s">
        <v>21</v>
      </c>
      <c r="F38" s="9">
        <v>1</v>
      </c>
      <c r="H38" s="3" t="s">
        <v>11</v>
      </c>
      <c r="I38" s="5">
        <f>I39/10000</f>
        <v>0.7</v>
      </c>
      <c r="K38" s="34">
        <f>(Table2[[#This Row],[SPOT PTS]]/2)*15-65</f>
        <v>782.5</v>
      </c>
      <c r="L38" s="34">
        <f t="shared" si="1"/>
        <v>12830</v>
      </c>
    </row>
    <row r="39" spans="1:12" ht="16.2" customHeight="1" thickBot="1" x14ac:dyDescent="0.35">
      <c r="A39" s="38">
        <v>8</v>
      </c>
      <c r="B39" s="39">
        <v>0.3888888888888889</v>
      </c>
      <c r="C39" s="38" t="s">
        <v>50</v>
      </c>
      <c r="D39" s="38">
        <v>184</v>
      </c>
      <c r="E39" s="38" t="s">
        <v>23</v>
      </c>
      <c r="F39" s="38">
        <v>1</v>
      </c>
      <c r="H39" s="3" t="s">
        <v>12</v>
      </c>
      <c r="I39" s="48">
        <f>((I34/2)*15)-I35</f>
        <v>7000</v>
      </c>
      <c r="K39" s="34">
        <f>(Table2[[#This Row],[SPOT PTS]]/2)*15-65</f>
        <v>1315</v>
      </c>
      <c r="L39" s="34">
        <f t="shared" si="1"/>
        <v>14145</v>
      </c>
    </row>
    <row r="40" spans="1:12" ht="16.2" customHeight="1" thickBot="1" x14ac:dyDescent="0.35">
      <c r="A40" s="12">
        <v>9</v>
      </c>
      <c r="B40" s="11">
        <v>0.41319444444444442</v>
      </c>
      <c r="C40" s="12" t="s">
        <v>50</v>
      </c>
      <c r="D40" s="12">
        <v>174</v>
      </c>
      <c r="E40" s="12" t="s">
        <v>24</v>
      </c>
      <c r="F40" s="12">
        <v>1</v>
      </c>
      <c r="K40" s="34">
        <f>(Table2[[#This Row],[SPOT PTS]]/2)*15-65</f>
        <v>1240</v>
      </c>
      <c r="L40" s="34">
        <f t="shared" si="1"/>
        <v>15385</v>
      </c>
    </row>
    <row r="41" spans="1:12" ht="16.2" customHeight="1" x14ac:dyDescent="0.3">
      <c r="A41" s="38">
        <v>10</v>
      </c>
      <c r="B41" s="39">
        <v>0.42708333333333331</v>
      </c>
      <c r="C41" s="38" t="s">
        <v>48</v>
      </c>
      <c r="D41" s="38">
        <v>-55</v>
      </c>
      <c r="E41" s="38" t="s">
        <v>20</v>
      </c>
      <c r="F41" s="38">
        <v>1</v>
      </c>
      <c r="K41" s="34">
        <f>(Table2[[#This Row],[SPOT PTS]]/2)*15-65</f>
        <v>-477.5</v>
      </c>
      <c r="L41" s="34">
        <f t="shared" si="1"/>
        <v>14907.5</v>
      </c>
    </row>
    <row r="42" spans="1:12" ht="16.2" customHeight="1" thickBot="1" x14ac:dyDescent="0.35">
      <c r="A42" s="9">
        <v>10</v>
      </c>
      <c r="B42" s="8">
        <v>0.46527777777777773</v>
      </c>
      <c r="C42" s="9" t="s">
        <v>50</v>
      </c>
      <c r="D42" s="9">
        <v>103</v>
      </c>
      <c r="E42" s="9" t="s">
        <v>20</v>
      </c>
      <c r="F42" s="9">
        <v>1</v>
      </c>
      <c r="K42" s="34">
        <f>(Table2[[#This Row],[SPOT PTS]]/2)*15-65</f>
        <v>707.5</v>
      </c>
      <c r="L42" s="34">
        <f t="shared" si="1"/>
        <v>15615</v>
      </c>
    </row>
    <row r="43" spans="1:12" ht="16.2" customHeight="1" thickBot="1" x14ac:dyDescent="0.35">
      <c r="A43" s="38">
        <v>11</v>
      </c>
      <c r="B43" s="39">
        <v>0.53472222222222221</v>
      </c>
      <c r="C43" s="38" t="s">
        <v>48</v>
      </c>
      <c r="D43" s="38">
        <v>-63</v>
      </c>
      <c r="E43" s="38" t="s">
        <v>21</v>
      </c>
      <c r="F43" s="38">
        <v>2</v>
      </c>
      <c r="K43" s="34">
        <f>(Table2[[#This Row],[SPOT PTS]]/2)*15-65</f>
        <v>-537.5</v>
      </c>
      <c r="L43" s="34">
        <f t="shared" si="1"/>
        <v>15077.5</v>
      </c>
    </row>
    <row r="44" spans="1:12" ht="16.2" customHeight="1" x14ac:dyDescent="0.3">
      <c r="A44" s="12">
        <v>15</v>
      </c>
      <c r="B44" s="11">
        <v>0.47569444444444442</v>
      </c>
      <c r="C44" s="12" t="s">
        <v>48</v>
      </c>
      <c r="D44" s="12">
        <v>-50</v>
      </c>
      <c r="E44" s="12" t="s">
        <v>23</v>
      </c>
      <c r="F44" s="12">
        <v>1</v>
      </c>
      <c r="K44" s="34">
        <f>(Table2[[#This Row],[SPOT PTS]]/2)*15-65</f>
        <v>-440</v>
      </c>
      <c r="L44" s="34">
        <f t="shared" ref="L44:L59" si="2">K44+L43</f>
        <v>14637.5</v>
      </c>
    </row>
    <row r="45" spans="1:12" ht="16.2" customHeight="1" thickBot="1" x14ac:dyDescent="0.35">
      <c r="A45" s="36">
        <v>15</v>
      </c>
      <c r="B45" s="37">
        <v>0.51736111111111105</v>
      </c>
      <c r="C45" s="36" t="s">
        <v>48</v>
      </c>
      <c r="D45" s="36">
        <v>-70</v>
      </c>
      <c r="E45" s="36" t="s">
        <v>23</v>
      </c>
      <c r="F45" s="36">
        <v>2</v>
      </c>
      <c r="K45" s="34">
        <f>(Table2[[#This Row],[SPOT PTS]]/2)*15-65</f>
        <v>-590</v>
      </c>
      <c r="L45" s="34">
        <f t="shared" si="2"/>
        <v>14047.5</v>
      </c>
    </row>
    <row r="46" spans="1:12" ht="16.2" customHeight="1" thickBot="1" x14ac:dyDescent="0.35">
      <c r="A46" s="12">
        <v>16</v>
      </c>
      <c r="B46" s="11">
        <v>0.3888888888888889</v>
      </c>
      <c r="C46" s="12" t="s">
        <v>50</v>
      </c>
      <c r="D46" s="12">
        <v>240</v>
      </c>
      <c r="E46" s="12" t="s">
        <v>24</v>
      </c>
      <c r="F46" s="12">
        <v>1</v>
      </c>
      <c r="K46" s="34">
        <f>(Table2[[#This Row],[SPOT PTS]]/2)*15-65</f>
        <v>1735</v>
      </c>
      <c r="L46" s="34">
        <f t="shared" si="2"/>
        <v>15782.5</v>
      </c>
    </row>
    <row r="47" spans="1:12" ht="16.2" customHeight="1" thickBot="1" x14ac:dyDescent="0.35">
      <c r="A47" s="38">
        <v>17</v>
      </c>
      <c r="B47" s="39">
        <v>0.3923611111111111</v>
      </c>
      <c r="C47" s="38" t="s">
        <v>50</v>
      </c>
      <c r="D47" s="38">
        <v>193</v>
      </c>
      <c r="E47" s="38" t="s">
        <v>20</v>
      </c>
      <c r="F47" s="38">
        <v>1</v>
      </c>
      <c r="K47" s="34">
        <f>(Table2[[#This Row],[SPOT PTS]]/2)*15-65</f>
        <v>1382.5</v>
      </c>
      <c r="L47" s="34">
        <f t="shared" si="2"/>
        <v>17165</v>
      </c>
    </row>
    <row r="48" spans="1:12" ht="16.2" customHeight="1" thickBot="1" x14ac:dyDescent="0.35">
      <c r="A48" s="12">
        <v>18</v>
      </c>
      <c r="B48" s="11">
        <v>0.4236111111111111</v>
      </c>
      <c r="C48" s="12" t="s">
        <v>48</v>
      </c>
      <c r="D48" s="12">
        <v>-61</v>
      </c>
      <c r="E48" s="12" t="s">
        <v>21</v>
      </c>
      <c r="F48" s="12">
        <v>1</v>
      </c>
      <c r="K48" s="34">
        <f>(Table2[[#This Row],[SPOT PTS]]/2)*15-65</f>
        <v>-522.5</v>
      </c>
      <c r="L48" s="34">
        <f t="shared" si="2"/>
        <v>16642.5</v>
      </c>
    </row>
    <row r="49" spans="1:12" ht="16.2" customHeight="1" thickBot="1" x14ac:dyDescent="0.35">
      <c r="A49" s="38">
        <v>21</v>
      </c>
      <c r="B49" s="39">
        <v>6.25E-2</v>
      </c>
      <c r="C49" s="38" t="s">
        <v>50</v>
      </c>
      <c r="D49" s="38">
        <v>113</v>
      </c>
      <c r="E49" s="38" t="s">
        <v>22</v>
      </c>
      <c r="F49" s="38">
        <v>2</v>
      </c>
      <c r="K49" s="34">
        <f>(Table2[[#This Row],[SPOT PTS]]/2)*15-65</f>
        <v>782.5</v>
      </c>
      <c r="L49" s="34">
        <f t="shared" si="2"/>
        <v>17425</v>
      </c>
    </row>
    <row r="50" spans="1:12" ht="16.2" customHeight="1" x14ac:dyDescent="0.3">
      <c r="A50" s="12">
        <v>22</v>
      </c>
      <c r="B50" s="11">
        <v>0.46527777777777773</v>
      </c>
      <c r="C50" s="12" t="s">
        <v>48</v>
      </c>
      <c r="D50" s="12">
        <v>-55</v>
      </c>
      <c r="E50" s="12" t="s">
        <v>23</v>
      </c>
      <c r="F50" s="12">
        <v>1</v>
      </c>
      <c r="K50" s="34">
        <f>(Table2[[#This Row],[SPOT PTS]]/2)*15-65</f>
        <v>-477.5</v>
      </c>
      <c r="L50" s="34">
        <f t="shared" si="2"/>
        <v>16947.5</v>
      </c>
    </row>
    <row r="51" spans="1:12" ht="16.2" customHeight="1" thickBot="1" x14ac:dyDescent="0.35">
      <c r="A51" s="36">
        <v>22</v>
      </c>
      <c r="B51" s="37">
        <v>5.9027777777777783E-2</v>
      </c>
      <c r="C51" s="36" t="s">
        <v>48</v>
      </c>
      <c r="D51" s="36">
        <v>-28</v>
      </c>
      <c r="E51" s="36" t="s">
        <v>23</v>
      </c>
      <c r="F51" s="36">
        <v>2</v>
      </c>
      <c r="K51" s="34">
        <f>(Table2[[#This Row],[SPOT PTS]]/2)*15-65</f>
        <v>-275</v>
      </c>
      <c r="L51" s="34">
        <f t="shared" si="2"/>
        <v>16672.5</v>
      </c>
    </row>
    <row r="52" spans="1:12" ht="16.2" customHeight="1" thickBot="1" x14ac:dyDescent="0.35">
      <c r="A52" s="12">
        <v>23</v>
      </c>
      <c r="B52" s="11">
        <v>0.40277777777777773</v>
      </c>
      <c r="C52" s="12" t="s">
        <v>50</v>
      </c>
      <c r="D52" s="12">
        <v>131</v>
      </c>
      <c r="E52" s="12" t="s">
        <v>24</v>
      </c>
      <c r="F52" s="12">
        <v>1</v>
      </c>
      <c r="K52" s="34">
        <f>(Table2[[#This Row],[SPOT PTS]]/2)*15-65</f>
        <v>917.5</v>
      </c>
      <c r="L52" s="34">
        <f t="shared" si="2"/>
        <v>17590</v>
      </c>
    </row>
    <row r="53" spans="1:12" ht="16.2" customHeight="1" x14ac:dyDescent="0.3">
      <c r="A53" s="38">
        <v>24</v>
      </c>
      <c r="B53" s="39">
        <v>0.4375</v>
      </c>
      <c r="C53" s="38" t="s">
        <v>48</v>
      </c>
      <c r="D53" s="38">
        <v>-50</v>
      </c>
      <c r="E53" s="38" t="s">
        <v>20</v>
      </c>
      <c r="F53" s="38">
        <v>1</v>
      </c>
      <c r="K53" s="34">
        <f>(Table2[[#This Row],[SPOT PTS]]/2)*15-65</f>
        <v>-440</v>
      </c>
      <c r="L53" s="34">
        <f t="shared" si="2"/>
        <v>17150</v>
      </c>
    </row>
    <row r="54" spans="1:12" ht="16.2" customHeight="1" thickBot="1" x14ac:dyDescent="0.35">
      <c r="A54" s="9">
        <v>24</v>
      </c>
      <c r="B54" s="8">
        <v>0.4861111111111111</v>
      </c>
      <c r="C54" s="9" t="s">
        <v>50</v>
      </c>
      <c r="D54" s="9">
        <v>156</v>
      </c>
      <c r="E54" s="9" t="s">
        <v>20</v>
      </c>
      <c r="F54" s="9">
        <v>1</v>
      </c>
      <c r="K54" s="34">
        <f>(Table2[[#This Row],[SPOT PTS]]/2)*15-65</f>
        <v>1105</v>
      </c>
      <c r="L54" s="34">
        <f t="shared" si="2"/>
        <v>18255</v>
      </c>
    </row>
    <row r="55" spans="1:12" ht="16.2" customHeight="1" x14ac:dyDescent="0.3">
      <c r="A55" s="38">
        <v>25</v>
      </c>
      <c r="B55" s="39">
        <v>0.41319444444444442</v>
      </c>
      <c r="C55" s="38" t="s">
        <v>48</v>
      </c>
      <c r="D55" s="38">
        <v>-80</v>
      </c>
      <c r="E55" s="38" t="s">
        <v>21</v>
      </c>
      <c r="F55" s="38">
        <v>1</v>
      </c>
      <c r="K55" s="34">
        <f>(Table2[[#This Row],[SPOT PTS]]/2)*15-65</f>
        <v>-665</v>
      </c>
      <c r="L55" s="34">
        <f t="shared" si="2"/>
        <v>17590</v>
      </c>
    </row>
    <row r="56" spans="1:12" ht="16.2" customHeight="1" x14ac:dyDescent="0.3">
      <c r="A56" s="9">
        <v>25</v>
      </c>
      <c r="B56" s="8">
        <v>0.4513888888888889</v>
      </c>
      <c r="C56" s="9" t="s">
        <v>48</v>
      </c>
      <c r="D56" s="9">
        <v>-61</v>
      </c>
      <c r="E56" s="9" t="s">
        <v>21</v>
      </c>
      <c r="F56" s="9">
        <v>1</v>
      </c>
      <c r="K56" s="34">
        <f>(Table2[[#This Row],[SPOT PTS]]/2)*15-65</f>
        <v>-522.5</v>
      </c>
      <c r="L56" s="34">
        <f t="shared" si="2"/>
        <v>17067.5</v>
      </c>
    </row>
    <row r="57" spans="1:12" ht="16.2" customHeight="1" thickBot="1" x14ac:dyDescent="0.35">
      <c r="A57" s="36">
        <v>25</v>
      </c>
      <c r="B57" s="37">
        <v>0.52083333333333337</v>
      </c>
      <c r="C57" s="36" t="s">
        <v>50</v>
      </c>
      <c r="D57" s="36">
        <v>140</v>
      </c>
      <c r="E57" s="36" t="s">
        <v>21</v>
      </c>
      <c r="F57" s="36">
        <v>2</v>
      </c>
      <c r="K57" s="34">
        <f>(Table2[[#This Row],[SPOT PTS]]/2)*15-65</f>
        <v>985</v>
      </c>
      <c r="L57" s="34">
        <f t="shared" si="2"/>
        <v>18052.5</v>
      </c>
    </row>
    <row r="58" spans="1:12" ht="16.2" customHeight="1" x14ac:dyDescent="0.3">
      <c r="A58" s="10">
        <v>28</v>
      </c>
      <c r="B58" s="11">
        <v>0.47916666666666669</v>
      </c>
      <c r="C58" s="12" t="s">
        <v>48</v>
      </c>
      <c r="D58" s="12">
        <v>-46</v>
      </c>
      <c r="E58" s="12" t="s">
        <v>22</v>
      </c>
      <c r="F58" s="13">
        <v>1</v>
      </c>
      <c r="K58" s="34">
        <f>(Table2[[#This Row],[SPOT PTS]]/2)*15-65</f>
        <v>-410</v>
      </c>
      <c r="L58" s="34">
        <f t="shared" si="2"/>
        <v>17642.5</v>
      </c>
    </row>
    <row r="59" spans="1:12" ht="16.2" customHeight="1" thickBot="1" x14ac:dyDescent="0.35">
      <c r="A59" s="40">
        <v>28</v>
      </c>
      <c r="B59" s="41">
        <v>0.50694444444444442</v>
      </c>
      <c r="C59" s="42" t="s">
        <v>48</v>
      </c>
      <c r="D59" s="42">
        <v>-77</v>
      </c>
      <c r="E59" s="42" t="s">
        <v>22</v>
      </c>
      <c r="F59" s="43">
        <v>2</v>
      </c>
      <c r="K59" s="34">
        <f>(Table2[[#This Row],[SPOT PTS]]/2)*15-65</f>
        <v>-642.5</v>
      </c>
      <c r="L59" s="34">
        <f t="shared" si="2"/>
        <v>17000</v>
      </c>
    </row>
    <row r="60" spans="1:12" ht="16.2" customHeight="1" thickBot="1" x14ac:dyDescent="0.35">
      <c r="A60" s="57" t="s">
        <v>52</v>
      </c>
      <c r="B60" s="57"/>
      <c r="C60" s="57"/>
      <c r="D60" s="57"/>
      <c r="E60" s="57"/>
      <c r="F60" s="57"/>
    </row>
    <row r="61" spans="1:12" ht="16.2" customHeight="1" thickBot="1" x14ac:dyDescent="0.35">
      <c r="A61" s="20" t="s">
        <v>0</v>
      </c>
      <c r="B61" s="20" t="s">
        <v>1</v>
      </c>
      <c r="C61" s="20" t="s">
        <v>3</v>
      </c>
      <c r="D61" s="20" t="s">
        <v>2</v>
      </c>
      <c r="E61" s="20" t="s">
        <v>4</v>
      </c>
      <c r="F61" s="20" t="s">
        <v>47</v>
      </c>
      <c r="L61" s="34">
        <v>10000</v>
      </c>
    </row>
    <row r="62" spans="1:12" ht="16.2" customHeight="1" x14ac:dyDescent="0.3">
      <c r="A62" s="12">
        <v>2</v>
      </c>
      <c r="B62" s="11">
        <v>0.47916666666666669</v>
      </c>
      <c r="C62" s="12" t="s">
        <v>48</v>
      </c>
      <c r="D62" s="12">
        <v>-28</v>
      </c>
      <c r="E62" s="12" t="s">
        <v>24</v>
      </c>
      <c r="F62" s="12">
        <v>1</v>
      </c>
      <c r="H62" s="3" t="s">
        <v>5</v>
      </c>
      <c r="I62" s="3">
        <f>COUNT(Table3[RANGE])</f>
        <v>35</v>
      </c>
      <c r="K62" s="34">
        <f>((Table3[[#This Row],[SPOT PTS]]/2)*15)-65</f>
        <v>-275</v>
      </c>
      <c r="L62" s="34">
        <f>K62+L61</f>
        <v>9725</v>
      </c>
    </row>
    <row r="63" spans="1:12" ht="16.2" customHeight="1" thickBot="1" x14ac:dyDescent="0.35">
      <c r="A63" s="36">
        <v>2</v>
      </c>
      <c r="B63" s="37">
        <v>4.8611111111111112E-2</v>
      </c>
      <c r="C63" s="36" t="s">
        <v>50</v>
      </c>
      <c r="D63" s="36">
        <v>161</v>
      </c>
      <c r="E63" s="36" t="s">
        <v>24</v>
      </c>
      <c r="F63" s="36">
        <v>2</v>
      </c>
      <c r="H63" s="3" t="s">
        <v>6</v>
      </c>
      <c r="I63" s="5">
        <f>((COUNTIF(Table3[OUTCOME],"Target"))/I62)</f>
        <v>0.45714285714285713</v>
      </c>
      <c r="K63" s="34">
        <f>((Table3[[#This Row],[SPOT PTS]]/2)*15)-65</f>
        <v>1142.5</v>
      </c>
      <c r="L63" s="34">
        <f t="shared" ref="L63:L96" si="3">K63+L62</f>
        <v>10867.5</v>
      </c>
    </row>
    <row r="64" spans="1:12" ht="16.2" customHeight="1" thickBot="1" x14ac:dyDescent="0.35">
      <c r="A64" s="12">
        <v>3</v>
      </c>
      <c r="B64" s="11">
        <v>0.3888888888888889</v>
      </c>
      <c r="C64" s="12" t="s">
        <v>50</v>
      </c>
      <c r="D64" s="12">
        <v>255</v>
      </c>
      <c r="E64" s="12" t="s">
        <v>20</v>
      </c>
      <c r="F64" s="12">
        <v>1</v>
      </c>
      <c r="H64" s="3" t="s">
        <v>7</v>
      </c>
      <c r="I64" s="3">
        <f>SUM(Table3[SPOT PTS])</f>
        <v>1553</v>
      </c>
      <c r="K64" s="34">
        <f>((Table3[[#This Row],[SPOT PTS]]/2)*15)-65</f>
        <v>1847.5</v>
      </c>
      <c r="L64" s="34">
        <f t="shared" si="3"/>
        <v>12715</v>
      </c>
    </row>
    <row r="65" spans="1:12" ht="16.2" customHeight="1" x14ac:dyDescent="0.3">
      <c r="A65" s="38">
        <v>4</v>
      </c>
      <c r="B65" s="39">
        <v>0.4861111111111111</v>
      </c>
      <c r="C65" s="38" t="s">
        <v>48</v>
      </c>
      <c r="D65" s="38">
        <v>-58</v>
      </c>
      <c r="E65" s="38" t="s">
        <v>21</v>
      </c>
      <c r="F65" s="38">
        <v>1</v>
      </c>
      <c r="H65" s="3" t="s">
        <v>8</v>
      </c>
      <c r="I65" s="3">
        <f>65*I62</f>
        <v>2275</v>
      </c>
      <c r="K65" s="34">
        <f>((Table3[[#This Row],[SPOT PTS]]/2)*15)-65</f>
        <v>-500</v>
      </c>
      <c r="L65" s="34">
        <f t="shared" si="3"/>
        <v>12215</v>
      </c>
    </row>
    <row r="66" spans="1:12" ht="16.2" customHeight="1" thickBot="1" x14ac:dyDescent="0.35">
      <c r="A66" s="9">
        <v>4</v>
      </c>
      <c r="B66" s="8">
        <v>4.8611111111111112E-2</v>
      </c>
      <c r="C66" s="9" t="s">
        <v>48</v>
      </c>
      <c r="D66" s="9">
        <v>-80</v>
      </c>
      <c r="E66" s="9" t="s">
        <v>21</v>
      </c>
      <c r="F66" s="9">
        <v>2</v>
      </c>
      <c r="H66" s="3" t="s">
        <v>9</v>
      </c>
      <c r="I66" s="3">
        <f>SUMIF(Table3[OUTCOME],"Stoploss",Table3[SPOT PTS])</f>
        <v>-1079</v>
      </c>
      <c r="K66" s="34">
        <f>((Table3[[#This Row],[SPOT PTS]]/2)*15)-65</f>
        <v>-665</v>
      </c>
      <c r="L66" s="34">
        <f t="shared" si="3"/>
        <v>11550</v>
      </c>
    </row>
    <row r="67" spans="1:12" ht="16.2" customHeight="1" thickBot="1" x14ac:dyDescent="0.35">
      <c r="A67" s="38">
        <v>7</v>
      </c>
      <c r="B67" s="39">
        <v>0.45833333333333331</v>
      </c>
      <c r="C67" s="38" t="s">
        <v>50</v>
      </c>
      <c r="D67" s="38">
        <v>239</v>
      </c>
      <c r="E67" s="38" t="s">
        <v>22</v>
      </c>
      <c r="F67" s="38">
        <v>1</v>
      </c>
      <c r="H67" s="3" t="s">
        <v>10</v>
      </c>
      <c r="I67" s="3">
        <f>SUMIF(Table3[OUTCOME],"Target",Table3[SPOT PTS])</f>
        <v>2632</v>
      </c>
      <c r="K67" s="34">
        <f>((Table3[[#This Row],[SPOT PTS]]/2)*15)-65</f>
        <v>1727.5</v>
      </c>
      <c r="L67" s="34">
        <f t="shared" si="3"/>
        <v>13277.5</v>
      </c>
    </row>
    <row r="68" spans="1:12" ht="16.2" customHeight="1" thickBot="1" x14ac:dyDescent="0.35">
      <c r="A68" s="12">
        <v>8</v>
      </c>
      <c r="B68" s="11">
        <v>0.4375</v>
      </c>
      <c r="C68" s="12" t="s">
        <v>50</v>
      </c>
      <c r="D68" s="12">
        <v>144</v>
      </c>
      <c r="E68" s="12" t="s">
        <v>23</v>
      </c>
      <c r="F68" s="12">
        <v>1</v>
      </c>
      <c r="H68" s="3" t="s">
        <v>11</v>
      </c>
      <c r="I68" s="50">
        <f>I69/10000</f>
        <v>0.93725000000000003</v>
      </c>
      <c r="K68" s="34">
        <f>((Table3[[#This Row],[SPOT PTS]]/2)*15)-65</f>
        <v>1015</v>
      </c>
      <c r="L68" s="34">
        <f t="shared" si="3"/>
        <v>14292.5</v>
      </c>
    </row>
    <row r="69" spans="1:12" ht="16.2" customHeight="1" x14ac:dyDescent="0.3">
      <c r="A69" s="38">
        <v>9</v>
      </c>
      <c r="B69" s="39">
        <v>0.40277777777777773</v>
      </c>
      <c r="C69" s="38" t="s">
        <v>48</v>
      </c>
      <c r="D69" s="38">
        <v>-80</v>
      </c>
      <c r="E69" s="38" t="s">
        <v>24</v>
      </c>
      <c r="F69" s="38">
        <v>1</v>
      </c>
      <c r="H69" s="3" t="s">
        <v>12</v>
      </c>
      <c r="I69" s="49">
        <f>((I64/2)*15)-I65</f>
        <v>9372.5</v>
      </c>
      <c r="K69" s="34">
        <f>((Table3[[#This Row],[SPOT PTS]]/2)*15)-65</f>
        <v>-665</v>
      </c>
      <c r="L69" s="34">
        <f t="shared" si="3"/>
        <v>13627.5</v>
      </c>
    </row>
    <row r="70" spans="1:12" ht="16.2" customHeight="1" x14ac:dyDescent="0.3">
      <c r="A70" s="9">
        <v>9</v>
      </c>
      <c r="B70" s="8">
        <v>0.50347222222222221</v>
      </c>
      <c r="C70" s="9" t="s">
        <v>48</v>
      </c>
      <c r="D70" s="9">
        <v>-47</v>
      </c>
      <c r="E70" s="9" t="s">
        <v>24</v>
      </c>
      <c r="F70" s="9">
        <v>2</v>
      </c>
      <c r="K70" s="34">
        <f>((Table3[[#This Row],[SPOT PTS]]/2)*15)-65</f>
        <v>-417.5</v>
      </c>
      <c r="L70" s="34">
        <f t="shared" si="3"/>
        <v>13210</v>
      </c>
    </row>
    <row r="71" spans="1:12" ht="16.2" customHeight="1" thickBot="1" x14ac:dyDescent="0.35">
      <c r="A71" s="36">
        <v>9</v>
      </c>
      <c r="B71" s="37">
        <v>4.5138888888888888E-2</v>
      </c>
      <c r="C71" s="36" t="s">
        <v>50</v>
      </c>
      <c r="D71" s="36">
        <v>177</v>
      </c>
      <c r="E71" s="36" t="s">
        <v>24</v>
      </c>
      <c r="F71" s="36">
        <v>2</v>
      </c>
      <c r="K71" s="34">
        <f>((Table3[[#This Row],[SPOT PTS]]/2)*15)-65</f>
        <v>1262.5</v>
      </c>
      <c r="L71" s="34">
        <f t="shared" si="3"/>
        <v>14472.5</v>
      </c>
    </row>
    <row r="72" spans="1:12" ht="16.2" customHeight="1" thickBot="1" x14ac:dyDescent="0.35">
      <c r="A72" s="12">
        <v>10</v>
      </c>
      <c r="B72" s="11">
        <v>0.4375</v>
      </c>
      <c r="C72" s="12" t="s">
        <v>50</v>
      </c>
      <c r="D72" s="12">
        <v>162</v>
      </c>
      <c r="E72" s="12" t="s">
        <v>20</v>
      </c>
      <c r="F72" s="12">
        <v>1</v>
      </c>
      <c r="K72" s="34">
        <f>((Table3[[#This Row],[SPOT PTS]]/2)*15)-65</f>
        <v>1150</v>
      </c>
      <c r="L72" s="34">
        <f t="shared" si="3"/>
        <v>15622.5</v>
      </c>
    </row>
    <row r="73" spans="1:12" ht="16.2" customHeight="1" x14ac:dyDescent="0.3">
      <c r="A73" s="38">
        <v>11</v>
      </c>
      <c r="B73" s="39">
        <v>0.40625</v>
      </c>
      <c r="C73" s="38" t="s">
        <v>48</v>
      </c>
      <c r="D73" s="38">
        <v>-80</v>
      </c>
      <c r="E73" s="38" t="s">
        <v>21</v>
      </c>
      <c r="F73" s="38">
        <v>1</v>
      </c>
      <c r="K73" s="34">
        <f>((Table3[[#This Row],[SPOT PTS]]/2)*15)-65</f>
        <v>-665</v>
      </c>
      <c r="L73" s="34">
        <f t="shared" si="3"/>
        <v>14957.5</v>
      </c>
    </row>
    <row r="74" spans="1:12" ht="16.2" customHeight="1" thickBot="1" x14ac:dyDescent="0.35">
      <c r="A74" s="9">
        <v>11</v>
      </c>
      <c r="B74" s="8">
        <v>0.4236111111111111</v>
      </c>
      <c r="C74" s="9" t="s">
        <v>50</v>
      </c>
      <c r="D74" s="9">
        <v>143</v>
      </c>
      <c r="E74" s="9" t="s">
        <v>21</v>
      </c>
      <c r="F74" s="9">
        <v>1</v>
      </c>
      <c r="K74" s="34">
        <f>((Table3[[#This Row],[SPOT PTS]]/2)*15)-65</f>
        <v>1007.5</v>
      </c>
      <c r="L74" s="34">
        <f t="shared" si="3"/>
        <v>15965</v>
      </c>
    </row>
    <row r="75" spans="1:12" ht="16.2" customHeight="1" x14ac:dyDescent="0.3">
      <c r="A75" s="38">
        <v>14</v>
      </c>
      <c r="B75" s="39">
        <v>0.39583333333333331</v>
      </c>
      <c r="C75" s="38" t="s">
        <v>48</v>
      </c>
      <c r="D75" s="38">
        <v>-80</v>
      </c>
      <c r="E75" s="38" t="s">
        <v>22</v>
      </c>
      <c r="F75" s="38">
        <v>1</v>
      </c>
      <c r="K75" s="34">
        <f>((Table3[[#This Row],[SPOT PTS]]/2)*15)-65</f>
        <v>-665</v>
      </c>
      <c r="L75" s="34">
        <f t="shared" si="3"/>
        <v>15300</v>
      </c>
    </row>
    <row r="76" spans="1:12" ht="16.2" customHeight="1" thickBot="1" x14ac:dyDescent="0.35">
      <c r="A76" s="9">
        <v>14</v>
      </c>
      <c r="B76" s="8">
        <v>0.4236111111111111</v>
      </c>
      <c r="C76" s="9" t="s">
        <v>48</v>
      </c>
      <c r="D76" s="9">
        <v>-80</v>
      </c>
      <c r="E76" s="9" t="s">
        <v>22</v>
      </c>
      <c r="F76" s="9">
        <v>1</v>
      </c>
      <c r="K76" s="34">
        <f>((Table3[[#This Row],[SPOT PTS]]/2)*15)-65</f>
        <v>-665</v>
      </c>
      <c r="L76" s="34">
        <f t="shared" si="3"/>
        <v>14635</v>
      </c>
    </row>
    <row r="77" spans="1:12" ht="16.2" customHeight="1" thickBot="1" x14ac:dyDescent="0.35">
      <c r="A77" s="38">
        <v>15</v>
      </c>
      <c r="B77" s="39">
        <v>0.50694444444444442</v>
      </c>
      <c r="C77" s="38" t="s">
        <v>50</v>
      </c>
      <c r="D77" s="38">
        <v>141</v>
      </c>
      <c r="E77" s="38" t="s">
        <v>23</v>
      </c>
      <c r="F77" s="38">
        <v>2</v>
      </c>
      <c r="K77" s="34">
        <f>((Table3[[#This Row],[SPOT PTS]]/2)*15)-65</f>
        <v>992.5</v>
      </c>
      <c r="L77" s="34">
        <f t="shared" si="3"/>
        <v>15627.5</v>
      </c>
    </row>
    <row r="78" spans="1:12" ht="16.2" customHeight="1" thickBot="1" x14ac:dyDescent="0.35">
      <c r="A78" s="12">
        <v>16</v>
      </c>
      <c r="B78" s="11">
        <v>0.39930555555555558</v>
      </c>
      <c r="C78" s="12" t="s">
        <v>50</v>
      </c>
      <c r="D78" s="12">
        <v>175</v>
      </c>
      <c r="E78" s="12" t="s">
        <v>24</v>
      </c>
      <c r="F78" s="12">
        <v>1</v>
      </c>
      <c r="K78" s="34">
        <f>((Table3[[#This Row],[SPOT PTS]]/2)*15)-65</f>
        <v>1247.5</v>
      </c>
      <c r="L78" s="34">
        <f t="shared" si="3"/>
        <v>16875</v>
      </c>
    </row>
    <row r="79" spans="1:12" ht="16.2" customHeight="1" x14ac:dyDescent="0.3">
      <c r="A79" s="38">
        <v>17</v>
      </c>
      <c r="B79" s="39">
        <v>0.3923611111111111</v>
      </c>
      <c r="C79" s="38" t="s">
        <v>48</v>
      </c>
      <c r="D79" s="38">
        <v>-60</v>
      </c>
      <c r="E79" s="38" t="s">
        <v>20</v>
      </c>
      <c r="F79" s="38">
        <v>1</v>
      </c>
      <c r="K79" s="34">
        <f>((Table3[[#This Row],[SPOT PTS]]/2)*15)-65</f>
        <v>-515</v>
      </c>
      <c r="L79" s="34">
        <f t="shared" si="3"/>
        <v>16360</v>
      </c>
    </row>
    <row r="80" spans="1:12" ht="16.2" customHeight="1" x14ac:dyDescent="0.3">
      <c r="A80" s="9">
        <v>17</v>
      </c>
      <c r="B80" s="8">
        <v>0.4513888888888889</v>
      </c>
      <c r="C80" s="9" t="s">
        <v>48</v>
      </c>
      <c r="D80" s="9">
        <v>-29</v>
      </c>
      <c r="E80" s="9" t="s">
        <v>20</v>
      </c>
      <c r="F80" s="9">
        <v>1</v>
      </c>
      <c r="K80" s="34">
        <f>((Table3[[#This Row],[SPOT PTS]]/2)*15)-65</f>
        <v>-282.5</v>
      </c>
      <c r="L80" s="34">
        <f t="shared" si="3"/>
        <v>16077.5</v>
      </c>
    </row>
    <row r="81" spans="1:12" ht="16.2" customHeight="1" thickBot="1" x14ac:dyDescent="0.35">
      <c r="A81" s="36">
        <v>17</v>
      </c>
      <c r="B81" s="37">
        <v>0.49652777777777773</v>
      </c>
      <c r="C81" s="36" t="s">
        <v>50</v>
      </c>
      <c r="D81" s="36">
        <v>65</v>
      </c>
      <c r="E81" s="36" t="s">
        <v>20</v>
      </c>
      <c r="F81" s="36">
        <v>1</v>
      </c>
      <c r="K81" s="34">
        <f>((Table3[[#This Row],[SPOT PTS]]/2)*15)-65</f>
        <v>422.5</v>
      </c>
      <c r="L81" s="34">
        <f t="shared" si="3"/>
        <v>16500</v>
      </c>
    </row>
    <row r="82" spans="1:12" ht="16.2" customHeight="1" x14ac:dyDescent="0.3">
      <c r="A82" s="12">
        <v>21</v>
      </c>
      <c r="B82" s="11">
        <v>0.4236111111111111</v>
      </c>
      <c r="C82" s="12" t="s">
        <v>48</v>
      </c>
      <c r="D82" s="12">
        <v>-30</v>
      </c>
      <c r="E82" s="12" t="s">
        <v>22</v>
      </c>
      <c r="F82" s="12">
        <v>1</v>
      </c>
      <c r="K82" s="34">
        <f>((Table3[[#This Row],[SPOT PTS]]/2)*15)-65</f>
        <v>-290</v>
      </c>
      <c r="L82" s="34">
        <f t="shared" si="3"/>
        <v>16210</v>
      </c>
    </row>
    <row r="83" spans="1:12" ht="16.2" customHeight="1" thickBot="1" x14ac:dyDescent="0.35">
      <c r="A83" s="36">
        <v>21</v>
      </c>
      <c r="B83" s="37">
        <v>9.375E-2</v>
      </c>
      <c r="C83" s="36" t="s">
        <v>50</v>
      </c>
      <c r="D83" s="36">
        <v>144</v>
      </c>
      <c r="E83" s="36" t="s">
        <v>22</v>
      </c>
      <c r="F83" s="36">
        <v>2</v>
      </c>
      <c r="K83" s="34">
        <f>((Table3[[#This Row],[SPOT PTS]]/2)*15)-65</f>
        <v>1015</v>
      </c>
      <c r="L83" s="34">
        <f t="shared" si="3"/>
        <v>17225</v>
      </c>
    </row>
    <row r="84" spans="1:12" ht="16.2" customHeight="1" x14ac:dyDescent="0.3">
      <c r="A84" s="12">
        <v>22</v>
      </c>
      <c r="B84" s="11">
        <v>6.9444444444444434E-2</v>
      </c>
      <c r="C84" s="12" t="s">
        <v>48</v>
      </c>
      <c r="D84" s="12">
        <v>-41</v>
      </c>
      <c r="E84" s="12" t="s">
        <v>23</v>
      </c>
      <c r="F84" s="12">
        <v>2</v>
      </c>
      <c r="K84" s="34">
        <f>((Table3[[#This Row],[SPOT PTS]]/2)*15)-65</f>
        <v>-372.5</v>
      </c>
      <c r="L84" s="34">
        <f t="shared" si="3"/>
        <v>16852.5</v>
      </c>
    </row>
    <row r="85" spans="1:12" ht="16.2" customHeight="1" thickBot="1" x14ac:dyDescent="0.35">
      <c r="A85" s="36">
        <v>22</v>
      </c>
      <c r="B85" s="37">
        <v>8.6805555555555566E-2</v>
      </c>
      <c r="C85" s="36" t="s">
        <v>48</v>
      </c>
      <c r="D85" s="36">
        <v>-64</v>
      </c>
      <c r="E85" s="36" t="s">
        <v>23</v>
      </c>
      <c r="F85" s="36">
        <v>2</v>
      </c>
      <c r="K85" s="34">
        <f>((Table3[[#This Row],[SPOT PTS]]/2)*15)-65</f>
        <v>-545</v>
      </c>
      <c r="L85" s="34">
        <f t="shared" si="3"/>
        <v>16307.5</v>
      </c>
    </row>
    <row r="86" spans="1:12" ht="16.2" customHeight="1" thickBot="1" x14ac:dyDescent="0.35">
      <c r="A86" s="12">
        <v>23</v>
      </c>
      <c r="B86" s="11">
        <v>0.3923611111111111</v>
      </c>
      <c r="C86" s="12" t="s">
        <v>50</v>
      </c>
      <c r="D86" s="12">
        <v>240</v>
      </c>
      <c r="E86" s="12" t="s">
        <v>24</v>
      </c>
      <c r="F86" s="12">
        <v>1</v>
      </c>
      <c r="K86" s="34">
        <f>((Table3[[#This Row],[SPOT PTS]]/2)*15)-65</f>
        <v>1735</v>
      </c>
      <c r="L86" s="34">
        <f t="shared" si="3"/>
        <v>18042.5</v>
      </c>
    </row>
    <row r="87" spans="1:12" ht="16.2" customHeight="1" x14ac:dyDescent="0.3">
      <c r="A87" s="38">
        <v>24</v>
      </c>
      <c r="B87" s="39">
        <v>0.4201388888888889</v>
      </c>
      <c r="C87" s="38" t="s">
        <v>48</v>
      </c>
      <c r="D87" s="38">
        <v>-51</v>
      </c>
      <c r="E87" s="38" t="s">
        <v>20</v>
      </c>
      <c r="F87" s="38">
        <v>1</v>
      </c>
      <c r="K87" s="34">
        <f>((Table3[[#This Row],[SPOT PTS]]/2)*15)-65</f>
        <v>-447.5</v>
      </c>
      <c r="L87" s="34">
        <f t="shared" si="3"/>
        <v>17595</v>
      </c>
    </row>
    <row r="88" spans="1:12" ht="16.2" customHeight="1" thickBot="1" x14ac:dyDescent="0.35">
      <c r="A88" s="9">
        <v>24</v>
      </c>
      <c r="B88" s="8">
        <v>0.47916666666666669</v>
      </c>
      <c r="C88" s="9" t="s">
        <v>50</v>
      </c>
      <c r="D88" s="9">
        <v>141</v>
      </c>
      <c r="E88" s="9" t="s">
        <v>20</v>
      </c>
      <c r="F88" s="9">
        <v>1</v>
      </c>
      <c r="K88" s="34">
        <f>((Table3[[#This Row],[SPOT PTS]]/2)*15)-65</f>
        <v>992.5</v>
      </c>
      <c r="L88" s="34">
        <f t="shared" si="3"/>
        <v>18587.5</v>
      </c>
    </row>
    <row r="89" spans="1:12" ht="16.2" customHeight="1" thickBot="1" x14ac:dyDescent="0.35">
      <c r="A89" s="38">
        <v>25</v>
      </c>
      <c r="B89" s="39">
        <v>0.41666666666666669</v>
      </c>
      <c r="C89" s="38" t="s">
        <v>48</v>
      </c>
      <c r="D89" s="38">
        <v>-41</v>
      </c>
      <c r="E89" s="38" t="s">
        <v>21</v>
      </c>
      <c r="F89" s="38">
        <v>1</v>
      </c>
      <c r="K89" s="34">
        <f>((Table3[[#This Row],[SPOT PTS]]/2)*15)-65</f>
        <v>-372.5</v>
      </c>
      <c r="L89" s="34">
        <f t="shared" si="3"/>
        <v>18215</v>
      </c>
    </row>
    <row r="90" spans="1:12" ht="16.2" customHeight="1" x14ac:dyDescent="0.3">
      <c r="A90" s="12">
        <v>28</v>
      </c>
      <c r="B90" s="11">
        <v>0.45833333333333331</v>
      </c>
      <c r="C90" s="12" t="s">
        <v>48</v>
      </c>
      <c r="D90" s="12">
        <v>-31</v>
      </c>
      <c r="E90" s="12" t="s">
        <v>22</v>
      </c>
      <c r="F90" s="12">
        <v>1</v>
      </c>
      <c r="K90" s="34">
        <f>((Table3[[#This Row],[SPOT PTS]]/2)*15)-65</f>
        <v>-297.5</v>
      </c>
      <c r="L90" s="34">
        <f t="shared" si="3"/>
        <v>17917.5</v>
      </c>
    </row>
    <row r="91" spans="1:12" ht="16.2" customHeight="1" x14ac:dyDescent="0.3">
      <c r="A91" s="36">
        <v>28</v>
      </c>
      <c r="B91" s="37">
        <v>0.47916666666666669</v>
      </c>
      <c r="C91" s="36" t="s">
        <v>48</v>
      </c>
      <c r="D91" s="36">
        <v>-42</v>
      </c>
      <c r="E91" s="36" t="s">
        <v>22</v>
      </c>
      <c r="F91" s="36">
        <v>1</v>
      </c>
      <c r="K91" s="34">
        <f>((Table3[[#This Row],[SPOT PTS]]/2)*15)-65</f>
        <v>-380</v>
      </c>
      <c r="L91" s="34">
        <f t="shared" si="3"/>
        <v>17537.5</v>
      </c>
    </row>
    <row r="92" spans="1:12" ht="16.2" customHeight="1" thickBot="1" x14ac:dyDescent="0.35">
      <c r="A92" s="9">
        <v>28</v>
      </c>
      <c r="B92" s="8">
        <v>0.52777777777777779</v>
      </c>
      <c r="C92" s="9" t="s">
        <v>48</v>
      </c>
      <c r="D92" s="9">
        <v>-77</v>
      </c>
      <c r="E92" s="9" t="s">
        <v>22</v>
      </c>
      <c r="F92" s="9">
        <v>2</v>
      </c>
      <c r="K92" s="34">
        <f>((Table3[[#This Row],[SPOT PTS]]/2)*15)-65</f>
        <v>-642.5</v>
      </c>
      <c r="L92" s="34">
        <f t="shared" si="3"/>
        <v>16895</v>
      </c>
    </row>
    <row r="93" spans="1:12" ht="16.2" customHeight="1" x14ac:dyDescent="0.3">
      <c r="A93" s="38">
        <v>29</v>
      </c>
      <c r="B93" s="39">
        <v>0.3888888888888889</v>
      </c>
      <c r="C93" s="38" t="s">
        <v>48</v>
      </c>
      <c r="D93" s="38">
        <v>-80</v>
      </c>
      <c r="E93" s="38" t="s">
        <v>23</v>
      </c>
      <c r="F93" s="38">
        <v>1</v>
      </c>
      <c r="K93" s="34">
        <f>((Table3[[#This Row],[SPOT PTS]]/2)*15)-65</f>
        <v>-665</v>
      </c>
      <c r="L93" s="34">
        <f t="shared" si="3"/>
        <v>16230</v>
      </c>
    </row>
    <row r="94" spans="1:12" ht="16.2" customHeight="1" thickBot="1" x14ac:dyDescent="0.35">
      <c r="A94" s="9">
        <v>29</v>
      </c>
      <c r="B94" s="8">
        <v>0.46180555555555558</v>
      </c>
      <c r="C94" s="9" t="s">
        <v>50</v>
      </c>
      <c r="D94" s="9">
        <v>173</v>
      </c>
      <c r="E94" s="9" t="s">
        <v>23</v>
      </c>
      <c r="F94" s="9">
        <v>1</v>
      </c>
      <c r="K94" s="34">
        <f>((Table3[[#This Row],[SPOT PTS]]/2)*15)-65</f>
        <v>1232.5</v>
      </c>
      <c r="L94" s="34">
        <f t="shared" si="3"/>
        <v>17462.5</v>
      </c>
    </row>
    <row r="95" spans="1:12" ht="16.2" customHeight="1" thickBot="1" x14ac:dyDescent="0.35">
      <c r="A95" s="38">
        <v>30</v>
      </c>
      <c r="B95" s="39">
        <v>0.44791666666666669</v>
      </c>
      <c r="C95" s="38" t="s">
        <v>50</v>
      </c>
      <c r="D95" s="38">
        <v>184</v>
      </c>
      <c r="E95" s="38" t="s">
        <v>24</v>
      </c>
      <c r="F95" s="38">
        <v>1</v>
      </c>
      <c r="K95" s="34">
        <f>((Table3[[#This Row],[SPOT PTS]]/2)*15)-65</f>
        <v>1315</v>
      </c>
      <c r="L95" s="34">
        <f t="shared" si="3"/>
        <v>18777.5</v>
      </c>
    </row>
    <row r="96" spans="1:12" ht="16.2" customHeight="1" thickBot="1" x14ac:dyDescent="0.35">
      <c r="A96" s="16">
        <v>31</v>
      </c>
      <c r="B96" s="17">
        <v>0.41319444444444442</v>
      </c>
      <c r="C96" s="18" t="s">
        <v>50</v>
      </c>
      <c r="D96" s="18">
        <v>88</v>
      </c>
      <c r="E96" s="18" t="s">
        <v>20</v>
      </c>
      <c r="F96" s="19">
        <v>1</v>
      </c>
      <c r="K96" s="34">
        <f>((Table3[[#This Row],[SPOT PTS]]/2)*15)-65</f>
        <v>595</v>
      </c>
      <c r="L96" s="34">
        <f t="shared" si="3"/>
        <v>19372.5</v>
      </c>
    </row>
    <row r="97" spans="1:12" ht="16.2" customHeight="1" thickBot="1" x14ac:dyDescent="0.35">
      <c r="A97" s="57" t="s">
        <v>53</v>
      </c>
      <c r="B97" s="57"/>
      <c r="C97" s="57"/>
      <c r="D97" s="57"/>
      <c r="E97" s="57"/>
      <c r="F97" s="57"/>
    </row>
    <row r="98" spans="1:12" ht="16.2" customHeight="1" thickBot="1" x14ac:dyDescent="0.35">
      <c r="A98" s="20" t="s">
        <v>0</v>
      </c>
      <c r="B98" s="20" t="s">
        <v>1</v>
      </c>
      <c r="C98" s="20" t="s">
        <v>3</v>
      </c>
      <c r="D98" s="20" t="s">
        <v>2</v>
      </c>
      <c r="E98" s="20" t="s">
        <v>4</v>
      </c>
      <c r="F98" s="20" t="s">
        <v>47</v>
      </c>
      <c r="L98" s="34">
        <v>10000</v>
      </c>
    </row>
    <row r="99" spans="1:12" ht="16.2" customHeight="1" x14ac:dyDescent="0.3">
      <c r="A99" s="15">
        <v>1</v>
      </c>
      <c r="B99" s="14">
        <v>0.3923611111111111</v>
      </c>
      <c r="C99" s="15" t="s">
        <v>48</v>
      </c>
      <c r="D99" s="15">
        <v>-80</v>
      </c>
      <c r="E99" s="15" t="s">
        <v>21</v>
      </c>
      <c r="F99" s="15">
        <v>1</v>
      </c>
      <c r="H99" s="3" t="s">
        <v>5</v>
      </c>
      <c r="I99" s="3">
        <f>COUNT(Table4[RANGE])</f>
        <v>33</v>
      </c>
      <c r="K99" s="34">
        <f>((Table4[[#This Row],[SPOT PTS]]/2)*15)-65</f>
        <v>-665</v>
      </c>
      <c r="L99" s="34">
        <f>K99+L98</f>
        <v>9335</v>
      </c>
    </row>
    <row r="100" spans="1:12" ht="16.2" customHeight="1" x14ac:dyDescent="0.3">
      <c r="A100" s="9">
        <v>1</v>
      </c>
      <c r="B100" s="8">
        <v>0.42708333333333331</v>
      </c>
      <c r="C100" s="9" t="s">
        <v>48</v>
      </c>
      <c r="D100" s="9">
        <v>-26</v>
      </c>
      <c r="E100" s="9" t="s">
        <v>21</v>
      </c>
      <c r="F100" s="9">
        <v>1</v>
      </c>
      <c r="H100" s="3" t="s">
        <v>6</v>
      </c>
      <c r="I100" s="5">
        <f>((COUNTIF(Table4[OUTCOME],"Target"))/I99)</f>
        <v>0.45454545454545453</v>
      </c>
      <c r="K100" s="34">
        <f>((Table4[[#This Row],[SPOT PTS]]/2)*15)-65</f>
        <v>-260</v>
      </c>
      <c r="L100" s="34">
        <f t="shared" ref="L100:L131" si="4">K100+L99</f>
        <v>9075</v>
      </c>
    </row>
    <row r="101" spans="1:12" ht="16.2" customHeight="1" thickBot="1" x14ac:dyDescent="0.35">
      <c r="A101" s="7">
        <v>1</v>
      </c>
      <c r="B101" s="6">
        <v>0.46875</v>
      </c>
      <c r="C101" s="7" t="s">
        <v>50</v>
      </c>
      <c r="D101" s="7">
        <v>70</v>
      </c>
      <c r="E101" s="7" t="s">
        <v>21</v>
      </c>
      <c r="F101" s="7">
        <v>1</v>
      </c>
      <c r="H101" s="3" t="s">
        <v>7</v>
      </c>
      <c r="I101" s="3">
        <f>SUM(Table4[SPOT PTS])</f>
        <v>1135</v>
      </c>
      <c r="K101" s="34">
        <f>((Table4[[#This Row],[SPOT PTS]]/2)*15)-65</f>
        <v>460</v>
      </c>
      <c r="L101" s="34">
        <f t="shared" si="4"/>
        <v>9535</v>
      </c>
    </row>
    <row r="102" spans="1:12" ht="16.2" customHeight="1" x14ac:dyDescent="0.3">
      <c r="A102" s="12">
        <v>4</v>
      </c>
      <c r="B102" s="11">
        <v>0.40277777777777773</v>
      </c>
      <c r="C102" s="12" t="s">
        <v>48</v>
      </c>
      <c r="D102" s="12">
        <v>-80</v>
      </c>
      <c r="E102" s="12" t="s">
        <v>22</v>
      </c>
      <c r="F102" s="12">
        <v>1</v>
      </c>
      <c r="H102" s="3" t="s">
        <v>8</v>
      </c>
      <c r="I102" s="3">
        <f>65*I99</f>
        <v>2145</v>
      </c>
      <c r="K102" s="34">
        <f>((Table4[[#This Row],[SPOT PTS]]/2)*15)-65</f>
        <v>-665</v>
      </c>
      <c r="L102" s="34">
        <f t="shared" si="4"/>
        <v>8870</v>
      </c>
    </row>
    <row r="103" spans="1:12" ht="16.2" customHeight="1" thickBot="1" x14ac:dyDescent="0.35">
      <c r="A103" s="7">
        <v>4</v>
      </c>
      <c r="B103" s="6">
        <v>0.43055555555555558</v>
      </c>
      <c r="C103" s="7" t="s">
        <v>50</v>
      </c>
      <c r="D103" s="7">
        <v>234</v>
      </c>
      <c r="E103" s="7" t="s">
        <v>22</v>
      </c>
      <c r="F103" s="7">
        <v>1</v>
      </c>
      <c r="H103" s="3" t="s">
        <v>9</v>
      </c>
      <c r="I103" s="3">
        <f>SUMIF(Table4[OUTCOME],"Stoploss",Table4[SPOT PTS])</f>
        <v>-983</v>
      </c>
      <c r="K103" s="34">
        <f>((Table4[[#This Row],[SPOT PTS]]/2)*15)-65</f>
        <v>1690</v>
      </c>
      <c r="L103" s="34">
        <f t="shared" si="4"/>
        <v>10560</v>
      </c>
    </row>
    <row r="104" spans="1:12" ht="16.2" customHeight="1" thickBot="1" x14ac:dyDescent="0.35">
      <c r="A104" s="12">
        <v>5</v>
      </c>
      <c r="B104" s="11">
        <v>0.44097222222222227</v>
      </c>
      <c r="C104" s="12" t="s">
        <v>50</v>
      </c>
      <c r="D104" s="12">
        <v>102</v>
      </c>
      <c r="E104" s="12" t="s">
        <v>23</v>
      </c>
      <c r="F104" s="12">
        <v>1</v>
      </c>
      <c r="H104" s="3" t="s">
        <v>10</v>
      </c>
      <c r="I104" s="3">
        <f>SUMIF(Table4[OUTCOME],"Target",Table4[SPOT PTS])</f>
        <v>2118</v>
      </c>
      <c r="K104" s="34">
        <f>((Table4[[#This Row],[SPOT PTS]]/2)*15)-65</f>
        <v>700</v>
      </c>
      <c r="L104" s="34">
        <f t="shared" si="4"/>
        <v>11260</v>
      </c>
    </row>
    <row r="105" spans="1:12" ht="16.2" customHeight="1" x14ac:dyDescent="0.3">
      <c r="A105" s="15">
        <v>6</v>
      </c>
      <c r="B105" s="14">
        <v>0.51736111111111105</v>
      </c>
      <c r="C105" s="15" t="s">
        <v>48</v>
      </c>
      <c r="D105" s="15">
        <v>-54</v>
      </c>
      <c r="E105" s="15" t="s">
        <v>24</v>
      </c>
      <c r="F105" s="15">
        <v>2</v>
      </c>
      <c r="H105" s="3" t="s">
        <v>11</v>
      </c>
      <c r="I105" s="5">
        <f>I106/10000</f>
        <v>0.63675000000000004</v>
      </c>
      <c r="K105" s="34">
        <f>((Table4[[#This Row],[SPOT PTS]]/2)*15)-65</f>
        <v>-470</v>
      </c>
      <c r="L105" s="34">
        <f t="shared" si="4"/>
        <v>10790</v>
      </c>
    </row>
    <row r="106" spans="1:12" ht="16.2" customHeight="1" thickBot="1" x14ac:dyDescent="0.35">
      <c r="A106" s="9">
        <v>6</v>
      </c>
      <c r="B106" s="8">
        <v>0.53125</v>
      </c>
      <c r="C106" s="9" t="s">
        <v>50</v>
      </c>
      <c r="D106" s="9">
        <v>190</v>
      </c>
      <c r="E106" s="9" t="s">
        <v>24</v>
      </c>
      <c r="F106" s="9">
        <v>2</v>
      </c>
      <c r="H106" s="3" t="s">
        <v>12</v>
      </c>
      <c r="I106" s="49">
        <f>((I101/2)*15)-I102</f>
        <v>6367.5</v>
      </c>
      <c r="K106" s="34">
        <f>((Table4[[#This Row],[SPOT PTS]]/2)*15)-65</f>
        <v>1360</v>
      </c>
      <c r="L106" s="34">
        <f t="shared" si="4"/>
        <v>12150</v>
      </c>
    </row>
    <row r="107" spans="1:12" ht="16.2" customHeight="1" x14ac:dyDescent="0.3">
      <c r="A107" s="15">
        <v>7</v>
      </c>
      <c r="B107" s="14">
        <v>0.46875</v>
      </c>
      <c r="C107" s="15" t="s">
        <v>48</v>
      </c>
      <c r="D107" s="15">
        <v>-65</v>
      </c>
      <c r="E107" s="15" t="s">
        <v>20</v>
      </c>
      <c r="F107" s="15">
        <v>1</v>
      </c>
      <c r="K107" s="34">
        <f>((Table4[[#This Row],[SPOT PTS]]/2)*15)-65</f>
        <v>-552.5</v>
      </c>
      <c r="L107" s="34">
        <f t="shared" si="4"/>
        <v>11597.5</v>
      </c>
    </row>
    <row r="108" spans="1:12" ht="16.2" customHeight="1" thickBot="1" x14ac:dyDescent="0.35">
      <c r="A108" s="9">
        <v>7</v>
      </c>
      <c r="B108" s="8">
        <v>0.50347222222222221</v>
      </c>
      <c r="C108" s="9" t="s">
        <v>50</v>
      </c>
      <c r="D108" s="9">
        <v>216</v>
      </c>
      <c r="E108" s="9" t="s">
        <v>20</v>
      </c>
      <c r="F108" s="9">
        <v>2</v>
      </c>
      <c r="K108" s="34">
        <f>((Table4[[#This Row],[SPOT PTS]]/2)*15)-65</f>
        <v>1555</v>
      </c>
      <c r="L108" s="34">
        <f t="shared" si="4"/>
        <v>13152.5</v>
      </c>
    </row>
    <row r="109" spans="1:12" ht="16.2" customHeight="1" x14ac:dyDescent="0.3">
      <c r="A109" s="15">
        <v>8</v>
      </c>
      <c r="B109" s="14">
        <v>0.42708333333333331</v>
      </c>
      <c r="C109" s="15" t="s">
        <v>48</v>
      </c>
      <c r="D109" s="15">
        <v>-80</v>
      </c>
      <c r="E109" s="15" t="s">
        <v>21</v>
      </c>
      <c r="F109" s="15">
        <v>1</v>
      </c>
      <c r="K109" s="34">
        <f>((Table4[[#This Row],[SPOT PTS]]/2)*15)-65</f>
        <v>-665</v>
      </c>
      <c r="L109" s="34">
        <f t="shared" si="4"/>
        <v>12487.5</v>
      </c>
    </row>
    <row r="110" spans="1:12" ht="16.2" customHeight="1" x14ac:dyDescent="0.3">
      <c r="A110" s="9">
        <v>8</v>
      </c>
      <c r="B110" s="8">
        <v>0.51736111111111105</v>
      </c>
      <c r="C110" s="9" t="s">
        <v>48</v>
      </c>
      <c r="D110" s="9">
        <v>-35</v>
      </c>
      <c r="E110" s="9" t="s">
        <v>21</v>
      </c>
      <c r="F110" s="9">
        <v>2</v>
      </c>
      <c r="K110" s="34">
        <f>((Table4[[#This Row],[SPOT PTS]]/2)*15)-65</f>
        <v>-327.5</v>
      </c>
      <c r="L110" s="34">
        <f t="shared" si="4"/>
        <v>12160</v>
      </c>
    </row>
    <row r="111" spans="1:12" ht="16.2" customHeight="1" thickBot="1" x14ac:dyDescent="0.35">
      <c r="A111" s="7">
        <v>8</v>
      </c>
      <c r="B111" s="6">
        <v>0.53125</v>
      </c>
      <c r="C111" s="7" t="s">
        <v>48</v>
      </c>
      <c r="D111" s="7">
        <v>-50</v>
      </c>
      <c r="E111" s="7" t="s">
        <v>21</v>
      </c>
      <c r="F111" s="7">
        <v>2</v>
      </c>
      <c r="K111" s="34">
        <f>((Table4[[#This Row],[SPOT PTS]]/2)*15)-65</f>
        <v>-440</v>
      </c>
      <c r="L111" s="34">
        <f t="shared" si="4"/>
        <v>11720</v>
      </c>
    </row>
    <row r="112" spans="1:12" ht="16.2" customHeight="1" x14ac:dyDescent="0.3">
      <c r="A112" s="12">
        <v>11</v>
      </c>
      <c r="B112" s="11">
        <v>0.4375</v>
      </c>
      <c r="C112" s="12" t="s">
        <v>48</v>
      </c>
      <c r="D112" s="12">
        <v>-60</v>
      </c>
      <c r="E112" s="12" t="s">
        <v>22</v>
      </c>
      <c r="F112" s="12">
        <v>1</v>
      </c>
      <c r="K112" s="34">
        <f>((Table4[[#This Row],[SPOT PTS]]/2)*15)-65</f>
        <v>-515</v>
      </c>
      <c r="L112" s="34">
        <f t="shared" si="4"/>
        <v>11205</v>
      </c>
    </row>
    <row r="113" spans="1:12" ht="16.2" customHeight="1" thickBot="1" x14ac:dyDescent="0.35">
      <c r="A113" s="7">
        <v>11</v>
      </c>
      <c r="B113" s="6">
        <v>4.5138888888888888E-2</v>
      </c>
      <c r="C113" s="7" t="s">
        <v>50</v>
      </c>
      <c r="D113" s="7">
        <v>202</v>
      </c>
      <c r="E113" s="7" t="s">
        <v>22</v>
      </c>
      <c r="F113" s="7">
        <v>2</v>
      </c>
      <c r="K113" s="34">
        <f>((Table4[[#This Row],[SPOT PTS]]/2)*15)-65</f>
        <v>1450</v>
      </c>
      <c r="L113" s="34">
        <f t="shared" si="4"/>
        <v>12655</v>
      </c>
    </row>
    <row r="114" spans="1:12" ht="16.2" customHeight="1" x14ac:dyDescent="0.3">
      <c r="A114" s="12">
        <v>12</v>
      </c>
      <c r="B114" s="11">
        <v>0.44791666666666669</v>
      </c>
      <c r="C114" s="12" t="s">
        <v>48</v>
      </c>
      <c r="D114" s="12">
        <v>-47</v>
      </c>
      <c r="E114" s="12" t="s">
        <v>23</v>
      </c>
      <c r="F114" s="12">
        <v>1</v>
      </c>
      <c r="K114" s="34">
        <f>((Table4[[#This Row],[SPOT PTS]]/2)*15)-65</f>
        <v>-417.5</v>
      </c>
      <c r="L114" s="34">
        <f t="shared" si="4"/>
        <v>12237.5</v>
      </c>
    </row>
    <row r="115" spans="1:12" ht="16.2" customHeight="1" thickBot="1" x14ac:dyDescent="0.35">
      <c r="A115" s="7">
        <v>12</v>
      </c>
      <c r="B115" s="6">
        <v>4.1666666666666664E-2</v>
      </c>
      <c r="C115" s="7" t="s">
        <v>50</v>
      </c>
      <c r="D115" s="7">
        <v>100</v>
      </c>
      <c r="E115" s="7" t="s">
        <v>23</v>
      </c>
      <c r="F115" s="7">
        <v>2</v>
      </c>
      <c r="K115" s="34">
        <f>((Table4[[#This Row],[SPOT PTS]]/2)*15)-65</f>
        <v>685</v>
      </c>
      <c r="L115" s="34">
        <f t="shared" si="4"/>
        <v>12922.5</v>
      </c>
    </row>
    <row r="116" spans="1:12" ht="16.2" customHeight="1" thickBot="1" x14ac:dyDescent="0.35">
      <c r="A116" s="12">
        <v>13</v>
      </c>
      <c r="B116" s="11">
        <v>0.39930555555555558</v>
      </c>
      <c r="C116" s="12" t="s">
        <v>50</v>
      </c>
      <c r="D116" s="12">
        <v>176</v>
      </c>
      <c r="E116" s="12" t="s">
        <v>24</v>
      </c>
      <c r="F116" s="12">
        <v>1</v>
      </c>
      <c r="K116" s="34">
        <f>((Table4[[#This Row],[SPOT PTS]]/2)*15)-65</f>
        <v>1255</v>
      </c>
      <c r="L116" s="34">
        <f t="shared" si="4"/>
        <v>14177.5</v>
      </c>
    </row>
    <row r="117" spans="1:12" ht="16.2" customHeight="1" x14ac:dyDescent="0.3">
      <c r="A117" s="15">
        <v>18</v>
      </c>
      <c r="B117" s="14">
        <v>0.47916666666666669</v>
      </c>
      <c r="C117" s="15" t="s">
        <v>48</v>
      </c>
      <c r="D117" s="15">
        <v>-38</v>
      </c>
      <c r="E117" s="15" t="s">
        <v>22</v>
      </c>
      <c r="F117" s="15">
        <v>1</v>
      </c>
      <c r="K117" s="34">
        <f>((Table4[[#This Row],[SPOT PTS]]/2)*15)-65</f>
        <v>-350</v>
      </c>
      <c r="L117" s="34">
        <f t="shared" si="4"/>
        <v>13827.5</v>
      </c>
    </row>
    <row r="118" spans="1:12" ht="16.2" customHeight="1" thickBot="1" x14ac:dyDescent="0.35">
      <c r="A118" s="9">
        <v>18</v>
      </c>
      <c r="B118" s="8">
        <v>0.11805555555555557</v>
      </c>
      <c r="C118" s="9" t="s">
        <v>48</v>
      </c>
      <c r="D118" s="9">
        <v>-48</v>
      </c>
      <c r="E118" s="9" t="s">
        <v>22</v>
      </c>
      <c r="F118" s="9">
        <v>1</v>
      </c>
      <c r="K118" s="34">
        <f>((Table4[[#This Row],[SPOT PTS]]/2)*15)-65</f>
        <v>-425</v>
      </c>
      <c r="L118" s="34">
        <f t="shared" si="4"/>
        <v>13402.5</v>
      </c>
    </row>
    <row r="119" spans="1:12" ht="16.2" customHeight="1" thickBot="1" x14ac:dyDescent="0.35">
      <c r="A119" s="15">
        <v>19</v>
      </c>
      <c r="B119" s="14">
        <v>0.51736111111111105</v>
      </c>
      <c r="C119" s="15" t="s">
        <v>50</v>
      </c>
      <c r="D119" s="15">
        <v>115</v>
      </c>
      <c r="E119" s="15" t="s">
        <v>23</v>
      </c>
      <c r="F119" s="15">
        <v>1</v>
      </c>
      <c r="K119" s="34">
        <f>((Table4[[#This Row],[SPOT PTS]]/2)*15)-65</f>
        <v>797.5</v>
      </c>
      <c r="L119" s="34">
        <f t="shared" si="4"/>
        <v>14200</v>
      </c>
    </row>
    <row r="120" spans="1:12" ht="16.2" customHeight="1" thickBot="1" x14ac:dyDescent="0.35">
      <c r="A120" s="12">
        <v>20</v>
      </c>
      <c r="B120" s="11">
        <v>0.40625</v>
      </c>
      <c r="C120" s="12" t="s">
        <v>50</v>
      </c>
      <c r="D120" s="12">
        <v>169</v>
      </c>
      <c r="E120" s="12" t="s">
        <v>24</v>
      </c>
      <c r="F120" s="12">
        <v>1</v>
      </c>
      <c r="K120" s="34">
        <f>((Table4[[#This Row],[SPOT PTS]]/2)*15)-65</f>
        <v>1202.5</v>
      </c>
      <c r="L120" s="34">
        <f t="shared" si="4"/>
        <v>15402.5</v>
      </c>
    </row>
    <row r="121" spans="1:12" ht="16.2" customHeight="1" thickBot="1" x14ac:dyDescent="0.35">
      <c r="A121" s="15">
        <v>21</v>
      </c>
      <c r="B121" s="14">
        <v>0.3923611111111111</v>
      </c>
      <c r="C121" s="15" t="s">
        <v>50</v>
      </c>
      <c r="D121" s="15">
        <v>162</v>
      </c>
      <c r="E121" s="15" t="s">
        <v>20</v>
      </c>
      <c r="F121" s="15">
        <v>1</v>
      </c>
      <c r="K121" s="34">
        <f>((Table4[[#This Row],[SPOT PTS]]/2)*15)-65</f>
        <v>1150</v>
      </c>
      <c r="L121" s="34">
        <f t="shared" si="4"/>
        <v>16552.5</v>
      </c>
    </row>
    <row r="122" spans="1:12" ht="16.2" customHeight="1" thickBot="1" x14ac:dyDescent="0.35">
      <c r="A122" s="12">
        <v>22</v>
      </c>
      <c r="B122" s="11">
        <v>0.46875</v>
      </c>
      <c r="C122" s="12" t="s">
        <v>50</v>
      </c>
      <c r="D122" s="12">
        <v>118</v>
      </c>
      <c r="E122" s="12" t="s">
        <v>21</v>
      </c>
      <c r="F122" s="12">
        <v>1</v>
      </c>
      <c r="K122" s="34">
        <f>((Table4[[#This Row],[SPOT PTS]]/2)*15)-65</f>
        <v>820</v>
      </c>
      <c r="L122" s="34">
        <f t="shared" si="4"/>
        <v>17372.5</v>
      </c>
    </row>
    <row r="123" spans="1:12" ht="16.2" customHeight="1" thickBot="1" x14ac:dyDescent="0.35">
      <c r="A123" s="15">
        <v>25</v>
      </c>
      <c r="B123" s="14">
        <v>0.42708333333333331</v>
      </c>
      <c r="C123" s="15" t="s">
        <v>48</v>
      </c>
      <c r="D123" s="15">
        <v>-80</v>
      </c>
      <c r="E123" s="15" t="s">
        <v>22</v>
      </c>
      <c r="F123" s="15">
        <v>1</v>
      </c>
      <c r="K123" s="34">
        <f>((Table4[[#This Row],[SPOT PTS]]/2)*15)-65</f>
        <v>-665</v>
      </c>
      <c r="L123" s="34">
        <f t="shared" si="4"/>
        <v>16707.5</v>
      </c>
    </row>
    <row r="124" spans="1:12" ht="16.2" customHeight="1" x14ac:dyDescent="0.3">
      <c r="A124" s="12">
        <v>26</v>
      </c>
      <c r="B124" s="11">
        <v>0.40277777777777773</v>
      </c>
      <c r="C124" s="12" t="s">
        <v>48</v>
      </c>
      <c r="D124" s="12">
        <v>-50</v>
      </c>
      <c r="E124" s="12" t="s">
        <v>23</v>
      </c>
      <c r="F124" s="12">
        <v>1</v>
      </c>
      <c r="K124" s="34">
        <f>((Table4[[#This Row],[SPOT PTS]]/2)*15)-65</f>
        <v>-440</v>
      </c>
      <c r="L124" s="34">
        <f t="shared" si="4"/>
        <v>16267.5</v>
      </c>
    </row>
    <row r="125" spans="1:12" ht="16.2" customHeight="1" x14ac:dyDescent="0.3">
      <c r="A125" s="7">
        <v>26</v>
      </c>
      <c r="B125" s="6">
        <v>0.4861111111111111</v>
      </c>
      <c r="C125" s="7" t="s">
        <v>48</v>
      </c>
      <c r="D125" s="7">
        <v>-20</v>
      </c>
      <c r="E125" s="7" t="s">
        <v>23</v>
      </c>
      <c r="F125" s="7">
        <v>1</v>
      </c>
      <c r="K125" s="34">
        <f>((Table4[[#This Row],[SPOT PTS]]/2)*15)-65</f>
        <v>-215</v>
      </c>
      <c r="L125" s="34">
        <f t="shared" si="4"/>
        <v>16052.5</v>
      </c>
    </row>
    <row r="126" spans="1:12" ht="16.2" customHeight="1" thickBot="1" x14ac:dyDescent="0.35">
      <c r="A126" s="9">
        <v>26</v>
      </c>
      <c r="B126" s="8">
        <v>7.9861111111111105E-2</v>
      </c>
      <c r="C126" s="9" t="s">
        <v>50</v>
      </c>
      <c r="D126" s="9">
        <v>81</v>
      </c>
      <c r="E126" s="9" t="s">
        <v>23</v>
      </c>
      <c r="F126" s="9">
        <v>2</v>
      </c>
      <c r="K126" s="34">
        <f>((Table4[[#This Row],[SPOT PTS]]/2)*15)-65</f>
        <v>542.5</v>
      </c>
      <c r="L126" s="34">
        <f t="shared" si="4"/>
        <v>16595</v>
      </c>
    </row>
    <row r="127" spans="1:12" ht="16.2" customHeight="1" thickBot="1" x14ac:dyDescent="0.35">
      <c r="A127" s="15">
        <v>27</v>
      </c>
      <c r="B127" s="14">
        <v>0.46875</v>
      </c>
      <c r="C127" s="15" t="s">
        <v>50</v>
      </c>
      <c r="D127" s="15">
        <v>69</v>
      </c>
      <c r="E127" s="15" t="s">
        <v>24</v>
      </c>
      <c r="F127" s="15">
        <v>1</v>
      </c>
      <c r="K127" s="34">
        <f>((Table4[[#This Row],[SPOT PTS]]/2)*15)-65</f>
        <v>452.5</v>
      </c>
      <c r="L127" s="34">
        <f t="shared" si="4"/>
        <v>17047.5</v>
      </c>
    </row>
    <row r="128" spans="1:12" ht="16.2" customHeight="1" x14ac:dyDescent="0.3">
      <c r="A128" s="12">
        <v>28</v>
      </c>
      <c r="B128" s="11">
        <v>0.3888888888888889</v>
      </c>
      <c r="C128" s="12" t="s">
        <v>48</v>
      </c>
      <c r="D128" s="12">
        <v>-80</v>
      </c>
      <c r="E128" s="12" t="s">
        <v>20</v>
      </c>
      <c r="F128" s="12">
        <v>1</v>
      </c>
      <c r="K128" s="34">
        <f>((Table4[[#This Row],[SPOT PTS]]/2)*15)-65</f>
        <v>-665</v>
      </c>
      <c r="L128" s="34">
        <f t="shared" si="4"/>
        <v>16382.5</v>
      </c>
    </row>
    <row r="129" spans="1:12" ht="16.2" customHeight="1" thickBot="1" x14ac:dyDescent="0.35">
      <c r="A129" s="7">
        <v>28</v>
      </c>
      <c r="B129" s="6">
        <v>7.6388888888888895E-2</v>
      </c>
      <c r="C129" s="7" t="s">
        <v>48</v>
      </c>
      <c r="D129" s="7">
        <v>-33</v>
      </c>
      <c r="E129" s="7" t="s">
        <v>20</v>
      </c>
      <c r="F129" s="7">
        <v>1</v>
      </c>
      <c r="K129" s="34">
        <f>((Table4[[#This Row],[SPOT PTS]]/2)*15)-65</f>
        <v>-312.5</v>
      </c>
      <c r="L129" s="34">
        <f t="shared" si="4"/>
        <v>16070</v>
      </c>
    </row>
    <row r="130" spans="1:12" ht="16.2" customHeight="1" x14ac:dyDescent="0.3">
      <c r="A130" s="10">
        <v>29</v>
      </c>
      <c r="B130" s="11">
        <v>0.3923611111111111</v>
      </c>
      <c r="C130" s="12" t="s">
        <v>48</v>
      </c>
      <c r="D130" s="12">
        <v>-57</v>
      </c>
      <c r="E130" s="12" t="s">
        <v>21</v>
      </c>
      <c r="F130" s="13">
        <v>1</v>
      </c>
      <c r="K130" s="34">
        <f>((Table4[[#This Row],[SPOT PTS]]/2)*15)-65</f>
        <v>-492.5</v>
      </c>
      <c r="L130" s="34">
        <f t="shared" si="4"/>
        <v>15577.5</v>
      </c>
    </row>
    <row r="131" spans="1:12" ht="16.2" customHeight="1" thickBot="1" x14ac:dyDescent="0.35">
      <c r="A131" s="21">
        <v>29</v>
      </c>
      <c r="B131" s="22">
        <v>0.40277777777777773</v>
      </c>
      <c r="C131" s="23" t="s">
        <v>50</v>
      </c>
      <c r="D131" s="23">
        <v>114</v>
      </c>
      <c r="E131" s="23" t="s">
        <v>21</v>
      </c>
      <c r="F131" s="24">
        <v>1</v>
      </c>
      <c r="K131" s="34">
        <f>((Table4[[#This Row],[SPOT PTS]]/2)*15)-65</f>
        <v>790</v>
      </c>
      <c r="L131" s="34">
        <f t="shared" si="4"/>
        <v>16367.5</v>
      </c>
    </row>
    <row r="132" spans="1:12" ht="16.2" customHeight="1" thickBot="1" x14ac:dyDescent="0.35">
      <c r="A132" s="57" t="s">
        <v>36</v>
      </c>
      <c r="B132" s="57"/>
      <c r="C132" s="57"/>
      <c r="D132" s="57"/>
      <c r="E132" s="57"/>
      <c r="F132" s="57"/>
    </row>
    <row r="133" spans="1:12" ht="16.2" customHeight="1" thickBot="1" x14ac:dyDescent="0.35">
      <c r="A133" s="20" t="s">
        <v>0</v>
      </c>
      <c r="B133" s="20" t="s">
        <v>1</v>
      </c>
      <c r="C133" s="20" t="s">
        <v>3</v>
      </c>
      <c r="D133" s="20" t="s">
        <v>2</v>
      </c>
      <c r="E133" s="20" t="s">
        <v>4</v>
      </c>
      <c r="F133" s="20" t="s">
        <v>47</v>
      </c>
      <c r="L133" s="34">
        <v>10000</v>
      </c>
    </row>
    <row r="134" spans="1:12" ht="16.2" customHeight="1" thickBot="1" x14ac:dyDescent="0.35">
      <c r="A134" s="12">
        <v>2</v>
      </c>
      <c r="B134" s="11">
        <v>0.52777777777777779</v>
      </c>
      <c r="C134" s="12" t="s">
        <v>50</v>
      </c>
      <c r="D134" s="12">
        <v>64</v>
      </c>
      <c r="E134" s="12" t="s">
        <v>22</v>
      </c>
      <c r="F134" s="12">
        <v>2</v>
      </c>
      <c r="H134" s="3" t="s">
        <v>5</v>
      </c>
      <c r="I134" s="3">
        <f>COUNT(Table5[RANGE])</f>
        <v>40</v>
      </c>
      <c r="K134" s="34">
        <f>((Table5[[#This Row],[SPOT PTS]]/2)*15)-65</f>
        <v>415</v>
      </c>
      <c r="L134" s="34">
        <f>K134+L133</f>
        <v>10415</v>
      </c>
    </row>
    <row r="135" spans="1:12" ht="16.2" customHeight="1" thickBot="1" x14ac:dyDescent="0.35">
      <c r="A135" s="38">
        <v>3</v>
      </c>
      <c r="B135" s="39">
        <v>0.47916666666666669</v>
      </c>
      <c r="C135" s="38" t="s">
        <v>50</v>
      </c>
      <c r="D135" s="38">
        <v>123</v>
      </c>
      <c r="E135" s="38" t="s">
        <v>23</v>
      </c>
      <c r="F135" s="38">
        <v>1</v>
      </c>
      <c r="H135" s="3" t="s">
        <v>6</v>
      </c>
      <c r="I135" s="5">
        <f>((COUNTIF(Table5[OUTCOME],"Target"))/I134)</f>
        <v>0.47499999999999998</v>
      </c>
      <c r="K135" s="34">
        <f>((Table5[[#This Row],[SPOT PTS]]/2)*15)-65</f>
        <v>857.5</v>
      </c>
      <c r="L135" s="34">
        <f t="shared" ref="L135:L173" si="5">K135+L134</f>
        <v>11272.5</v>
      </c>
    </row>
    <row r="136" spans="1:12" ht="16.2" customHeight="1" thickBot="1" x14ac:dyDescent="0.35">
      <c r="A136" s="12">
        <v>4</v>
      </c>
      <c r="B136" s="11">
        <v>6.5972222222222224E-2</v>
      </c>
      <c r="C136" s="12" t="s">
        <v>48</v>
      </c>
      <c r="D136" s="12">
        <v>-74</v>
      </c>
      <c r="E136" s="12" t="s">
        <v>24</v>
      </c>
      <c r="F136" s="12">
        <v>1</v>
      </c>
      <c r="H136" s="3" t="s">
        <v>7</v>
      </c>
      <c r="I136" s="3">
        <f>SUM(Table5[SPOT PTS])</f>
        <v>1385</v>
      </c>
      <c r="K136" s="34">
        <f>((Table5[[#This Row],[SPOT PTS]]/2)*15)-65</f>
        <v>-620</v>
      </c>
      <c r="L136" s="34">
        <f t="shared" si="5"/>
        <v>10652.5</v>
      </c>
    </row>
    <row r="137" spans="1:12" ht="16.2" customHeight="1" x14ac:dyDescent="0.3">
      <c r="A137" s="38">
        <v>5</v>
      </c>
      <c r="B137" s="39">
        <v>0.41319444444444442</v>
      </c>
      <c r="C137" s="38" t="s">
        <v>48</v>
      </c>
      <c r="D137" s="38">
        <v>-25</v>
      </c>
      <c r="E137" s="38" t="s">
        <v>20</v>
      </c>
      <c r="F137" s="38">
        <v>1</v>
      </c>
      <c r="H137" s="3" t="s">
        <v>8</v>
      </c>
      <c r="I137" s="3">
        <f>65*I134</f>
        <v>2600</v>
      </c>
      <c r="K137" s="34">
        <f>((Table5[[#This Row],[SPOT PTS]]/2)*15)-65</f>
        <v>-252.5</v>
      </c>
      <c r="L137" s="34">
        <f t="shared" si="5"/>
        <v>10400</v>
      </c>
    </row>
    <row r="138" spans="1:12" ht="16.2" customHeight="1" x14ac:dyDescent="0.3">
      <c r="A138" s="9">
        <v>5</v>
      </c>
      <c r="B138" s="8">
        <v>0.43055555555555558</v>
      </c>
      <c r="C138" s="9" t="s">
        <v>48</v>
      </c>
      <c r="D138" s="9">
        <v>-54</v>
      </c>
      <c r="E138" s="9" t="s">
        <v>20</v>
      </c>
      <c r="F138" s="9">
        <v>1</v>
      </c>
      <c r="H138" s="3" t="s">
        <v>9</v>
      </c>
      <c r="I138" s="3">
        <f>SUMIF(Table5[OUTCOME],"Stoploss",Table5[SPOT PTS])</f>
        <v>-1191</v>
      </c>
      <c r="K138" s="34">
        <f>((Table5[[#This Row],[SPOT PTS]]/2)*15)-65</f>
        <v>-470</v>
      </c>
      <c r="L138" s="34">
        <f t="shared" si="5"/>
        <v>9930</v>
      </c>
    </row>
    <row r="139" spans="1:12" ht="16.2" customHeight="1" thickBot="1" x14ac:dyDescent="0.35">
      <c r="A139" s="36">
        <v>5</v>
      </c>
      <c r="B139" s="37">
        <v>0.46875</v>
      </c>
      <c r="C139" s="36" t="s">
        <v>50</v>
      </c>
      <c r="D139" s="36">
        <v>100</v>
      </c>
      <c r="E139" s="36" t="s">
        <v>20</v>
      </c>
      <c r="F139" s="36">
        <v>1</v>
      </c>
      <c r="H139" s="3" t="s">
        <v>10</v>
      </c>
      <c r="I139" s="3">
        <f>SUMIF(Table5[OUTCOME],"Target",Table5[SPOT PTS])</f>
        <v>2576</v>
      </c>
      <c r="K139" s="34">
        <f>((Table5[[#This Row],[SPOT PTS]]/2)*15)-65</f>
        <v>685</v>
      </c>
      <c r="L139" s="34">
        <f t="shared" si="5"/>
        <v>10615</v>
      </c>
    </row>
    <row r="140" spans="1:12" ht="16.2" customHeight="1" x14ac:dyDescent="0.3">
      <c r="A140" s="12">
        <v>6</v>
      </c>
      <c r="B140" s="11">
        <v>0.48958333333333331</v>
      </c>
      <c r="C140" s="12" t="s">
        <v>48</v>
      </c>
      <c r="D140" s="12">
        <v>-74</v>
      </c>
      <c r="E140" s="12" t="s">
        <v>21</v>
      </c>
      <c r="F140" s="12">
        <v>1</v>
      </c>
      <c r="H140" s="3" t="s">
        <v>11</v>
      </c>
      <c r="I140" s="5">
        <f>I141/10000</f>
        <v>0.77875000000000005</v>
      </c>
      <c r="K140" s="34">
        <f>((Table5[[#This Row],[SPOT PTS]]/2)*15)-65</f>
        <v>-620</v>
      </c>
      <c r="L140" s="34">
        <f t="shared" si="5"/>
        <v>9995</v>
      </c>
    </row>
    <row r="141" spans="1:12" ht="16.2" customHeight="1" thickBot="1" x14ac:dyDescent="0.35">
      <c r="A141" s="36">
        <v>6</v>
      </c>
      <c r="B141" s="37">
        <v>6.9444444444444434E-2</v>
      </c>
      <c r="C141" s="36" t="s">
        <v>50</v>
      </c>
      <c r="D141" s="36">
        <v>144</v>
      </c>
      <c r="E141" s="36" t="s">
        <v>21</v>
      </c>
      <c r="F141" s="36">
        <v>2</v>
      </c>
      <c r="H141" s="3" t="s">
        <v>12</v>
      </c>
      <c r="I141" s="49">
        <f>((I136/2)*15)-I137</f>
        <v>7787.5</v>
      </c>
      <c r="K141" s="34">
        <f>((Table5[[#This Row],[SPOT PTS]]/2)*15)-65</f>
        <v>1015</v>
      </c>
      <c r="L141" s="34">
        <f t="shared" si="5"/>
        <v>11010</v>
      </c>
    </row>
    <row r="142" spans="1:12" ht="16.2" customHeight="1" x14ac:dyDescent="0.3">
      <c r="A142" s="12">
        <v>9</v>
      </c>
      <c r="B142" s="11">
        <v>0.5</v>
      </c>
      <c r="C142" s="12" t="s">
        <v>48</v>
      </c>
      <c r="D142" s="12">
        <v>-60</v>
      </c>
      <c r="E142" s="12" t="s">
        <v>22</v>
      </c>
      <c r="F142" s="12">
        <v>1</v>
      </c>
      <c r="K142" s="34">
        <f>((Table5[[#This Row],[SPOT PTS]]/2)*15)-65</f>
        <v>-515</v>
      </c>
      <c r="L142" s="34">
        <f t="shared" si="5"/>
        <v>10495</v>
      </c>
    </row>
    <row r="143" spans="1:12" ht="16.2" customHeight="1" thickBot="1" x14ac:dyDescent="0.35">
      <c r="A143" s="36">
        <v>9</v>
      </c>
      <c r="B143" s="37">
        <v>0.53472222222222221</v>
      </c>
      <c r="C143" s="36" t="s">
        <v>50</v>
      </c>
      <c r="D143" s="36">
        <v>239</v>
      </c>
      <c r="E143" s="36" t="s">
        <v>22</v>
      </c>
      <c r="F143" s="36">
        <v>2</v>
      </c>
      <c r="K143" s="34">
        <f>((Table5[[#This Row],[SPOT PTS]]/2)*15)-65</f>
        <v>1727.5</v>
      </c>
      <c r="L143" s="34">
        <f t="shared" si="5"/>
        <v>12222.5</v>
      </c>
    </row>
    <row r="144" spans="1:12" ht="16.2" customHeight="1" thickBot="1" x14ac:dyDescent="0.35">
      <c r="A144" s="12">
        <v>10</v>
      </c>
      <c r="B144" s="11">
        <v>0.4513888888888889</v>
      </c>
      <c r="C144" s="12" t="s">
        <v>50</v>
      </c>
      <c r="D144" s="12">
        <v>81</v>
      </c>
      <c r="E144" s="12" t="s">
        <v>23</v>
      </c>
      <c r="F144" s="12">
        <v>1</v>
      </c>
      <c r="K144" s="34">
        <f>((Table5[[#This Row],[SPOT PTS]]/2)*15)-65</f>
        <v>542.5</v>
      </c>
      <c r="L144" s="34">
        <f t="shared" si="5"/>
        <v>12765</v>
      </c>
    </row>
    <row r="145" spans="1:12" ht="16.2" customHeight="1" x14ac:dyDescent="0.3">
      <c r="A145" s="38">
        <v>11</v>
      </c>
      <c r="B145" s="39">
        <v>0.3888888888888889</v>
      </c>
      <c r="C145" s="38" t="s">
        <v>48</v>
      </c>
      <c r="D145" s="38">
        <v>-80</v>
      </c>
      <c r="E145" s="38" t="s">
        <v>24</v>
      </c>
      <c r="F145" s="38">
        <v>1</v>
      </c>
      <c r="K145" s="34">
        <f>((Table5[[#This Row],[SPOT PTS]]/2)*15)-65</f>
        <v>-665</v>
      </c>
      <c r="L145" s="34">
        <f t="shared" si="5"/>
        <v>12100</v>
      </c>
    </row>
    <row r="146" spans="1:12" ht="16.2" customHeight="1" thickBot="1" x14ac:dyDescent="0.35">
      <c r="A146" s="9">
        <v>11</v>
      </c>
      <c r="B146" s="8">
        <v>0.39930555555555558</v>
      </c>
      <c r="C146" s="9" t="s">
        <v>50</v>
      </c>
      <c r="D146" s="9">
        <v>135</v>
      </c>
      <c r="E146" s="9" t="s">
        <v>24</v>
      </c>
      <c r="F146" s="9">
        <v>1</v>
      </c>
      <c r="K146" s="34">
        <f>((Table5[[#This Row],[SPOT PTS]]/2)*15)-65</f>
        <v>947.5</v>
      </c>
      <c r="L146" s="34">
        <f t="shared" si="5"/>
        <v>13047.5</v>
      </c>
    </row>
    <row r="147" spans="1:12" ht="16.2" customHeight="1" thickBot="1" x14ac:dyDescent="0.35">
      <c r="A147" s="38">
        <v>12</v>
      </c>
      <c r="B147" s="39">
        <v>5.9027777777777783E-2</v>
      </c>
      <c r="C147" s="38" t="s">
        <v>50</v>
      </c>
      <c r="D147" s="38">
        <v>218</v>
      </c>
      <c r="E147" s="38" t="s">
        <v>20</v>
      </c>
      <c r="F147" s="38">
        <v>2</v>
      </c>
      <c r="K147" s="34">
        <f>((Table5[[#This Row],[SPOT PTS]]/2)*15)-65</f>
        <v>1570</v>
      </c>
      <c r="L147" s="34">
        <f t="shared" si="5"/>
        <v>14617.5</v>
      </c>
    </row>
    <row r="148" spans="1:12" ht="16.2" customHeight="1" x14ac:dyDescent="0.3">
      <c r="A148" s="12">
        <v>13</v>
      </c>
      <c r="B148" s="11">
        <v>0.3888888888888889</v>
      </c>
      <c r="C148" s="12" t="s">
        <v>48</v>
      </c>
      <c r="D148" s="12">
        <v>-80</v>
      </c>
      <c r="E148" s="12" t="s">
        <v>21</v>
      </c>
      <c r="F148" s="12">
        <v>1</v>
      </c>
      <c r="K148" s="34">
        <f>((Table5[[#This Row],[SPOT PTS]]/2)*15)-65</f>
        <v>-665</v>
      </c>
      <c r="L148" s="34">
        <f t="shared" si="5"/>
        <v>13952.5</v>
      </c>
    </row>
    <row r="149" spans="1:12" ht="16.2" customHeight="1" thickBot="1" x14ac:dyDescent="0.35">
      <c r="A149" s="36">
        <v>13</v>
      </c>
      <c r="B149" s="37">
        <v>0.39930555555555558</v>
      </c>
      <c r="C149" s="36" t="s">
        <v>50</v>
      </c>
      <c r="D149" s="36">
        <v>203</v>
      </c>
      <c r="E149" s="36" t="s">
        <v>21</v>
      </c>
      <c r="F149" s="36">
        <v>1</v>
      </c>
      <c r="K149" s="34">
        <f>((Table5[[#This Row],[SPOT PTS]]/2)*15)-65</f>
        <v>1457.5</v>
      </c>
      <c r="L149" s="34">
        <f t="shared" si="5"/>
        <v>15410</v>
      </c>
    </row>
    <row r="150" spans="1:12" ht="16.2" customHeight="1" x14ac:dyDescent="0.3">
      <c r="A150" s="12">
        <v>16</v>
      </c>
      <c r="B150" s="11">
        <v>0.41319444444444442</v>
      </c>
      <c r="C150" s="12" t="s">
        <v>48</v>
      </c>
      <c r="D150" s="12">
        <v>-71</v>
      </c>
      <c r="E150" s="12" t="s">
        <v>22</v>
      </c>
      <c r="F150" s="12">
        <v>1</v>
      </c>
      <c r="K150" s="34">
        <f>((Table5[[#This Row],[SPOT PTS]]/2)*15)-65</f>
        <v>-597.5</v>
      </c>
      <c r="L150" s="34">
        <f t="shared" si="5"/>
        <v>14812.5</v>
      </c>
    </row>
    <row r="151" spans="1:12" ht="16.2" customHeight="1" x14ac:dyDescent="0.3">
      <c r="A151" s="36">
        <v>16</v>
      </c>
      <c r="B151" s="37">
        <v>0.42708333333333331</v>
      </c>
      <c r="C151" s="36" t="s">
        <v>48</v>
      </c>
      <c r="D151" s="36">
        <v>-55</v>
      </c>
      <c r="E151" s="36" t="s">
        <v>22</v>
      </c>
      <c r="F151" s="36">
        <v>1</v>
      </c>
      <c r="K151" s="34">
        <f>((Table5[[#This Row],[SPOT PTS]]/2)*15)-65</f>
        <v>-477.5</v>
      </c>
      <c r="L151" s="34">
        <f t="shared" si="5"/>
        <v>14335</v>
      </c>
    </row>
    <row r="152" spans="1:12" ht="16.2" customHeight="1" thickBot="1" x14ac:dyDescent="0.35">
      <c r="A152" s="9">
        <v>16</v>
      </c>
      <c r="B152" s="8">
        <v>0.44791666666666669</v>
      </c>
      <c r="C152" s="9" t="s">
        <v>50</v>
      </c>
      <c r="D152" s="9">
        <v>212</v>
      </c>
      <c r="E152" s="9" t="s">
        <v>22</v>
      </c>
      <c r="F152" s="9">
        <v>1</v>
      </c>
      <c r="K152" s="34">
        <f>((Table5[[#This Row],[SPOT PTS]]/2)*15)-65</f>
        <v>1525</v>
      </c>
      <c r="L152" s="34">
        <f t="shared" si="5"/>
        <v>15860</v>
      </c>
    </row>
    <row r="153" spans="1:12" ht="16.2" customHeight="1" x14ac:dyDescent="0.3">
      <c r="A153" s="38">
        <v>17</v>
      </c>
      <c r="B153" s="39">
        <v>0.39583333333333331</v>
      </c>
      <c r="C153" s="38" t="s">
        <v>48</v>
      </c>
      <c r="D153" s="38">
        <v>-80</v>
      </c>
      <c r="E153" s="38" t="s">
        <v>23</v>
      </c>
      <c r="F153" s="38">
        <v>1</v>
      </c>
      <c r="K153" s="34">
        <f>((Table5[[#This Row],[SPOT PTS]]/2)*15)-65</f>
        <v>-665</v>
      </c>
      <c r="L153" s="34">
        <f t="shared" si="5"/>
        <v>15195</v>
      </c>
    </row>
    <row r="154" spans="1:12" ht="16.2" customHeight="1" x14ac:dyDescent="0.3">
      <c r="A154" s="9">
        <v>17</v>
      </c>
      <c r="B154" s="8">
        <v>0.46180555555555558</v>
      </c>
      <c r="C154" s="9" t="s">
        <v>48</v>
      </c>
      <c r="D154" s="9">
        <v>-66</v>
      </c>
      <c r="E154" s="9" t="s">
        <v>23</v>
      </c>
      <c r="F154" s="9">
        <v>1</v>
      </c>
      <c r="K154" s="34">
        <f>((Table5[[#This Row],[SPOT PTS]]/2)*15)-65</f>
        <v>-560</v>
      </c>
      <c r="L154" s="34">
        <f t="shared" si="5"/>
        <v>14635</v>
      </c>
    </row>
    <row r="155" spans="1:12" ht="16.2" customHeight="1" thickBot="1" x14ac:dyDescent="0.35">
      <c r="A155" s="36">
        <v>17</v>
      </c>
      <c r="B155" s="37">
        <v>0.48958333333333331</v>
      </c>
      <c r="C155" s="36" t="s">
        <v>48</v>
      </c>
      <c r="D155" s="36">
        <v>-46</v>
      </c>
      <c r="E155" s="36" t="s">
        <v>23</v>
      </c>
      <c r="F155" s="36">
        <v>1</v>
      </c>
      <c r="K155" s="34">
        <f>((Table5[[#This Row],[SPOT PTS]]/2)*15)-65</f>
        <v>-410</v>
      </c>
      <c r="L155" s="34">
        <f t="shared" si="5"/>
        <v>14225</v>
      </c>
    </row>
    <row r="156" spans="1:12" ht="16.2" customHeight="1" x14ac:dyDescent="0.3">
      <c r="A156" s="12">
        <v>18</v>
      </c>
      <c r="B156" s="11">
        <v>0.39583333333333331</v>
      </c>
      <c r="C156" s="12" t="s">
        <v>48</v>
      </c>
      <c r="D156" s="12">
        <v>-53</v>
      </c>
      <c r="E156" s="12" t="s">
        <v>24</v>
      </c>
      <c r="F156" s="12">
        <v>1</v>
      </c>
      <c r="K156" s="34">
        <f>((Table5[[#This Row],[SPOT PTS]]/2)*15)-65</f>
        <v>-462.5</v>
      </c>
      <c r="L156" s="34">
        <f t="shared" si="5"/>
        <v>13762.5</v>
      </c>
    </row>
    <row r="157" spans="1:12" ht="16.2" customHeight="1" thickBot="1" x14ac:dyDescent="0.35">
      <c r="A157" s="36">
        <v>18</v>
      </c>
      <c r="B157" s="37">
        <v>0.41319444444444442</v>
      </c>
      <c r="C157" s="36" t="s">
        <v>50</v>
      </c>
      <c r="D157" s="36">
        <v>86</v>
      </c>
      <c r="E157" s="36" t="s">
        <v>24</v>
      </c>
      <c r="F157" s="36">
        <v>1</v>
      </c>
      <c r="K157" s="34">
        <f>((Table5[[#This Row],[SPOT PTS]]/2)*15)-65</f>
        <v>580</v>
      </c>
      <c r="L157" s="34">
        <f t="shared" si="5"/>
        <v>14342.5</v>
      </c>
    </row>
    <row r="158" spans="1:12" ht="16.2" customHeight="1" thickBot="1" x14ac:dyDescent="0.35">
      <c r="A158" s="12">
        <v>19</v>
      </c>
      <c r="B158" s="11">
        <v>0.46180555555555558</v>
      </c>
      <c r="C158" s="12" t="s">
        <v>50</v>
      </c>
      <c r="D158" s="12">
        <v>161</v>
      </c>
      <c r="E158" s="12" t="s">
        <v>20</v>
      </c>
      <c r="F158" s="12">
        <v>1</v>
      </c>
      <c r="K158" s="34">
        <f>((Table5[[#This Row],[SPOT PTS]]/2)*15)-65</f>
        <v>1142.5</v>
      </c>
      <c r="L158" s="34">
        <f t="shared" si="5"/>
        <v>15485</v>
      </c>
    </row>
    <row r="159" spans="1:12" ht="16.2" customHeight="1" x14ac:dyDescent="0.3">
      <c r="A159" s="38">
        <v>20</v>
      </c>
      <c r="B159" s="39">
        <v>0.46527777777777773</v>
      </c>
      <c r="C159" s="38" t="s">
        <v>48</v>
      </c>
      <c r="D159" s="38">
        <v>-33</v>
      </c>
      <c r="E159" s="38" t="s">
        <v>21</v>
      </c>
      <c r="F159" s="38">
        <v>1</v>
      </c>
      <c r="K159" s="34">
        <f>((Table5[[#This Row],[SPOT PTS]]/2)*15)-65</f>
        <v>-312.5</v>
      </c>
      <c r="L159" s="34">
        <f t="shared" si="5"/>
        <v>15172.5</v>
      </c>
    </row>
    <row r="160" spans="1:12" ht="16.2" customHeight="1" thickBot="1" x14ac:dyDescent="0.35">
      <c r="A160" s="9">
        <v>20</v>
      </c>
      <c r="B160" s="8">
        <v>5.9027777777777783E-2</v>
      </c>
      <c r="C160" s="9" t="s">
        <v>48</v>
      </c>
      <c r="D160" s="9">
        <v>-34</v>
      </c>
      <c r="E160" s="9" t="s">
        <v>21</v>
      </c>
      <c r="F160" s="9">
        <v>2</v>
      </c>
      <c r="K160" s="34">
        <f>((Table5[[#This Row],[SPOT PTS]]/2)*15)-65</f>
        <v>-320</v>
      </c>
      <c r="L160" s="34">
        <f t="shared" si="5"/>
        <v>14852.5</v>
      </c>
    </row>
    <row r="161" spans="1:12" ht="16.2" customHeight="1" x14ac:dyDescent="0.3">
      <c r="A161" s="38">
        <v>23</v>
      </c>
      <c r="B161" s="39">
        <v>0.43055555555555558</v>
      </c>
      <c r="C161" s="38" t="s">
        <v>48</v>
      </c>
      <c r="D161" s="38">
        <v>-63</v>
      </c>
      <c r="E161" s="38" t="s">
        <v>22</v>
      </c>
      <c r="F161" s="38">
        <v>1</v>
      </c>
      <c r="K161" s="34">
        <f>((Table5[[#This Row],[SPOT PTS]]/2)*15)-65</f>
        <v>-537.5</v>
      </c>
      <c r="L161" s="34">
        <f t="shared" si="5"/>
        <v>14315</v>
      </c>
    </row>
    <row r="162" spans="1:12" ht="16.2" customHeight="1" x14ac:dyDescent="0.3">
      <c r="A162" s="9">
        <v>23</v>
      </c>
      <c r="B162" s="8">
        <v>0.4861111111111111</v>
      </c>
      <c r="C162" s="9" t="s">
        <v>48</v>
      </c>
      <c r="D162" s="9">
        <v>-27</v>
      </c>
      <c r="E162" s="9" t="s">
        <v>22</v>
      </c>
      <c r="F162" s="9">
        <v>1</v>
      </c>
      <c r="K162" s="34">
        <f>((Table5[[#This Row],[SPOT PTS]]/2)*15)-65</f>
        <v>-267.5</v>
      </c>
      <c r="L162" s="34">
        <f t="shared" si="5"/>
        <v>14047.5</v>
      </c>
    </row>
    <row r="163" spans="1:12" ht="16.2" customHeight="1" thickBot="1" x14ac:dyDescent="0.35">
      <c r="A163" s="36">
        <v>23</v>
      </c>
      <c r="B163" s="37">
        <v>6.5972222222222224E-2</v>
      </c>
      <c r="C163" s="36" t="s">
        <v>50</v>
      </c>
      <c r="D163" s="36">
        <v>157</v>
      </c>
      <c r="E163" s="36" t="s">
        <v>22</v>
      </c>
      <c r="F163" s="36">
        <v>2</v>
      </c>
      <c r="K163" s="34">
        <f>((Table5[[#This Row],[SPOT PTS]]/2)*15)-65</f>
        <v>1112.5</v>
      </c>
      <c r="L163" s="34">
        <f t="shared" si="5"/>
        <v>15160</v>
      </c>
    </row>
    <row r="164" spans="1:12" ht="16.2" customHeight="1" x14ac:dyDescent="0.3">
      <c r="A164" s="12">
        <v>24</v>
      </c>
      <c r="B164" s="11">
        <v>0.39583333333333331</v>
      </c>
      <c r="C164" s="12" t="s">
        <v>48</v>
      </c>
      <c r="D164" s="12">
        <v>-80</v>
      </c>
      <c r="E164" s="12" t="s">
        <v>23</v>
      </c>
      <c r="F164" s="12">
        <v>1</v>
      </c>
      <c r="K164" s="34">
        <f>((Table5[[#This Row],[SPOT PTS]]/2)*15)-65</f>
        <v>-665</v>
      </c>
      <c r="L164" s="34">
        <f t="shared" si="5"/>
        <v>14495</v>
      </c>
    </row>
    <row r="165" spans="1:12" ht="16.2" customHeight="1" thickBot="1" x14ac:dyDescent="0.35">
      <c r="A165" s="36">
        <v>24</v>
      </c>
      <c r="B165" s="37">
        <v>0.5</v>
      </c>
      <c r="C165" s="36" t="s">
        <v>50</v>
      </c>
      <c r="D165" s="36">
        <v>63</v>
      </c>
      <c r="E165" s="36" t="s">
        <v>23</v>
      </c>
      <c r="F165" s="36">
        <v>1</v>
      </c>
      <c r="K165" s="34">
        <f>((Table5[[#This Row],[SPOT PTS]]/2)*15)-65</f>
        <v>407.5</v>
      </c>
      <c r="L165" s="34">
        <f t="shared" si="5"/>
        <v>14902.5</v>
      </c>
    </row>
    <row r="166" spans="1:12" ht="16.2" customHeight="1" x14ac:dyDescent="0.3">
      <c r="A166" s="12">
        <v>25</v>
      </c>
      <c r="B166" s="11">
        <v>0.39930555555555558</v>
      </c>
      <c r="C166" s="12" t="s">
        <v>48</v>
      </c>
      <c r="D166" s="12">
        <v>-51</v>
      </c>
      <c r="E166" s="12" t="s">
        <v>24</v>
      </c>
      <c r="F166" s="12">
        <v>1</v>
      </c>
      <c r="K166" s="34">
        <f>((Table5[[#This Row],[SPOT PTS]]/2)*15)-65</f>
        <v>-447.5</v>
      </c>
      <c r="L166" s="34">
        <f t="shared" si="5"/>
        <v>14455</v>
      </c>
    </row>
    <row r="167" spans="1:12" ht="16.2" customHeight="1" thickBot="1" x14ac:dyDescent="0.35">
      <c r="A167" s="36">
        <v>25</v>
      </c>
      <c r="B167" s="37">
        <v>0.10069444444444443</v>
      </c>
      <c r="C167" s="36" t="s">
        <v>50</v>
      </c>
      <c r="D167" s="36">
        <v>142</v>
      </c>
      <c r="E167" s="36" t="s">
        <v>24</v>
      </c>
      <c r="F167" s="36">
        <v>1</v>
      </c>
      <c r="K167" s="34">
        <f>((Table5[[#This Row],[SPOT PTS]]/2)*15)-65</f>
        <v>1000</v>
      </c>
      <c r="L167" s="34">
        <f t="shared" si="5"/>
        <v>15455</v>
      </c>
    </row>
    <row r="168" spans="1:12" ht="16.2" customHeight="1" thickBot="1" x14ac:dyDescent="0.35">
      <c r="A168" s="12">
        <v>26</v>
      </c>
      <c r="B168" s="11">
        <v>0.39583333333333331</v>
      </c>
      <c r="C168" s="12" t="s">
        <v>50</v>
      </c>
      <c r="D168" s="12">
        <v>128</v>
      </c>
      <c r="E168" s="12" t="s">
        <v>20</v>
      </c>
      <c r="F168" s="12">
        <v>1</v>
      </c>
      <c r="K168" s="34">
        <f>((Table5[[#This Row],[SPOT PTS]]/2)*15)-65</f>
        <v>895</v>
      </c>
      <c r="L168" s="34">
        <f t="shared" si="5"/>
        <v>16350</v>
      </c>
    </row>
    <row r="169" spans="1:12" ht="16.2" customHeight="1" thickBot="1" x14ac:dyDescent="0.35">
      <c r="A169" s="38">
        <v>27</v>
      </c>
      <c r="B169" s="39">
        <v>0.4548611111111111</v>
      </c>
      <c r="C169" s="38" t="s">
        <v>50</v>
      </c>
      <c r="D169" s="38">
        <v>120</v>
      </c>
      <c r="E169" s="38" t="s">
        <v>21</v>
      </c>
      <c r="F169" s="38">
        <v>1</v>
      </c>
      <c r="K169" s="34">
        <f>((Table5[[#This Row],[SPOT PTS]]/2)*15)-65</f>
        <v>835</v>
      </c>
      <c r="L169" s="34">
        <f t="shared" si="5"/>
        <v>17185</v>
      </c>
    </row>
    <row r="170" spans="1:12" ht="16.2" customHeight="1" x14ac:dyDescent="0.3">
      <c r="A170" s="12">
        <v>30</v>
      </c>
      <c r="B170" s="11">
        <v>0.39583333333333331</v>
      </c>
      <c r="C170" s="12" t="s">
        <v>48</v>
      </c>
      <c r="D170" s="12">
        <v>-52</v>
      </c>
      <c r="E170" s="12" t="s">
        <v>22</v>
      </c>
      <c r="F170" s="12">
        <v>1</v>
      </c>
      <c r="K170" s="34">
        <f>((Table5[[#This Row],[SPOT PTS]]/2)*15)-65</f>
        <v>-455</v>
      </c>
      <c r="L170" s="34">
        <f t="shared" si="5"/>
        <v>16730</v>
      </c>
    </row>
    <row r="171" spans="1:12" ht="16.2" customHeight="1" thickBot="1" x14ac:dyDescent="0.35">
      <c r="A171" s="36">
        <v>30</v>
      </c>
      <c r="B171" s="37">
        <v>5.2083333333333336E-2</v>
      </c>
      <c r="C171" s="36" t="s">
        <v>50</v>
      </c>
      <c r="D171" s="36">
        <v>96</v>
      </c>
      <c r="E171" s="36" t="s">
        <v>22</v>
      </c>
      <c r="F171" s="36">
        <v>2</v>
      </c>
      <c r="K171" s="34">
        <f>((Table5[[#This Row],[SPOT PTS]]/2)*15)-65</f>
        <v>655</v>
      </c>
      <c r="L171" s="34">
        <f t="shared" si="5"/>
        <v>17385</v>
      </c>
    </row>
    <row r="172" spans="1:12" ht="16.2" customHeight="1" x14ac:dyDescent="0.3">
      <c r="A172" s="10">
        <v>31</v>
      </c>
      <c r="B172" s="11">
        <v>0.4513888888888889</v>
      </c>
      <c r="C172" s="12" t="s">
        <v>48</v>
      </c>
      <c r="D172" s="12">
        <v>-33</v>
      </c>
      <c r="E172" s="12" t="s">
        <v>23</v>
      </c>
      <c r="F172" s="13">
        <v>1</v>
      </c>
      <c r="K172" s="34">
        <f>((Table5[[#This Row],[SPOT PTS]]/2)*15)-65</f>
        <v>-312.5</v>
      </c>
      <c r="L172" s="34">
        <f t="shared" si="5"/>
        <v>17072.5</v>
      </c>
    </row>
    <row r="173" spans="1:12" ht="16.2" customHeight="1" thickBot="1" x14ac:dyDescent="0.35">
      <c r="A173" s="40">
        <v>31</v>
      </c>
      <c r="B173" s="41">
        <v>0.46180555555555558</v>
      </c>
      <c r="C173" s="42" t="s">
        <v>50</v>
      </c>
      <c r="D173" s="42">
        <v>104</v>
      </c>
      <c r="E173" s="42" t="s">
        <v>23</v>
      </c>
      <c r="F173" s="43">
        <v>1</v>
      </c>
      <c r="K173" s="34">
        <f>((Table5[[#This Row],[SPOT PTS]]/2)*15)-65</f>
        <v>715</v>
      </c>
      <c r="L173" s="34">
        <f t="shared" si="5"/>
        <v>17787.5</v>
      </c>
    </row>
    <row r="174" spans="1:12" ht="16.2" customHeight="1" thickBot="1" x14ac:dyDescent="0.35">
      <c r="A174" s="57" t="s">
        <v>54</v>
      </c>
      <c r="B174" s="57"/>
      <c r="C174" s="57"/>
      <c r="D174" s="57"/>
      <c r="E174" s="57"/>
      <c r="F174" s="57"/>
    </row>
    <row r="175" spans="1:12" ht="16.2" customHeight="1" thickBot="1" x14ac:dyDescent="0.35">
      <c r="A175" s="20" t="s">
        <v>0</v>
      </c>
      <c r="B175" s="20" t="s">
        <v>1</v>
      </c>
      <c r="C175" s="20" t="s">
        <v>3</v>
      </c>
      <c r="D175" s="20" t="s">
        <v>2</v>
      </c>
      <c r="E175" s="20" t="s">
        <v>4</v>
      </c>
      <c r="F175" s="20" t="s">
        <v>47</v>
      </c>
      <c r="L175" s="34">
        <v>10000</v>
      </c>
    </row>
    <row r="176" spans="1:12" ht="16.2" customHeight="1" x14ac:dyDescent="0.3">
      <c r="A176" s="12">
        <v>1</v>
      </c>
      <c r="B176" s="11">
        <v>0.40277777777777773</v>
      </c>
      <c r="C176" s="12" t="s">
        <v>48</v>
      </c>
      <c r="D176" s="12">
        <v>-51</v>
      </c>
      <c r="E176" s="12" t="s">
        <v>24</v>
      </c>
      <c r="F176" s="12">
        <v>1</v>
      </c>
      <c r="H176" s="3" t="s">
        <v>5</v>
      </c>
      <c r="I176" s="3">
        <f>COUNT(Table6[RANGE])</f>
        <v>32</v>
      </c>
      <c r="K176" s="34">
        <f>((Table6[[#This Row],[SPOT PTS]]/2)*15)-65</f>
        <v>-447.5</v>
      </c>
      <c r="L176" s="34">
        <f>L175+K176</f>
        <v>9552.5</v>
      </c>
    </row>
    <row r="177" spans="1:12" ht="16.2" customHeight="1" thickBot="1" x14ac:dyDescent="0.35">
      <c r="A177" s="36">
        <v>1</v>
      </c>
      <c r="B177" s="37">
        <v>0.4513888888888889</v>
      </c>
      <c r="C177" s="36" t="s">
        <v>48</v>
      </c>
      <c r="D177" s="36">
        <v>-27</v>
      </c>
      <c r="E177" s="36" t="s">
        <v>24</v>
      </c>
      <c r="F177" s="36">
        <v>1</v>
      </c>
      <c r="H177" s="3" t="s">
        <v>6</v>
      </c>
      <c r="I177" s="5">
        <f>((COUNTIF(Table6[OUTCOME],"Target"))/I176)</f>
        <v>0.40625</v>
      </c>
      <c r="K177" s="34">
        <f>((Table6[[#This Row],[SPOT PTS]]/2)*15)-65</f>
        <v>-267.5</v>
      </c>
      <c r="L177" s="34">
        <f t="shared" ref="L177:L207" si="6">L176+K177</f>
        <v>9285</v>
      </c>
    </row>
    <row r="178" spans="1:12" ht="16.2" customHeight="1" thickBot="1" x14ac:dyDescent="0.35">
      <c r="A178" s="12">
        <v>2</v>
      </c>
      <c r="B178" s="11">
        <v>0.41666666666666669</v>
      </c>
      <c r="C178" s="12" t="s">
        <v>48</v>
      </c>
      <c r="D178" s="12">
        <v>-67</v>
      </c>
      <c r="E178" s="12" t="s">
        <v>20</v>
      </c>
      <c r="F178" s="12">
        <v>1</v>
      </c>
      <c r="H178" s="3" t="s">
        <v>7</v>
      </c>
      <c r="I178" s="3">
        <f>SUM(Table6[SPOT PTS])</f>
        <v>996</v>
      </c>
      <c r="K178" s="34">
        <f>((Table6[[#This Row],[SPOT PTS]]/2)*15)-65</f>
        <v>-567.5</v>
      </c>
      <c r="L178" s="34">
        <f t="shared" si="6"/>
        <v>8717.5</v>
      </c>
    </row>
    <row r="179" spans="1:12" ht="16.2" customHeight="1" thickBot="1" x14ac:dyDescent="0.35">
      <c r="A179" s="38">
        <v>3</v>
      </c>
      <c r="B179" s="39">
        <v>0.3888888888888889</v>
      </c>
      <c r="C179" s="38" t="s">
        <v>50</v>
      </c>
      <c r="D179" s="38">
        <v>242</v>
      </c>
      <c r="E179" s="38" t="s">
        <v>21</v>
      </c>
      <c r="F179" s="38">
        <v>1</v>
      </c>
      <c r="H179" s="3" t="s">
        <v>8</v>
      </c>
      <c r="I179" s="3">
        <f>65*I176</f>
        <v>2080</v>
      </c>
      <c r="K179" s="34">
        <f>((Table6[[#This Row],[SPOT PTS]]/2)*15)-65</f>
        <v>1750</v>
      </c>
      <c r="L179" s="34">
        <f t="shared" si="6"/>
        <v>10467.5</v>
      </c>
    </row>
    <row r="180" spans="1:12" ht="16.2" customHeight="1" x14ac:dyDescent="0.3">
      <c r="A180" s="12">
        <v>8</v>
      </c>
      <c r="B180" s="11">
        <v>0.3888888888888889</v>
      </c>
      <c r="C180" s="12" t="s">
        <v>48</v>
      </c>
      <c r="D180" s="12">
        <v>-80</v>
      </c>
      <c r="E180" s="12" t="s">
        <v>24</v>
      </c>
      <c r="F180" s="12">
        <v>1</v>
      </c>
      <c r="H180" s="3" t="s">
        <v>9</v>
      </c>
      <c r="I180" s="3">
        <f>SUMIF(Table6[OUTCOME],"Stoploss",Table6[SPOT PTS])</f>
        <v>-975</v>
      </c>
      <c r="K180" s="34">
        <f>((Table6[[#This Row],[SPOT PTS]]/2)*15)-65</f>
        <v>-665</v>
      </c>
      <c r="L180" s="34">
        <f t="shared" si="6"/>
        <v>9802.5</v>
      </c>
    </row>
    <row r="181" spans="1:12" ht="16.2" customHeight="1" thickBot="1" x14ac:dyDescent="0.35">
      <c r="A181" s="36">
        <v>8</v>
      </c>
      <c r="B181" s="37">
        <v>0.4513888888888889</v>
      </c>
      <c r="C181" s="36" t="s">
        <v>50</v>
      </c>
      <c r="D181" s="36">
        <v>241</v>
      </c>
      <c r="E181" s="36" t="s">
        <v>24</v>
      </c>
      <c r="F181" s="36">
        <v>1</v>
      </c>
      <c r="H181" s="3" t="s">
        <v>10</v>
      </c>
      <c r="I181" s="3">
        <f>SUMIF(Table6[OUTCOME],"Target",Table6[SPOT PTS])</f>
        <v>1971</v>
      </c>
      <c r="K181" s="34">
        <f>((Table6[[#This Row],[SPOT PTS]]/2)*15)-65</f>
        <v>1742.5</v>
      </c>
      <c r="L181" s="34">
        <f t="shared" si="6"/>
        <v>11545</v>
      </c>
    </row>
    <row r="182" spans="1:12" ht="16.2" customHeight="1" x14ac:dyDescent="0.3">
      <c r="A182" s="12">
        <v>9</v>
      </c>
      <c r="B182" s="11">
        <v>0.46180555555555558</v>
      </c>
      <c r="C182" s="12" t="s">
        <v>48</v>
      </c>
      <c r="D182" s="12">
        <v>-48</v>
      </c>
      <c r="E182" s="12" t="s">
        <v>20</v>
      </c>
      <c r="F182" s="12">
        <v>1</v>
      </c>
      <c r="H182" s="3" t="s">
        <v>11</v>
      </c>
      <c r="I182" s="5">
        <f>I183/10000</f>
        <v>0.53900000000000003</v>
      </c>
      <c r="K182" s="34">
        <f>((Table6[[#This Row],[SPOT PTS]]/2)*15)-65</f>
        <v>-425</v>
      </c>
      <c r="L182" s="34">
        <f t="shared" si="6"/>
        <v>11120</v>
      </c>
    </row>
    <row r="183" spans="1:12" ht="16.2" customHeight="1" thickBot="1" x14ac:dyDescent="0.35">
      <c r="A183" s="36">
        <v>9</v>
      </c>
      <c r="B183" s="37">
        <v>0.53125</v>
      </c>
      <c r="C183" s="36" t="s">
        <v>50</v>
      </c>
      <c r="D183" s="36">
        <v>101</v>
      </c>
      <c r="E183" s="36" t="s">
        <v>20</v>
      </c>
      <c r="F183" s="36">
        <v>2</v>
      </c>
      <c r="H183" s="3" t="s">
        <v>12</v>
      </c>
      <c r="I183" s="49">
        <f>((I178/2)*15)-I179</f>
        <v>5390</v>
      </c>
      <c r="K183" s="34">
        <f>((Table6[[#This Row],[SPOT PTS]]/2)*15)-65</f>
        <v>692.5</v>
      </c>
      <c r="L183" s="34">
        <f t="shared" si="6"/>
        <v>11812.5</v>
      </c>
    </row>
    <row r="184" spans="1:12" ht="16.2" customHeight="1" thickBot="1" x14ac:dyDescent="0.35">
      <c r="A184" s="12">
        <v>10</v>
      </c>
      <c r="B184" s="11">
        <v>7.6388888888888895E-2</v>
      </c>
      <c r="C184" s="12" t="s">
        <v>50</v>
      </c>
      <c r="D184" s="12">
        <v>67</v>
      </c>
      <c r="E184" s="12" t="s">
        <v>21</v>
      </c>
      <c r="F184" s="12">
        <v>2</v>
      </c>
      <c r="K184" s="34">
        <f>((Table6[[#This Row],[SPOT PTS]]/2)*15)-65</f>
        <v>437.5</v>
      </c>
      <c r="L184" s="34">
        <f t="shared" si="6"/>
        <v>12250</v>
      </c>
    </row>
    <row r="185" spans="1:12" ht="16.2" customHeight="1" thickBot="1" x14ac:dyDescent="0.35">
      <c r="A185" s="38">
        <v>13</v>
      </c>
      <c r="B185" s="39">
        <v>0.1111111111111111</v>
      </c>
      <c r="C185" s="38" t="s">
        <v>48</v>
      </c>
      <c r="D185" s="38">
        <v>-33</v>
      </c>
      <c r="E185" s="38" t="s">
        <v>22</v>
      </c>
      <c r="F185" s="38">
        <v>2</v>
      </c>
      <c r="K185" s="34">
        <f>((Table6[[#This Row],[SPOT PTS]]/2)*15)-65</f>
        <v>-312.5</v>
      </c>
      <c r="L185" s="34">
        <f t="shared" si="6"/>
        <v>11937.5</v>
      </c>
    </row>
    <row r="186" spans="1:12" ht="16.2" customHeight="1" x14ac:dyDescent="0.3">
      <c r="A186" s="12">
        <v>14</v>
      </c>
      <c r="B186" s="11">
        <v>0.4236111111111111</v>
      </c>
      <c r="C186" s="12" t="s">
        <v>48</v>
      </c>
      <c r="D186" s="12">
        <v>-23</v>
      </c>
      <c r="E186" s="12" t="s">
        <v>23</v>
      </c>
      <c r="F186" s="12">
        <v>1</v>
      </c>
      <c r="K186" s="34">
        <f>((Table6[[#This Row],[SPOT PTS]]/2)*15)-65</f>
        <v>-237.5</v>
      </c>
      <c r="L186" s="34">
        <f t="shared" si="6"/>
        <v>11700</v>
      </c>
    </row>
    <row r="187" spans="1:12" ht="16.2" customHeight="1" x14ac:dyDescent="0.3">
      <c r="A187" s="36">
        <v>14</v>
      </c>
      <c r="B187" s="37">
        <v>0.47569444444444442</v>
      </c>
      <c r="C187" s="36" t="s">
        <v>48</v>
      </c>
      <c r="D187" s="36">
        <v>-27</v>
      </c>
      <c r="E187" s="36" t="s">
        <v>23</v>
      </c>
      <c r="F187" s="36">
        <v>1</v>
      </c>
      <c r="K187" s="34">
        <f>((Table6[[#This Row],[SPOT PTS]]/2)*15)-65</f>
        <v>-267.5</v>
      </c>
      <c r="L187" s="34">
        <f t="shared" si="6"/>
        <v>11432.5</v>
      </c>
    </row>
    <row r="188" spans="1:12" ht="16.2" customHeight="1" thickBot="1" x14ac:dyDescent="0.35">
      <c r="A188" s="9">
        <v>14</v>
      </c>
      <c r="B188" s="8">
        <v>6.25E-2</v>
      </c>
      <c r="C188" s="9" t="s">
        <v>50</v>
      </c>
      <c r="D188" s="9">
        <v>162</v>
      </c>
      <c r="E188" s="9" t="s">
        <v>23</v>
      </c>
      <c r="F188" s="9">
        <v>2</v>
      </c>
      <c r="K188" s="34">
        <f>((Table6[[#This Row],[SPOT PTS]]/2)*15)-65</f>
        <v>1150</v>
      </c>
      <c r="L188" s="34">
        <f t="shared" si="6"/>
        <v>12582.5</v>
      </c>
    </row>
    <row r="189" spans="1:12" ht="16.2" customHeight="1" thickBot="1" x14ac:dyDescent="0.35">
      <c r="A189" s="38">
        <v>15</v>
      </c>
      <c r="B189" s="39">
        <v>0.4375</v>
      </c>
      <c r="C189" s="38" t="s">
        <v>50</v>
      </c>
      <c r="D189" s="38">
        <v>110</v>
      </c>
      <c r="E189" s="38" t="s">
        <v>24</v>
      </c>
      <c r="F189" s="38">
        <v>1</v>
      </c>
      <c r="K189" s="34">
        <f>((Table6[[#This Row],[SPOT PTS]]/2)*15)-65</f>
        <v>760</v>
      </c>
      <c r="L189" s="34">
        <f t="shared" si="6"/>
        <v>13342.5</v>
      </c>
    </row>
    <row r="190" spans="1:12" ht="16.2" customHeight="1" thickBot="1" x14ac:dyDescent="0.35">
      <c r="A190" s="12">
        <v>16</v>
      </c>
      <c r="B190" s="11">
        <v>0.3923611111111111</v>
      </c>
      <c r="C190" s="12" t="s">
        <v>48</v>
      </c>
      <c r="D190" s="12">
        <v>-52</v>
      </c>
      <c r="E190" s="12" t="s">
        <v>20</v>
      </c>
      <c r="F190" s="12">
        <v>1</v>
      </c>
      <c r="K190" s="34">
        <f>((Table6[[#This Row],[SPOT PTS]]/2)*15)-65</f>
        <v>-455</v>
      </c>
      <c r="L190" s="34">
        <f t="shared" si="6"/>
        <v>12887.5</v>
      </c>
    </row>
    <row r="191" spans="1:12" ht="16.2" customHeight="1" x14ac:dyDescent="0.3">
      <c r="A191" s="38">
        <v>17</v>
      </c>
      <c r="B191" s="39">
        <v>0.40972222222222227</v>
      </c>
      <c r="C191" s="38" t="s">
        <v>48</v>
      </c>
      <c r="D191" s="38">
        <v>-80</v>
      </c>
      <c r="E191" s="38" t="s">
        <v>21</v>
      </c>
      <c r="F191" s="38">
        <v>1</v>
      </c>
      <c r="K191" s="34">
        <f>((Table6[[#This Row],[SPOT PTS]]/2)*15)-65</f>
        <v>-665</v>
      </c>
      <c r="L191" s="34">
        <f t="shared" si="6"/>
        <v>12222.5</v>
      </c>
    </row>
    <row r="192" spans="1:12" ht="16.2" customHeight="1" thickBot="1" x14ac:dyDescent="0.35">
      <c r="A192" s="9">
        <v>17</v>
      </c>
      <c r="B192" s="8">
        <v>0.52430555555555558</v>
      </c>
      <c r="C192" s="9" t="s">
        <v>48</v>
      </c>
      <c r="D192" s="9">
        <v>-80</v>
      </c>
      <c r="E192" s="9" t="s">
        <v>21</v>
      </c>
      <c r="F192" s="9">
        <v>2</v>
      </c>
      <c r="K192" s="34">
        <f>((Table6[[#This Row],[SPOT PTS]]/2)*15)-65</f>
        <v>-665</v>
      </c>
      <c r="L192" s="34">
        <f t="shared" si="6"/>
        <v>11557.5</v>
      </c>
    </row>
    <row r="193" spans="1:12" ht="16.2" customHeight="1" x14ac:dyDescent="0.3">
      <c r="A193" s="38">
        <v>20</v>
      </c>
      <c r="B193" s="39">
        <v>0.4236111111111111</v>
      </c>
      <c r="C193" s="38" t="s">
        <v>48</v>
      </c>
      <c r="D193" s="38">
        <v>-61</v>
      </c>
      <c r="E193" s="38" t="s">
        <v>22</v>
      </c>
      <c r="F193" s="38">
        <v>1</v>
      </c>
      <c r="K193" s="34">
        <f>((Table6[[#This Row],[SPOT PTS]]/2)*15)-65</f>
        <v>-522.5</v>
      </c>
      <c r="L193" s="34">
        <f t="shared" si="6"/>
        <v>11035</v>
      </c>
    </row>
    <row r="194" spans="1:12" ht="16.2" customHeight="1" thickBot="1" x14ac:dyDescent="0.35">
      <c r="A194" s="9">
        <v>20</v>
      </c>
      <c r="B194" s="8">
        <v>0.52083333333333337</v>
      </c>
      <c r="C194" s="9" t="s">
        <v>50</v>
      </c>
      <c r="D194" s="9">
        <v>171</v>
      </c>
      <c r="E194" s="9" t="s">
        <v>22</v>
      </c>
      <c r="F194" s="9">
        <v>2</v>
      </c>
      <c r="K194" s="34">
        <f>((Table6[[#This Row],[SPOT PTS]]/2)*15)-65</f>
        <v>1217.5</v>
      </c>
      <c r="L194" s="34">
        <f t="shared" si="6"/>
        <v>12252.5</v>
      </c>
    </row>
    <row r="195" spans="1:12" ht="16.2" customHeight="1" x14ac:dyDescent="0.3">
      <c r="A195" s="38">
        <v>21</v>
      </c>
      <c r="B195" s="39">
        <v>0.3923611111111111</v>
      </c>
      <c r="C195" s="38" t="s">
        <v>48</v>
      </c>
      <c r="D195" s="38">
        <v>-67</v>
      </c>
      <c r="E195" s="38" t="s">
        <v>23</v>
      </c>
      <c r="F195" s="38">
        <v>1</v>
      </c>
      <c r="K195" s="34">
        <f>((Table6[[#This Row],[SPOT PTS]]/2)*15)-65</f>
        <v>-567.5</v>
      </c>
      <c r="L195" s="34">
        <f t="shared" si="6"/>
        <v>11685</v>
      </c>
    </row>
    <row r="196" spans="1:12" ht="16.2" customHeight="1" thickBot="1" x14ac:dyDescent="0.35">
      <c r="A196" s="9">
        <v>21</v>
      </c>
      <c r="B196" s="8">
        <v>0.49305555555555558</v>
      </c>
      <c r="C196" s="9" t="s">
        <v>48</v>
      </c>
      <c r="D196" s="9">
        <v>-26</v>
      </c>
      <c r="E196" s="9" t="s">
        <v>23</v>
      </c>
      <c r="F196" s="9">
        <v>1</v>
      </c>
      <c r="K196" s="34">
        <f>((Table6[[#This Row],[SPOT PTS]]/2)*15)-65</f>
        <v>-260</v>
      </c>
      <c r="L196" s="34">
        <f t="shared" si="6"/>
        <v>11425</v>
      </c>
    </row>
    <row r="197" spans="1:12" ht="16.2" customHeight="1" x14ac:dyDescent="0.3">
      <c r="A197" s="38">
        <v>22</v>
      </c>
      <c r="B197" s="39">
        <v>0.44444444444444442</v>
      </c>
      <c r="C197" s="38" t="s">
        <v>48</v>
      </c>
      <c r="D197" s="38">
        <v>-38</v>
      </c>
      <c r="E197" s="38" t="s">
        <v>24</v>
      </c>
      <c r="F197" s="38">
        <v>1</v>
      </c>
      <c r="K197" s="34">
        <f>((Table6[[#This Row],[SPOT PTS]]/2)*15)-65</f>
        <v>-350</v>
      </c>
      <c r="L197" s="34">
        <f t="shared" si="6"/>
        <v>11075</v>
      </c>
    </row>
    <row r="198" spans="1:12" ht="16.2" customHeight="1" thickBot="1" x14ac:dyDescent="0.35">
      <c r="A198" s="9">
        <v>22</v>
      </c>
      <c r="B198" s="8">
        <v>0.46180555555555558</v>
      </c>
      <c r="C198" s="9" t="s">
        <v>50</v>
      </c>
      <c r="D198" s="9">
        <v>191</v>
      </c>
      <c r="E198" s="9" t="s">
        <v>24</v>
      </c>
      <c r="F198" s="9">
        <v>1</v>
      </c>
      <c r="K198" s="34">
        <f>((Table6[[#This Row],[SPOT PTS]]/2)*15)-65</f>
        <v>1367.5</v>
      </c>
      <c r="L198" s="34">
        <f t="shared" si="6"/>
        <v>12442.5</v>
      </c>
    </row>
    <row r="199" spans="1:12" ht="16.2" customHeight="1" x14ac:dyDescent="0.3">
      <c r="A199" s="38">
        <v>23</v>
      </c>
      <c r="B199" s="39">
        <v>0.43055555555555558</v>
      </c>
      <c r="C199" s="38" t="s">
        <v>48</v>
      </c>
      <c r="D199" s="38">
        <v>-26</v>
      </c>
      <c r="E199" s="38" t="s">
        <v>20</v>
      </c>
      <c r="F199" s="38">
        <v>1</v>
      </c>
      <c r="K199" s="34">
        <f>((Table6[[#This Row],[SPOT PTS]]/2)*15)-65</f>
        <v>-260</v>
      </c>
      <c r="L199" s="34">
        <f t="shared" si="6"/>
        <v>12182.5</v>
      </c>
    </row>
    <row r="200" spans="1:12" ht="16.2" customHeight="1" thickBot="1" x14ac:dyDescent="0.35">
      <c r="A200" s="9">
        <v>23</v>
      </c>
      <c r="B200" s="8">
        <v>8.3333333333333329E-2</v>
      </c>
      <c r="C200" s="9" t="s">
        <v>48</v>
      </c>
      <c r="D200" s="9">
        <v>-80</v>
      </c>
      <c r="E200" s="9" t="s">
        <v>20</v>
      </c>
      <c r="F200" s="9">
        <v>2</v>
      </c>
      <c r="K200" s="34">
        <f>((Table6[[#This Row],[SPOT PTS]]/2)*15)-65</f>
        <v>-665</v>
      </c>
      <c r="L200" s="34">
        <f t="shared" si="6"/>
        <v>11517.5</v>
      </c>
    </row>
    <row r="201" spans="1:12" ht="16.2" customHeight="1" x14ac:dyDescent="0.3">
      <c r="A201" s="38">
        <v>24</v>
      </c>
      <c r="B201" s="39">
        <v>0.3923611111111111</v>
      </c>
      <c r="C201" s="38" t="s">
        <v>48</v>
      </c>
      <c r="D201" s="38">
        <v>-80</v>
      </c>
      <c r="E201" s="38" t="s">
        <v>21</v>
      </c>
      <c r="F201" s="38">
        <v>1</v>
      </c>
      <c r="K201" s="34">
        <f>((Table6[[#This Row],[SPOT PTS]]/2)*15)-65</f>
        <v>-665</v>
      </c>
      <c r="L201" s="34">
        <f t="shared" si="6"/>
        <v>10852.5</v>
      </c>
    </row>
    <row r="202" spans="1:12" ht="16.2" customHeight="1" thickBot="1" x14ac:dyDescent="0.35">
      <c r="A202" s="9">
        <v>24</v>
      </c>
      <c r="B202" s="8">
        <v>4.8611111111111112E-2</v>
      </c>
      <c r="C202" s="9" t="s">
        <v>50</v>
      </c>
      <c r="D202" s="9">
        <v>97</v>
      </c>
      <c r="E202" s="9" t="s">
        <v>21</v>
      </c>
      <c r="F202" s="9">
        <v>2</v>
      </c>
      <c r="K202" s="34">
        <f>((Table6[[#This Row],[SPOT PTS]]/2)*15)-65</f>
        <v>662.5</v>
      </c>
      <c r="L202" s="34">
        <f t="shared" si="6"/>
        <v>11515</v>
      </c>
    </row>
    <row r="203" spans="1:12" ht="16.2" customHeight="1" thickBot="1" x14ac:dyDescent="0.35">
      <c r="A203" s="38">
        <v>27</v>
      </c>
      <c r="B203" s="39">
        <v>0.39583333333333331</v>
      </c>
      <c r="C203" s="38" t="s">
        <v>50</v>
      </c>
      <c r="D203" s="38">
        <v>187</v>
      </c>
      <c r="E203" s="38" t="s">
        <v>22</v>
      </c>
      <c r="F203" s="38">
        <v>1</v>
      </c>
      <c r="K203" s="34">
        <f>((Table6[[#This Row],[SPOT PTS]]/2)*15)-65</f>
        <v>1337.5</v>
      </c>
      <c r="L203" s="34">
        <f t="shared" si="6"/>
        <v>12852.5</v>
      </c>
    </row>
    <row r="204" spans="1:12" ht="16.2" customHeight="1" thickBot="1" x14ac:dyDescent="0.35">
      <c r="A204" s="12">
        <v>28</v>
      </c>
      <c r="B204" s="11">
        <v>0.53125</v>
      </c>
      <c r="C204" s="12" t="s">
        <v>50</v>
      </c>
      <c r="D204" s="12">
        <v>91</v>
      </c>
      <c r="E204" s="12" t="s">
        <v>23</v>
      </c>
      <c r="F204" s="12">
        <v>2</v>
      </c>
      <c r="K204" s="34">
        <f>((Table6[[#This Row],[SPOT PTS]]/2)*15)-65</f>
        <v>617.5</v>
      </c>
      <c r="L204" s="34">
        <f t="shared" si="6"/>
        <v>13470</v>
      </c>
    </row>
    <row r="205" spans="1:12" ht="16.2" customHeight="1" x14ac:dyDescent="0.3">
      <c r="A205" s="38">
        <v>29</v>
      </c>
      <c r="B205" s="39">
        <v>0.43402777777777773</v>
      </c>
      <c r="C205" s="38" t="s">
        <v>48</v>
      </c>
      <c r="D205" s="38">
        <v>-29</v>
      </c>
      <c r="E205" s="38" t="s">
        <v>24</v>
      </c>
      <c r="F205" s="38">
        <v>1</v>
      </c>
      <c r="K205" s="34">
        <f>((Table6[[#This Row],[SPOT PTS]]/2)*15)-65</f>
        <v>-282.5</v>
      </c>
      <c r="L205" s="34">
        <f t="shared" si="6"/>
        <v>13187.5</v>
      </c>
    </row>
    <row r="206" spans="1:12" ht="16.2" customHeight="1" thickBot="1" x14ac:dyDescent="0.35">
      <c r="A206" s="9">
        <v>29</v>
      </c>
      <c r="B206" s="8">
        <v>5.2083333333333336E-2</v>
      </c>
      <c r="C206" s="9" t="s">
        <v>50</v>
      </c>
      <c r="D206" s="9">
        <v>98</v>
      </c>
      <c r="E206" s="9" t="s">
        <v>24</v>
      </c>
      <c r="F206" s="9">
        <v>2</v>
      </c>
      <c r="K206" s="34">
        <f>((Table6[[#This Row],[SPOT PTS]]/2)*15)-65</f>
        <v>670</v>
      </c>
      <c r="L206" s="34">
        <f t="shared" si="6"/>
        <v>13857.5</v>
      </c>
    </row>
    <row r="207" spans="1:12" ht="16.2" customHeight="1" thickBot="1" x14ac:dyDescent="0.35">
      <c r="A207" s="44">
        <v>30</v>
      </c>
      <c r="B207" s="45">
        <v>0.40972222222222227</v>
      </c>
      <c r="C207" s="46" t="s">
        <v>50</v>
      </c>
      <c r="D207" s="46">
        <v>213</v>
      </c>
      <c r="E207" s="46" t="s">
        <v>20</v>
      </c>
      <c r="F207" s="47">
        <v>1</v>
      </c>
      <c r="K207" s="34">
        <f>((Table6[[#This Row],[SPOT PTS]]/2)*15)-65</f>
        <v>1532.5</v>
      </c>
      <c r="L207" s="34">
        <f t="shared" si="6"/>
        <v>15390</v>
      </c>
    </row>
    <row r="208" spans="1:12" ht="16.2" customHeight="1" thickBot="1" x14ac:dyDescent="0.35">
      <c r="A208" s="57" t="s">
        <v>55</v>
      </c>
      <c r="B208" s="57"/>
      <c r="C208" s="57"/>
      <c r="D208" s="57"/>
      <c r="E208" s="57"/>
      <c r="F208" s="57"/>
    </row>
    <row r="209" spans="1:12" ht="16.2" customHeight="1" thickBot="1" x14ac:dyDescent="0.35">
      <c r="A209" s="20" t="s">
        <v>0</v>
      </c>
      <c r="B209" s="20" t="s">
        <v>1</v>
      </c>
      <c r="C209" s="20" t="s">
        <v>3</v>
      </c>
      <c r="D209" s="20" t="s">
        <v>2</v>
      </c>
      <c r="E209" s="20" t="s">
        <v>4</v>
      </c>
      <c r="F209" s="20" t="s">
        <v>47</v>
      </c>
      <c r="L209" s="34">
        <v>10000</v>
      </c>
    </row>
    <row r="210" spans="1:12" ht="16.2" customHeight="1" x14ac:dyDescent="0.3">
      <c r="A210" s="12">
        <v>1</v>
      </c>
      <c r="B210" s="11">
        <v>0.44791666666666669</v>
      </c>
      <c r="C210" s="12" t="s">
        <v>48</v>
      </c>
      <c r="D210" s="12">
        <v>-35</v>
      </c>
      <c r="E210" s="12" t="s">
        <v>21</v>
      </c>
      <c r="F210" s="12">
        <v>1</v>
      </c>
      <c r="H210" s="3" t="s">
        <v>5</v>
      </c>
      <c r="I210" s="3">
        <f>COUNT(Table7[RANGE])</f>
        <v>45</v>
      </c>
      <c r="K210" s="34">
        <f>((Table7[[#This Row],[SPOT PTS]]/2)*15)-65</f>
        <v>-327.5</v>
      </c>
      <c r="L210" s="34">
        <f>K210+L209</f>
        <v>9672.5</v>
      </c>
    </row>
    <row r="211" spans="1:12" ht="16.2" customHeight="1" thickBot="1" x14ac:dyDescent="0.35">
      <c r="A211" s="36">
        <v>1</v>
      </c>
      <c r="B211" s="37">
        <v>0.4826388888888889</v>
      </c>
      <c r="C211" s="36" t="s">
        <v>50</v>
      </c>
      <c r="D211" s="36">
        <v>69</v>
      </c>
      <c r="E211" s="36" t="s">
        <v>21</v>
      </c>
      <c r="F211" s="36">
        <v>1</v>
      </c>
      <c r="H211" s="3" t="s">
        <v>6</v>
      </c>
      <c r="I211" s="5">
        <f>((COUNTIF(Table7[OUTCOME],"Target"))/I210)</f>
        <v>0.26666666666666666</v>
      </c>
      <c r="K211" s="34">
        <f>((Table7[[#This Row],[SPOT PTS]]/2)*15)-65</f>
        <v>452.5</v>
      </c>
      <c r="L211" s="34">
        <f t="shared" ref="L211:L254" si="7">K211+L210</f>
        <v>10125</v>
      </c>
    </row>
    <row r="212" spans="1:12" ht="16.2" customHeight="1" x14ac:dyDescent="0.3">
      <c r="A212" s="12">
        <v>4</v>
      </c>
      <c r="B212" s="11">
        <v>0.39583333333333331</v>
      </c>
      <c r="C212" s="12" t="s">
        <v>48</v>
      </c>
      <c r="D212" s="12">
        <v>-46</v>
      </c>
      <c r="E212" s="12" t="s">
        <v>22</v>
      </c>
      <c r="F212" s="12">
        <v>1</v>
      </c>
      <c r="H212" s="3" t="s">
        <v>7</v>
      </c>
      <c r="I212" s="3">
        <f>SUM(Table7[SPOT PTS])</f>
        <v>-238</v>
      </c>
      <c r="K212" s="34">
        <f>((Table7[[#This Row],[SPOT PTS]]/2)*15)-65</f>
        <v>-410</v>
      </c>
      <c r="L212" s="34">
        <f t="shared" si="7"/>
        <v>9715</v>
      </c>
    </row>
    <row r="213" spans="1:12" ht="16.2" customHeight="1" x14ac:dyDescent="0.3">
      <c r="A213" s="36">
        <v>4</v>
      </c>
      <c r="B213" s="37">
        <v>0.46180555555555558</v>
      </c>
      <c r="C213" s="36" t="s">
        <v>48</v>
      </c>
      <c r="D213" s="36">
        <v>-41</v>
      </c>
      <c r="E213" s="36" t="s">
        <v>22</v>
      </c>
      <c r="F213" s="36">
        <v>1</v>
      </c>
      <c r="H213" s="3" t="s">
        <v>8</v>
      </c>
      <c r="I213" s="3">
        <f>65*I210</f>
        <v>2925</v>
      </c>
      <c r="K213" s="34">
        <f>((Table7[[#This Row],[SPOT PTS]]/2)*15)-65</f>
        <v>-372.5</v>
      </c>
      <c r="L213" s="34">
        <f t="shared" si="7"/>
        <v>9342.5</v>
      </c>
    </row>
    <row r="214" spans="1:12" ht="16.2" customHeight="1" thickBot="1" x14ac:dyDescent="0.35">
      <c r="A214" s="9">
        <v>4</v>
      </c>
      <c r="B214" s="8">
        <v>0.51736111111111105</v>
      </c>
      <c r="C214" s="9" t="s">
        <v>50</v>
      </c>
      <c r="D214" s="9">
        <v>37</v>
      </c>
      <c r="E214" s="9" t="s">
        <v>22</v>
      </c>
      <c r="F214" s="9">
        <v>2</v>
      </c>
      <c r="H214" s="3" t="s">
        <v>9</v>
      </c>
      <c r="I214" s="3">
        <f>SUMIF(Table7[OUTCOME],"Stoploss",Table7[SPOT PTS])</f>
        <v>-1309</v>
      </c>
      <c r="K214" s="34">
        <f>((Table7[[#This Row],[SPOT PTS]]/2)*15)-65</f>
        <v>212.5</v>
      </c>
      <c r="L214" s="34">
        <f t="shared" si="7"/>
        <v>9555</v>
      </c>
    </row>
    <row r="215" spans="1:12" ht="16.2" customHeight="1" x14ac:dyDescent="0.3">
      <c r="A215" s="38">
        <v>5</v>
      </c>
      <c r="B215" s="39">
        <v>0.3923611111111111</v>
      </c>
      <c r="C215" s="38" t="s">
        <v>48</v>
      </c>
      <c r="D215" s="38">
        <v>-45</v>
      </c>
      <c r="E215" s="38" t="s">
        <v>23</v>
      </c>
      <c r="F215" s="38">
        <v>1</v>
      </c>
      <c r="H215" s="3" t="s">
        <v>10</v>
      </c>
      <c r="I215" s="3">
        <f>SUMIF(Table7[OUTCOME],"Target",Table7[SPOT PTS])</f>
        <v>1071</v>
      </c>
      <c r="K215" s="34">
        <f>((Table7[[#This Row],[SPOT PTS]]/2)*15)-65</f>
        <v>-402.5</v>
      </c>
      <c r="L215" s="34">
        <f t="shared" si="7"/>
        <v>9152.5</v>
      </c>
    </row>
    <row r="216" spans="1:12" ht="16.2" customHeight="1" thickBot="1" x14ac:dyDescent="0.35">
      <c r="A216" s="9">
        <v>5</v>
      </c>
      <c r="B216" s="8">
        <v>0.4201388888888889</v>
      </c>
      <c r="C216" s="9" t="s">
        <v>48</v>
      </c>
      <c r="D216" s="9">
        <v>-27</v>
      </c>
      <c r="E216" s="9" t="s">
        <v>23</v>
      </c>
      <c r="F216" s="9">
        <v>1</v>
      </c>
      <c r="H216" s="3" t="s">
        <v>11</v>
      </c>
      <c r="I216" s="5">
        <f>I217/10000</f>
        <v>-0.47099999999999997</v>
      </c>
      <c r="K216" s="34">
        <f>((Table7[[#This Row],[SPOT PTS]]/2)*15)-65</f>
        <v>-267.5</v>
      </c>
      <c r="L216" s="34">
        <f t="shared" si="7"/>
        <v>8885</v>
      </c>
    </row>
    <row r="217" spans="1:12" ht="16.2" customHeight="1" x14ac:dyDescent="0.3">
      <c r="A217" s="38">
        <v>6</v>
      </c>
      <c r="B217" s="39">
        <v>0.39583333333333331</v>
      </c>
      <c r="C217" s="38" t="s">
        <v>48</v>
      </c>
      <c r="D217" s="38">
        <v>-50</v>
      </c>
      <c r="E217" s="38" t="s">
        <v>24</v>
      </c>
      <c r="F217" s="38">
        <v>1</v>
      </c>
      <c r="H217" s="3" t="s">
        <v>12</v>
      </c>
      <c r="I217" s="49">
        <f>((I212/2)*15)-I213</f>
        <v>-4710</v>
      </c>
      <c r="K217" s="34">
        <f>((Table7[[#This Row],[SPOT PTS]]/2)*15)-65</f>
        <v>-440</v>
      </c>
      <c r="L217" s="34">
        <f t="shared" si="7"/>
        <v>8445</v>
      </c>
    </row>
    <row r="218" spans="1:12" ht="16.2" customHeight="1" thickBot="1" x14ac:dyDescent="0.35">
      <c r="A218" s="9">
        <v>6</v>
      </c>
      <c r="B218" s="8">
        <v>0.4548611111111111</v>
      </c>
      <c r="C218" s="9" t="s">
        <v>50</v>
      </c>
      <c r="D218" s="9">
        <v>135</v>
      </c>
      <c r="E218" s="9" t="s">
        <v>24</v>
      </c>
      <c r="F218" s="9">
        <v>1</v>
      </c>
      <c r="K218" s="34">
        <f>((Table7[[#This Row],[SPOT PTS]]/2)*15)-65</f>
        <v>947.5</v>
      </c>
      <c r="L218" s="34">
        <f t="shared" si="7"/>
        <v>9392.5</v>
      </c>
    </row>
    <row r="219" spans="1:12" ht="16.2" customHeight="1" x14ac:dyDescent="0.3">
      <c r="A219" s="38">
        <v>7</v>
      </c>
      <c r="B219" s="39">
        <v>0.3923611111111111</v>
      </c>
      <c r="C219" s="38" t="s">
        <v>48</v>
      </c>
      <c r="D219" s="38">
        <v>-51</v>
      </c>
      <c r="E219" s="38" t="s">
        <v>20</v>
      </c>
      <c r="F219" s="38">
        <v>1</v>
      </c>
      <c r="K219" s="34">
        <f>((Table7[[#This Row],[SPOT PTS]]/2)*15)-65</f>
        <v>-447.5</v>
      </c>
      <c r="L219" s="34">
        <f t="shared" si="7"/>
        <v>8945</v>
      </c>
    </row>
    <row r="220" spans="1:12" ht="16.2" customHeight="1" x14ac:dyDescent="0.3">
      <c r="A220" s="9">
        <v>7</v>
      </c>
      <c r="B220" s="8">
        <v>0.50347222222222221</v>
      </c>
      <c r="C220" s="9" t="s">
        <v>48</v>
      </c>
      <c r="D220" s="9">
        <v>-25</v>
      </c>
      <c r="E220" s="9" t="s">
        <v>20</v>
      </c>
      <c r="F220" s="9">
        <v>2</v>
      </c>
      <c r="K220" s="34">
        <f>((Table7[[#This Row],[SPOT PTS]]/2)*15)-65</f>
        <v>-252.5</v>
      </c>
      <c r="L220" s="34">
        <f t="shared" si="7"/>
        <v>8692.5</v>
      </c>
    </row>
    <row r="221" spans="1:12" ht="16.2" customHeight="1" thickBot="1" x14ac:dyDescent="0.35">
      <c r="A221" s="36">
        <v>7</v>
      </c>
      <c r="B221" s="37">
        <v>6.25E-2</v>
      </c>
      <c r="C221" s="36" t="s">
        <v>50</v>
      </c>
      <c r="D221" s="36">
        <v>145</v>
      </c>
      <c r="E221" s="36" t="s">
        <v>20</v>
      </c>
      <c r="F221" s="36">
        <v>2</v>
      </c>
      <c r="K221" s="34">
        <f>((Table7[[#This Row],[SPOT PTS]]/2)*15)-65</f>
        <v>1022.5</v>
      </c>
      <c r="L221" s="34">
        <f t="shared" si="7"/>
        <v>9715</v>
      </c>
    </row>
    <row r="222" spans="1:12" ht="16.2" customHeight="1" x14ac:dyDescent="0.3">
      <c r="A222" s="12">
        <v>8</v>
      </c>
      <c r="B222" s="11">
        <v>0.3923611111111111</v>
      </c>
      <c r="C222" s="12" t="s">
        <v>48</v>
      </c>
      <c r="D222" s="12">
        <v>-61</v>
      </c>
      <c r="E222" s="12" t="s">
        <v>21</v>
      </c>
      <c r="F222" s="12">
        <v>1</v>
      </c>
      <c r="K222" s="34">
        <f>((Table7[[#This Row],[SPOT PTS]]/2)*15)-65</f>
        <v>-522.5</v>
      </c>
      <c r="L222" s="34">
        <f t="shared" si="7"/>
        <v>9192.5</v>
      </c>
    </row>
    <row r="223" spans="1:12" ht="16.2" customHeight="1" thickBot="1" x14ac:dyDescent="0.35">
      <c r="A223" s="36">
        <v>8</v>
      </c>
      <c r="B223" s="37">
        <v>0.40972222222222227</v>
      </c>
      <c r="C223" s="36" t="s">
        <v>50</v>
      </c>
      <c r="D223" s="36">
        <v>120</v>
      </c>
      <c r="E223" s="36" t="s">
        <v>21</v>
      </c>
      <c r="F223" s="36">
        <v>1</v>
      </c>
      <c r="K223" s="34">
        <f>((Table7[[#This Row],[SPOT PTS]]/2)*15)-65</f>
        <v>835</v>
      </c>
      <c r="L223" s="34">
        <f t="shared" si="7"/>
        <v>10027.5</v>
      </c>
    </row>
    <row r="224" spans="1:12" ht="16.2" customHeight="1" x14ac:dyDescent="0.3">
      <c r="A224" s="12">
        <v>11</v>
      </c>
      <c r="B224" s="11">
        <v>0.39583333333333331</v>
      </c>
      <c r="C224" s="12" t="s">
        <v>48</v>
      </c>
      <c r="D224" s="12">
        <v>-80</v>
      </c>
      <c r="E224" s="12" t="s">
        <v>22</v>
      </c>
      <c r="F224" s="12">
        <v>1</v>
      </c>
      <c r="K224" s="34">
        <f>((Table7[[#This Row],[SPOT PTS]]/2)*15)-65</f>
        <v>-665</v>
      </c>
      <c r="L224" s="34">
        <f t="shared" si="7"/>
        <v>9362.5</v>
      </c>
    </row>
    <row r="225" spans="1:12" ht="16.2" customHeight="1" x14ac:dyDescent="0.3">
      <c r="A225" s="36">
        <v>11</v>
      </c>
      <c r="B225" s="37">
        <v>0.42708333333333331</v>
      </c>
      <c r="C225" s="36" t="s">
        <v>48</v>
      </c>
      <c r="D225" s="36">
        <v>-37</v>
      </c>
      <c r="E225" s="36" t="s">
        <v>22</v>
      </c>
      <c r="F225" s="36">
        <v>1</v>
      </c>
      <c r="K225" s="34">
        <f>((Table7[[#This Row],[SPOT PTS]]/2)*15)-65</f>
        <v>-342.5</v>
      </c>
      <c r="L225" s="34">
        <f t="shared" si="7"/>
        <v>9020</v>
      </c>
    </row>
    <row r="226" spans="1:12" ht="16.2" customHeight="1" thickBot="1" x14ac:dyDescent="0.35">
      <c r="A226" s="9">
        <v>11</v>
      </c>
      <c r="B226" s="8">
        <v>0.50694444444444442</v>
      </c>
      <c r="C226" s="9" t="s">
        <v>48</v>
      </c>
      <c r="D226" s="9">
        <v>-21</v>
      </c>
      <c r="E226" s="9" t="s">
        <v>22</v>
      </c>
      <c r="F226" s="9">
        <v>2</v>
      </c>
      <c r="K226" s="34">
        <f>((Table7[[#This Row],[SPOT PTS]]/2)*15)-65</f>
        <v>-222.5</v>
      </c>
      <c r="L226" s="34">
        <f t="shared" si="7"/>
        <v>8797.5</v>
      </c>
    </row>
    <row r="227" spans="1:12" ht="16.2" customHeight="1" x14ac:dyDescent="0.3">
      <c r="A227" s="38">
        <v>12</v>
      </c>
      <c r="B227" s="39">
        <v>0.4375</v>
      </c>
      <c r="C227" s="38" t="s">
        <v>48</v>
      </c>
      <c r="D227" s="38">
        <v>-17</v>
      </c>
      <c r="E227" s="38" t="s">
        <v>23</v>
      </c>
      <c r="F227" s="38">
        <v>1</v>
      </c>
      <c r="K227" s="34">
        <f>((Table7[[#This Row],[SPOT PTS]]/2)*15)-65</f>
        <v>-192.5</v>
      </c>
      <c r="L227" s="34">
        <f t="shared" si="7"/>
        <v>8605</v>
      </c>
    </row>
    <row r="228" spans="1:12" ht="16.2" customHeight="1" x14ac:dyDescent="0.3">
      <c r="A228" s="9">
        <v>12</v>
      </c>
      <c r="B228" s="8">
        <v>9.7222222222222224E-2</v>
      </c>
      <c r="C228" s="9" t="s">
        <v>48</v>
      </c>
      <c r="D228" s="9">
        <v>-27</v>
      </c>
      <c r="E228" s="9" t="s">
        <v>23</v>
      </c>
      <c r="F228" s="9">
        <v>2</v>
      </c>
      <c r="K228" s="34">
        <f>((Table7[[#This Row],[SPOT PTS]]/2)*15)-65</f>
        <v>-267.5</v>
      </c>
      <c r="L228" s="34">
        <f t="shared" si="7"/>
        <v>8337.5</v>
      </c>
    </row>
    <row r="229" spans="1:12" ht="16.2" customHeight="1" thickBot="1" x14ac:dyDescent="0.35">
      <c r="A229" s="36">
        <v>12</v>
      </c>
      <c r="B229" s="37">
        <v>0.1076388888888889</v>
      </c>
      <c r="C229" s="36" t="s">
        <v>50</v>
      </c>
      <c r="D229" s="36">
        <v>102</v>
      </c>
      <c r="E229" s="36" t="s">
        <v>23</v>
      </c>
      <c r="F229" s="36">
        <v>2</v>
      </c>
      <c r="K229" s="34">
        <f>((Table7[[#This Row],[SPOT PTS]]/2)*15)-65</f>
        <v>700</v>
      </c>
      <c r="L229" s="34">
        <f t="shared" si="7"/>
        <v>9037.5</v>
      </c>
    </row>
    <row r="230" spans="1:12" ht="16.2" customHeight="1" thickBot="1" x14ac:dyDescent="0.35">
      <c r="A230" s="12">
        <v>13</v>
      </c>
      <c r="B230" s="11">
        <v>0.42708333333333331</v>
      </c>
      <c r="C230" s="12" t="s">
        <v>50</v>
      </c>
      <c r="D230" s="12">
        <v>89</v>
      </c>
      <c r="E230" s="12" t="s">
        <v>24</v>
      </c>
      <c r="F230" s="12">
        <v>1</v>
      </c>
      <c r="K230" s="34">
        <f>((Table7[[#This Row],[SPOT PTS]]/2)*15)-65</f>
        <v>602.5</v>
      </c>
      <c r="L230" s="34">
        <f t="shared" si="7"/>
        <v>9640</v>
      </c>
    </row>
    <row r="231" spans="1:12" ht="16.2" customHeight="1" thickBot="1" x14ac:dyDescent="0.35">
      <c r="A231" s="38">
        <v>15</v>
      </c>
      <c r="B231" s="39">
        <v>0.4861111111111111</v>
      </c>
      <c r="C231" s="38" t="s">
        <v>48</v>
      </c>
      <c r="D231" s="38">
        <v>-30</v>
      </c>
      <c r="E231" s="38" t="s">
        <v>21</v>
      </c>
      <c r="F231" s="38">
        <v>1</v>
      </c>
      <c r="K231" s="34">
        <f>((Table7[[#This Row],[SPOT PTS]]/2)*15)-65</f>
        <v>-290</v>
      </c>
      <c r="L231" s="34">
        <f t="shared" si="7"/>
        <v>9350</v>
      </c>
    </row>
    <row r="232" spans="1:12" ht="16.2" customHeight="1" x14ac:dyDescent="0.3">
      <c r="A232" s="12">
        <v>18</v>
      </c>
      <c r="B232" s="11">
        <v>0.39583333333333331</v>
      </c>
      <c r="C232" s="12" t="s">
        <v>48</v>
      </c>
      <c r="D232" s="12">
        <v>-42</v>
      </c>
      <c r="E232" s="12" t="s">
        <v>22</v>
      </c>
      <c r="F232" s="12">
        <v>1</v>
      </c>
      <c r="K232" s="34">
        <f>((Table7[[#This Row],[SPOT PTS]]/2)*15)-65</f>
        <v>-380</v>
      </c>
      <c r="L232" s="34">
        <f t="shared" si="7"/>
        <v>8970</v>
      </c>
    </row>
    <row r="233" spans="1:12" ht="16.2" customHeight="1" x14ac:dyDescent="0.3">
      <c r="A233" s="36">
        <v>18</v>
      </c>
      <c r="B233" s="37">
        <v>0.48958333333333331</v>
      </c>
      <c r="C233" s="36" t="s">
        <v>48</v>
      </c>
      <c r="D233" s="36">
        <v>-27</v>
      </c>
      <c r="E233" s="36" t="s">
        <v>22</v>
      </c>
      <c r="F233" s="36">
        <v>1</v>
      </c>
      <c r="K233" s="34">
        <f>((Table7[[#This Row],[SPOT PTS]]/2)*15)-65</f>
        <v>-267.5</v>
      </c>
      <c r="L233" s="34">
        <f t="shared" si="7"/>
        <v>8702.5</v>
      </c>
    </row>
    <row r="234" spans="1:12" ht="16.2" customHeight="1" thickBot="1" x14ac:dyDescent="0.35">
      <c r="A234" s="9">
        <v>18</v>
      </c>
      <c r="B234" s="8">
        <v>4.5138888888888888E-2</v>
      </c>
      <c r="C234" s="9" t="s">
        <v>48</v>
      </c>
      <c r="D234" s="9">
        <v>-19</v>
      </c>
      <c r="E234" s="9" t="s">
        <v>22</v>
      </c>
      <c r="F234" s="9">
        <v>2</v>
      </c>
      <c r="K234" s="34">
        <f>((Table7[[#This Row],[SPOT PTS]]/2)*15)-65</f>
        <v>-207.5</v>
      </c>
      <c r="L234" s="34">
        <f t="shared" si="7"/>
        <v>8495</v>
      </c>
    </row>
    <row r="235" spans="1:12" ht="16.2" customHeight="1" x14ac:dyDescent="0.3">
      <c r="A235" s="38">
        <v>19</v>
      </c>
      <c r="B235" s="39">
        <v>0.4201388888888889</v>
      </c>
      <c r="C235" s="38" t="s">
        <v>48</v>
      </c>
      <c r="D235" s="38">
        <v>-24</v>
      </c>
      <c r="E235" s="38" t="s">
        <v>23</v>
      </c>
      <c r="F235" s="38">
        <v>1</v>
      </c>
      <c r="K235" s="34">
        <f>((Table7[[#This Row],[SPOT PTS]]/2)*15)-65</f>
        <v>-245</v>
      </c>
      <c r="L235" s="34">
        <f t="shared" si="7"/>
        <v>8250</v>
      </c>
    </row>
    <row r="236" spans="1:12" ht="16.2" customHeight="1" x14ac:dyDescent="0.3">
      <c r="A236" s="9">
        <v>19</v>
      </c>
      <c r="B236" s="8">
        <v>0.42708333333333331</v>
      </c>
      <c r="C236" s="9" t="s">
        <v>48</v>
      </c>
      <c r="D236" s="9">
        <v>-35</v>
      </c>
      <c r="E236" s="9" t="s">
        <v>23</v>
      </c>
      <c r="F236" s="9">
        <v>1</v>
      </c>
      <c r="K236" s="34">
        <f>((Table7[[#This Row],[SPOT PTS]]/2)*15)-65</f>
        <v>-327.5</v>
      </c>
      <c r="L236" s="34">
        <f t="shared" si="7"/>
        <v>7922.5</v>
      </c>
    </row>
    <row r="237" spans="1:12" ht="16.2" customHeight="1" thickBot="1" x14ac:dyDescent="0.35">
      <c r="A237" s="36">
        <v>19</v>
      </c>
      <c r="B237" s="37">
        <v>0.46875</v>
      </c>
      <c r="C237" s="36" t="s">
        <v>50</v>
      </c>
      <c r="D237" s="36">
        <v>152</v>
      </c>
      <c r="E237" s="36" t="s">
        <v>23</v>
      </c>
      <c r="F237" s="36">
        <v>1</v>
      </c>
      <c r="K237" s="34">
        <f>((Table7[[#This Row],[SPOT PTS]]/2)*15)-65</f>
        <v>1075</v>
      </c>
      <c r="L237" s="34">
        <f t="shared" si="7"/>
        <v>8997.5</v>
      </c>
    </row>
    <row r="238" spans="1:12" ht="16.2" customHeight="1" x14ac:dyDescent="0.3">
      <c r="A238" s="12">
        <v>20</v>
      </c>
      <c r="B238" s="11">
        <v>0.3888888888888889</v>
      </c>
      <c r="C238" s="12" t="s">
        <v>48</v>
      </c>
      <c r="D238" s="12">
        <v>-80</v>
      </c>
      <c r="E238" s="12" t="s">
        <v>24</v>
      </c>
      <c r="F238" s="12">
        <v>1</v>
      </c>
      <c r="K238" s="34">
        <f>((Table7[[#This Row],[SPOT PTS]]/2)*15)-65</f>
        <v>-665</v>
      </c>
      <c r="L238" s="34">
        <f t="shared" si="7"/>
        <v>8332.5</v>
      </c>
    </row>
    <row r="239" spans="1:12" ht="16.2" customHeight="1" x14ac:dyDescent="0.3">
      <c r="A239" s="36">
        <v>20</v>
      </c>
      <c r="B239" s="37">
        <v>0.40972222222222227</v>
      </c>
      <c r="C239" s="36" t="s">
        <v>48</v>
      </c>
      <c r="D239" s="36">
        <v>-63</v>
      </c>
      <c r="E239" s="36" t="s">
        <v>24</v>
      </c>
      <c r="F239" s="36">
        <v>1</v>
      </c>
      <c r="K239" s="34">
        <f>((Table7[[#This Row],[SPOT PTS]]/2)*15)-65</f>
        <v>-537.5</v>
      </c>
      <c r="L239" s="34">
        <f t="shared" si="7"/>
        <v>7795</v>
      </c>
    </row>
    <row r="240" spans="1:12" ht="16.2" customHeight="1" thickBot="1" x14ac:dyDescent="0.35">
      <c r="A240" s="9">
        <v>20</v>
      </c>
      <c r="B240" s="8">
        <v>0.46875</v>
      </c>
      <c r="C240" s="9" t="s">
        <v>50</v>
      </c>
      <c r="D240" s="9">
        <v>53</v>
      </c>
      <c r="E240" s="9" t="s">
        <v>24</v>
      </c>
      <c r="F240" s="9">
        <v>1</v>
      </c>
      <c r="K240" s="34">
        <f>((Table7[[#This Row],[SPOT PTS]]/2)*15)-65</f>
        <v>332.5</v>
      </c>
      <c r="L240" s="34">
        <f t="shared" si="7"/>
        <v>8127.5</v>
      </c>
    </row>
    <row r="241" spans="1:12" ht="16.2" customHeight="1" x14ac:dyDescent="0.3">
      <c r="A241" s="38">
        <v>21</v>
      </c>
      <c r="B241" s="39">
        <v>0.41666666666666669</v>
      </c>
      <c r="C241" s="38" t="s">
        <v>48</v>
      </c>
      <c r="D241" s="38">
        <v>-23</v>
      </c>
      <c r="E241" s="38" t="s">
        <v>20</v>
      </c>
      <c r="F241" s="38">
        <v>1</v>
      </c>
      <c r="K241" s="34">
        <f>((Table7[[#This Row],[SPOT PTS]]/2)*15)-65</f>
        <v>-237.5</v>
      </c>
      <c r="L241" s="34">
        <f t="shared" si="7"/>
        <v>7890</v>
      </c>
    </row>
    <row r="242" spans="1:12" ht="16.2" customHeight="1" x14ac:dyDescent="0.3">
      <c r="A242" s="9">
        <v>21</v>
      </c>
      <c r="B242" s="8">
        <v>0.45833333333333331</v>
      </c>
      <c r="C242" s="9" t="s">
        <v>48</v>
      </c>
      <c r="D242" s="9">
        <v>-14</v>
      </c>
      <c r="E242" s="9" t="s">
        <v>20</v>
      </c>
      <c r="F242" s="9">
        <v>1</v>
      </c>
      <c r="K242" s="34">
        <f>((Table7[[#This Row],[SPOT PTS]]/2)*15)-65</f>
        <v>-170</v>
      </c>
      <c r="L242" s="34">
        <f t="shared" si="7"/>
        <v>7720</v>
      </c>
    </row>
    <row r="243" spans="1:12" ht="16.2" customHeight="1" thickBot="1" x14ac:dyDescent="0.35">
      <c r="A243" s="36">
        <v>21</v>
      </c>
      <c r="B243" s="37">
        <v>0.48958333333333331</v>
      </c>
      <c r="C243" s="36" t="s">
        <v>48</v>
      </c>
      <c r="D243" s="36">
        <v>-54</v>
      </c>
      <c r="E243" s="36" t="s">
        <v>20</v>
      </c>
      <c r="F243" s="36">
        <v>1</v>
      </c>
      <c r="K243" s="34">
        <f>((Table7[[#This Row],[SPOT PTS]]/2)*15)-65</f>
        <v>-470</v>
      </c>
      <c r="L243" s="34">
        <f t="shared" si="7"/>
        <v>7250</v>
      </c>
    </row>
    <row r="244" spans="1:12" ht="16.2" customHeight="1" x14ac:dyDescent="0.3">
      <c r="A244" s="12">
        <v>22</v>
      </c>
      <c r="B244" s="11">
        <v>0.40277777777777773</v>
      </c>
      <c r="C244" s="12" t="s">
        <v>48</v>
      </c>
      <c r="D244" s="12">
        <v>-52</v>
      </c>
      <c r="E244" s="12" t="s">
        <v>21</v>
      </c>
      <c r="F244" s="12">
        <v>1</v>
      </c>
      <c r="K244" s="34">
        <f>((Table7[[#This Row],[SPOT PTS]]/2)*15)-65</f>
        <v>-455</v>
      </c>
      <c r="L244" s="34">
        <f t="shared" si="7"/>
        <v>6795</v>
      </c>
    </row>
    <row r="245" spans="1:12" ht="16.2" customHeight="1" x14ac:dyDescent="0.3">
      <c r="A245" s="36">
        <v>22</v>
      </c>
      <c r="B245" s="37">
        <v>0.51388888888888895</v>
      </c>
      <c r="C245" s="36" t="s">
        <v>48</v>
      </c>
      <c r="D245" s="36">
        <v>-32</v>
      </c>
      <c r="E245" s="36" t="s">
        <v>21</v>
      </c>
      <c r="F245" s="36">
        <v>2</v>
      </c>
      <c r="K245" s="34">
        <f>((Table7[[#This Row],[SPOT PTS]]/2)*15)-65</f>
        <v>-305</v>
      </c>
      <c r="L245" s="34">
        <f t="shared" si="7"/>
        <v>6490</v>
      </c>
    </row>
    <row r="246" spans="1:12" ht="16.2" customHeight="1" thickBot="1" x14ac:dyDescent="0.35">
      <c r="A246" s="9">
        <v>22</v>
      </c>
      <c r="B246" s="8">
        <v>4.1666666666666664E-2</v>
      </c>
      <c r="C246" s="9" t="s">
        <v>50</v>
      </c>
      <c r="D246" s="9">
        <v>-87</v>
      </c>
      <c r="E246" s="9" t="s">
        <v>21</v>
      </c>
      <c r="F246" s="9">
        <v>2</v>
      </c>
      <c r="K246" s="34">
        <f>((Table7[[#This Row],[SPOT PTS]]/2)*15)-65</f>
        <v>-717.5</v>
      </c>
      <c r="L246" s="34">
        <f t="shared" si="7"/>
        <v>5772.5</v>
      </c>
    </row>
    <row r="247" spans="1:12" ht="16.2" customHeight="1" thickBot="1" x14ac:dyDescent="0.35">
      <c r="A247" s="38">
        <v>25</v>
      </c>
      <c r="B247" s="39">
        <v>0.39583333333333331</v>
      </c>
      <c r="C247" s="38" t="s">
        <v>50</v>
      </c>
      <c r="D247" s="38">
        <v>168</v>
      </c>
      <c r="E247" s="38" t="s">
        <v>22</v>
      </c>
      <c r="F247" s="38">
        <v>1</v>
      </c>
      <c r="K247" s="34">
        <f>((Table7[[#This Row],[SPOT PTS]]/2)*15)-65</f>
        <v>1195</v>
      </c>
      <c r="L247" s="34">
        <f t="shared" si="7"/>
        <v>6967.5</v>
      </c>
    </row>
    <row r="248" spans="1:12" ht="16.2" customHeight="1" thickBot="1" x14ac:dyDescent="0.35">
      <c r="A248" s="12">
        <v>26</v>
      </c>
      <c r="B248" s="11">
        <v>0.50347222222222221</v>
      </c>
      <c r="C248" s="12" t="s">
        <v>48</v>
      </c>
      <c r="D248" s="12">
        <v>-31</v>
      </c>
      <c r="E248" s="12" t="s">
        <v>23</v>
      </c>
      <c r="F248" s="12">
        <v>2</v>
      </c>
      <c r="K248" s="34">
        <f>((Table7[[#This Row],[SPOT PTS]]/2)*15)-65</f>
        <v>-297.5</v>
      </c>
      <c r="L248" s="34">
        <f t="shared" si="7"/>
        <v>6670</v>
      </c>
    </row>
    <row r="249" spans="1:12" ht="16.2" customHeight="1" x14ac:dyDescent="0.3">
      <c r="A249" s="38">
        <v>27</v>
      </c>
      <c r="B249" s="39">
        <v>0.43055555555555558</v>
      </c>
      <c r="C249" s="38" t="s">
        <v>48</v>
      </c>
      <c r="D249" s="38">
        <v>-53</v>
      </c>
      <c r="E249" s="38" t="s">
        <v>24</v>
      </c>
      <c r="F249" s="38">
        <v>1</v>
      </c>
      <c r="K249" s="34">
        <f>((Table7[[#This Row],[SPOT PTS]]/2)*15)-65</f>
        <v>-462.5</v>
      </c>
      <c r="L249" s="34">
        <f t="shared" si="7"/>
        <v>6207.5</v>
      </c>
    </row>
    <row r="250" spans="1:12" ht="16.2" customHeight="1" x14ac:dyDescent="0.3">
      <c r="A250" s="9">
        <v>27</v>
      </c>
      <c r="B250" s="8">
        <v>0.46180555555555558</v>
      </c>
      <c r="C250" s="9" t="s">
        <v>48</v>
      </c>
      <c r="D250" s="9">
        <v>-38</v>
      </c>
      <c r="E250" s="9" t="s">
        <v>24</v>
      </c>
      <c r="F250" s="9">
        <v>1</v>
      </c>
      <c r="K250" s="34">
        <f>((Table7[[#This Row],[SPOT PTS]]/2)*15)-65</f>
        <v>-350</v>
      </c>
      <c r="L250" s="34">
        <f t="shared" si="7"/>
        <v>5857.5</v>
      </c>
    </row>
    <row r="251" spans="1:12" ht="16.2" customHeight="1" thickBot="1" x14ac:dyDescent="0.35">
      <c r="A251" s="36">
        <v>27</v>
      </c>
      <c r="B251" s="37">
        <v>0.49305555555555558</v>
      </c>
      <c r="C251" s="36" t="s">
        <v>48</v>
      </c>
      <c r="D251" s="36">
        <v>-34</v>
      </c>
      <c r="E251" s="36" t="s">
        <v>24</v>
      </c>
      <c r="F251" s="36">
        <v>1</v>
      </c>
      <c r="K251" s="34">
        <f>((Table7[[#This Row],[SPOT PTS]]/2)*15)-65</f>
        <v>-320</v>
      </c>
      <c r="L251" s="34">
        <f t="shared" si="7"/>
        <v>5537.5</v>
      </c>
    </row>
    <row r="252" spans="1:12" ht="16.2" customHeight="1" x14ac:dyDescent="0.3">
      <c r="A252" s="12">
        <v>28</v>
      </c>
      <c r="B252" s="11">
        <v>0.39583333333333331</v>
      </c>
      <c r="C252" s="12" t="s">
        <v>48</v>
      </c>
      <c r="D252" s="12">
        <v>-80</v>
      </c>
      <c r="E252" s="12" t="s">
        <v>20</v>
      </c>
      <c r="F252" s="12">
        <v>1</v>
      </c>
      <c r="K252" s="34">
        <f>((Table7[[#This Row],[SPOT PTS]]/2)*15)-65</f>
        <v>-665</v>
      </c>
      <c r="L252" s="34">
        <f t="shared" si="7"/>
        <v>4872.5</v>
      </c>
    </row>
    <row r="253" spans="1:12" ht="16.2" customHeight="1" thickBot="1" x14ac:dyDescent="0.35">
      <c r="A253" s="36">
        <v>28</v>
      </c>
      <c r="B253" s="37">
        <v>5.2083333333333336E-2</v>
      </c>
      <c r="C253" s="36" t="s">
        <v>48</v>
      </c>
      <c r="D253" s="36">
        <v>-15</v>
      </c>
      <c r="E253" s="36" t="s">
        <v>20</v>
      </c>
      <c r="F253" s="36">
        <v>2</v>
      </c>
      <c r="K253" s="34">
        <f>((Table7[[#This Row],[SPOT PTS]]/2)*15)-65</f>
        <v>-177.5</v>
      </c>
      <c r="L253" s="34">
        <f t="shared" si="7"/>
        <v>4695</v>
      </c>
    </row>
    <row r="254" spans="1:12" ht="16.2" customHeight="1" x14ac:dyDescent="0.3">
      <c r="A254" s="12">
        <v>29</v>
      </c>
      <c r="B254" s="11">
        <v>0.3923611111111111</v>
      </c>
      <c r="C254" s="12" t="s">
        <v>50</v>
      </c>
      <c r="D254" s="12">
        <v>88</v>
      </c>
      <c r="E254" s="12" t="s">
        <v>21</v>
      </c>
      <c r="F254" s="12">
        <v>1</v>
      </c>
      <c r="K254" s="34">
        <f>((Table7[[#This Row],[SPOT PTS]]/2)*15)-65</f>
        <v>595</v>
      </c>
      <c r="L254" s="34">
        <f t="shared" si="7"/>
        <v>5290</v>
      </c>
    </row>
    <row r="255" spans="1:12" ht="16.2" customHeight="1" thickBot="1" x14ac:dyDescent="0.35">
      <c r="A255" s="58" t="s">
        <v>56</v>
      </c>
      <c r="B255" s="58"/>
      <c r="C255" s="58"/>
      <c r="D255" s="58"/>
      <c r="E255" s="58"/>
      <c r="F255" s="58"/>
    </row>
    <row r="256" spans="1:12" ht="16.2" customHeight="1" thickBot="1" x14ac:dyDescent="0.35">
      <c r="A256" s="25" t="s">
        <v>0</v>
      </c>
      <c r="B256" s="20" t="s">
        <v>1</v>
      </c>
      <c r="C256" s="20" t="s">
        <v>3</v>
      </c>
      <c r="D256" s="20" t="s">
        <v>2</v>
      </c>
      <c r="E256" s="20" t="s">
        <v>4</v>
      </c>
      <c r="F256" s="26" t="s">
        <v>47</v>
      </c>
      <c r="L256" s="34">
        <v>10000</v>
      </c>
    </row>
    <row r="257" spans="1:12" ht="16.2" customHeight="1" x14ac:dyDescent="0.3">
      <c r="A257" s="10">
        <v>1</v>
      </c>
      <c r="B257" s="11">
        <v>0.41666666666666669</v>
      </c>
      <c r="C257" s="12" t="s">
        <v>48</v>
      </c>
      <c r="D257" s="12">
        <v>-41</v>
      </c>
      <c r="E257" s="12" t="s">
        <v>22</v>
      </c>
      <c r="F257" s="13">
        <v>1</v>
      </c>
      <c r="H257" s="3" t="s">
        <v>5</v>
      </c>
      <c r="I257" s="3">
        <f>COUNT(Table1[RANGE])</f>
        <v>35</v>
      </c>
      <c r="K257" s="34">
        <f>((Table1[[#This Row],[SPOT PTS]]/2)*15)-65</f>
        <v>-372.5</v>
      </c>
      <c r="L257" s="34">
        <f>K257+L256</f>
        <v>9627.5</v>
      </c>
    </row>
    <row r="258" spans="1:12" ht="16.2" customHeight="1" x14ac:dyDescent="0.3">
      <c r="A258" s="27">
        <v>1</v>
      </c>
      <c r="B258" s="28">
        <v>0.46180555555555558</v>
      </c>
      <c r="C258" s="1" t="s">
        <v>48</v>
      </c>
      <c r="D258" s="1">
        <v>-39</v>
      </c>
      <c r="E258" s="1" t="s">
        <v>22</v>
      </c>
      <c r="F258" s="29">
        <v>1</v>
      </c>
      <c r="H258" s="3" t="s">
        <v>6</v>
      </c>
      <c r="I258" s="5">
        <f>((COUNTIF(Table1[OUTCOME],"Target"))/I257)</f>
        <v>0.31428571428571428</v>
      </c>
      <c r="K258" s="34">
        <f>((Table1[[#This Row],[SPOT PTS]]/2)*15)-65</f>
        <v>-357.5</v>
      </c>
      <c r="L258" s="34">
        <f t="shared" ref="L258:L290" si="8">K258+L257</f>
        <v>9270</v>
      </c>
    </row>
    <row r="259" spans="1:12" ht="16.2" customHeight="1" thickBot="1" x14ac:dyDescent="0.35">
      <c r="A259" s="30">
        <v>1</v>
      </c>
      <c r="B259" s="31">
        <v>0.52777777777777779</v>
      </c>
      <c r="C259" s="32" t="s">
        <v>48</v>
      </c>
      <c r="D259" s="32">
        <v>-30</v>
      </c>
      <c r="E259" s="32" t="s">
        <v>22</v>
      </c>
      <c r="F259" s="33">
        <v>2</v>
      </c>
      <c r="H259" s="3" t="s">
        <v>7</v>
      </c>
      <c r="I259" s="3">
        <f>SUM(Table1[SPOT PTS])</f>
        <v>704</v>
      </c>
      <c r="K259" s="34">
        <f>((Table1[[#This Row],[SPOT PTS]]/2)*15)-65</f>
        <v>-290</v>
      </c>
      <c r="L259" s="34">
        <f t="shared" si="8"/>
        <v>8980</v>
      </c>
    </row>
    <row r="260" spans="1:12" ht="16.2" customHeight="1" x14ac:dyDescent="0.3">
      <c r="A260" s="10">
        <v>2</v>
      </c>
      <c r="B260" s="11">
        <v>0.4513888888888889</v>
      </c>
      <c r="C260" s="12" t="s">
        <v>48</v>
      </c>
      <c r="D260" s="12">
        <v>-50</v>
      </c>
      <c r="E260" s="12" t="s">
        <v>23</v>
      </c>
      <c r="F260" s="13">
        <v>1</v>
      </c>
      <c r="H260" s="3" t="s">
        <v>8</v>
      </c>
      <c r="I260" s="3">
        <f>65*I257</f>
        <v>2275</v>
      </c>
      <c r="K260" s="34">
        <f>((Table1[[#This Row],[SPOT PTS]]/2)*15)-65</f>
        <v>-440</v>
      </c>
      <c r="L260" s="34">
        <f t="shared" si="8"/>
        <v>8540</v>
      </c>
    </row>
    <row r="261" spans="1:12" ht="16.2" customHeight="1" thickBot="1" x14ac:dyDescent="0.35">
      <c r="A261" s="30">
        <v>2</v>
      </c>
      <c r="B261" s="31">
        <v>0.1111111111111111</v>
      </c>
      <c r="C261" s="32" t="s">
        <v>48</v>
      </c>
      <c r="D261" s="32">
        <v>-23</v>
      </c>
      <c r="E261" s="32" t="s">
        <v>23</v>
      </c>
      <c r="F261" s="33">
        <v>2</v>
      </c>
      <c r="H261" s="3" t="s">
        <v>9</v>
      </c>
      <c r="I261" s="3">
        <f>SUMIF(Table1[OUTCOME],"Stoploss",Table1[SPOT PTS])</f>
        <v>-823</v>
      </c>
      <c r="K261" s="34">
        <f>((Table1[[#This Row],[SPOT PTS]]/2)*15)-65</f>
        <v>-237.5</v>
      </c>
      <c r="L261" s="34">
        <f t="shared" si="8"/>
        <v>8302.5</v>
      </c>
    </row>
    <row r="262" spans="1:12" ht="16.2" customHeight="1" x14ac:dyDescent="0.3">
      <c r="A262" s="10">
        <v>3</v>
      </c>
      <c r="B262" s="11">
        <v>0.49305555555555558</v>
      </c>
      <c r="C262" s="12" t="s">
        <v>48</v>
      </c>
      <c r="D262" s="12">
        <v>-40</v>
      </c>
      <c r="E262" s="12" t="s">
        <v>24</v>
      </c>
      <c r="F262" s="13">
        <v>1</v>
      </c>
      <c r="H262" s="3" t="s">
        <v>10</v>
      </c>
      <c r="I262" s="3">
        <f>SUMIF(Table1[OUTCOME],"Target",Table1[SPOT PTS])</f>
        <v>1527</v>
      </c>
      <c r="K262" s="34">
        <f>((Table1[[#This Row],[SPOT PTS]]/2)*15)-65</f>
        <v>-365</v>
      </c>
      <c r="L262" s="34">
        <f t="shared" si="8"/>
        <v>7937.5</v>
      </c>
    </row>
    <row r="263" spans="1:12" ht="16.2" customHeight="1" thickBot="1" x14ac:dyDescent="0.35">
      <c r="A263" s="30">
        <v>3</v>
      </c>
      <c r="B263" s="31">
        <v>7.6388888888888895E-2</v>
      </c>
      <c r="C263" s="32" t="s">
        <v>50</v>
      </c>
      <c r="D263" s="32">
        <v>111</v>
      </c>
      <c r="E263" s="32" t="s">
        <v>24</v>
      </c>
      <c r="F263" s="33">
        <v>2</v>
      </c>
      <c r="H263" s="3" t="s">
        <v>11</v>
      </c>
      <c r="I263" s="5">
        <f>I264/10000</f>
        <v>0.30049999999999999</v>
      </c>
      <c r="K263" s="34">
        <f>((Table1[[#This Row],[SPOT PTS]]/2)*15)-65</f>
        <v>767.5</v>
      </c>
      <c r="L263" s="34">
        <f t="shared" si="8"/>
        <v>8705</v>
      </c>
    </row>
    <row r="264" spans="1:12" ht="16.2" customHeight="1" thickBot="1" x14ac:dyDescent="0.35">
      <c r="A264" s="16">
        <v>4</v>
      </c>
      <c r="B264" s="17">
        <v>0.3888888888888889</v>
      </c>
      <c r="C264" s="18" t="s">
        <v>50</v>
      </c>
      <c r="D264" s="18">
        <v>241</v>
      </c>
      <c r="E264" s="18" t="s">
        <v>20</v>
      </c>
      <c r="F264" s="19">
        <v>1</v>
      </c>
      <c r="H264" s="3" t="s">
        <v>12</v>
      </c>
      <c r="I264" s="49">
        <f>((I259/2)*15)-I260</f>
        <v>3005</v>
      </c>
      <c r="K264" s="34">
        <f>((Table1[[#This Row],[SPOT PTS]]/2)*15)-65</f>
        <v>1742.5</v>
      </c>
      <c r="L264" s="34">
        <f t="shared" si="8"/>
        <v>10447.5</v>
      </c>
    </row>
    <row r="265" spans="1:12" ht="16.2" customHeight="1" thickBot="1" x14ac:dyDescent="0.35">
      <c r="A265" s="30">
        <v>5</v>
      </c>
      <c r="B265" s="31">
        <v>0.46527777777777773</v>
      </c>
      <c r="C265" s="32" t="s">
        <v>50</v>
      </c>
      <c r="D265" s="32">
        <v>133</v>
      </c>
      <c r="E265" s="32" t="s">
        <v>21</v>
      </c>
      <c r="F265" s="33">
        <v>1</v>
      </c>
      <c r="K265" s="34">
        <f>((Table1[[#This Row],[SPOT PTS]]/2)*15)-65</f>
        <v>932.5</v>
      </c>
      <c r="L265" s="34">
        <f t="shared" si="8"/>
        <v>11380</v>
      </c>
    </row>
    <row r="266" spans="1:12" ht="16.2" customHeight="1" x14ac:dyDescent="0.3">
      <c r="A266" s="10">
        <v>8</v>
      </c>
      <c r="B266" s="11">
        <v>0.40625</v>
      </c>
      <c r="C266" s="12" t="s">
        <v>48</v>
      </c>
      <c r="D266" s="12">
        <v>-58</v>
      </c>
      <c r="E266" s="12" t="s">
        <v>22</v>
      </c>
      <c r="F266" s="13">
        <v>1</v>
      </c>
      <c r="K266" s="34">
        <f>((Table1[[#This Row],[SPOT PTS]]/2)*15)-65</f>
        <v>-500</v>
      </c>
      <c r="L266" s="34">
        <f t="shared" si="8"/>
        <v>10880</v>
      </c>
    </row>
    <row r="267" spans="1:12" ht="16.2" customHeight="1" thickBot="1" x14ac:dyDescent="0.35">
      <c r="A267" s="30">
        <v>8</v>
      </c>
      <c r="B267" s="31">
        <v>0.4548611111111111</v>
      </c>
      <c r="C267" s="32" t="s">
        <v>48</v>
      </c>
      <c r="D267" s="32">
        <v>-39</v>
      </c>
      <c r="E267" s="32" t="s">
        <v>22</v>
      </c>
      <c r="F267" s="33">
        <v>1</v>
      </c>
      <c r="K267" s="34">
        <f>((Table1[[#This Row],[SPOT PTS]]/2)*15)-65</f>
        <v>-357.5</v>
      </c>
      <c r="L267" s="34">
        <f t="shared" si="8"/>
        <v>10522.5</v>
      </c>
    </row>
    <row r="268" spans="1:12" ht="16.2" customHeight="1" thickBot="1" x14ac:dyDescent="0.35">
      <c r="A268" s="16">
        <v>10</v>
      </c>
      <c r="B268" s="17">
        <v>0.39583333333333331</v>
      </c>
      <c r="C268" s="18" t="s">
        <v>48</v>
      </c>
      <c r="D268" s="18">
        <v>-80</v>
      </c>
      <c r="E268" s="18" t="s">
        <v>24</v>
      </c>
      <c r="F268" s="19">
        <v>1</v>
      </c>
      <c r="K268" s="34">
        <f>((Table1[[#This Row],[SPOT PTS]]/2)*15)-65</f>
        <v>-665</v>
      </c>
      <c r="L268" s="34">
        <f t="shared" si="8"/>
        <v>9857.5</v>
      </c>
    </row>
    <row r="269" spans="1:12" ht="16.2" customHeight="1" x14ac:dyDescent="0.3">
      <c r="A269" s="10">
        <v>11</v>
      </c>
      <c r="B269" s="11">
        <v>0.40972222222222227</v>
      </c>
      <c r="C269" s="12" t="s">
        <v>48</v>
      </c>
      <c r="D269" s="12">
        <v>-31</v>
      </c>
      <c r="E269" s="12" t="s">
        <v>20</v>
      </c>
      <c r="F269" s="13">
        <v>1</v>
      </c>
      <c r="K269" s="34">
        <f>((Table1[[#This Row],[SPOT PTS]]/2)*15)-65</f>
        <v>-297.5</v>
      </c>
      <c r="L269" s="34">
        <f t="shared" si="8"/>
        <v>9560</v>
      </c>
    </row>
    <row r="270" spans="1:12" ht="16.2" customHeight="1" thickBot="1" x14ac:dyDescent="0.35">
      <c r="A270" s="30">
        <v>11</v>
      </c>
      <c r="B270" s="31">
        <v>0.52430555555555558</v>
      </c>
      <c r="C270" s="32" t="s">
        <v>48</v>
      </c>
      <c r="D270" s="32">
        <v>-25</v>
      </c>
      <c r="E270" s="32" t="s">
        <v>20</v>
      </c>
      <c r="F270" s="33">
        <v>2</v>
      </c>
      <c r="K270" s="34">
        <f>((Table1[[#This Row],[SPOT PTS]]/2)*15)-65</f>
        <v>-252.5</v>
      </c>
      <c r="L270" s="34">
        <f t="shared" si="8"/>
        <v>9307.5</v>
      </c>
    </row>
    <row r="271" spans="1:12" ht="16.2" customHeight="1" x14ac:dyDescent="0.3">
      <c r="A271" s="10">
        <v>12</v>
      </c>
      <c r="B271" s="11">
        <v>0.47222222222222227</v>
      </c>
      <c r="C271" s="12" t="s">
        <v>48</v>
      </c>
      <c r="D271" s="12">
        <v>-14</v>
      </c>
      <c r="E271" s="12" t="s">
        <v>21</v>
      </c>
      <c r="F271" s="13">
        <v>1</v>
      </c>
      <c r="K271" s="34">
        <f>((Table1[[#This Row],[SPOT PTS]]/2)*15)-65</f>
        <v>-170</v>
      </c>
      <c r="L271" s="34">
        <f t="shared" si="8"/>
        <v>9137.5</v>
      </c>
    </row>
    <row r="272" spans="1:12" ht="16.2" customHeight="1" x14ac:dyDescent="0.3">
      <c r="A272" s="27">
        <v>12</v>
      </c>
      <c r="B272" s="28">
        <v>0.4861111111111111</v>
      </c>
      <c r="C272" s="1" t="s">
        <v>48</v>
      </c>
      <c r="D272" s="1">
        <v>-30</v>
      </c>
      <c r="E272" s="1" t="s">
        <v>21</v>
      </c>
      <c r="F272" s="29">
        <v>1</v>
      </c>
      <c r="K272" s="34">
        <f>((Table1[[#This Row],[SPOT PTS]]/2)*15)-65</f>
        <v>-290</v>
      </c>
      <c r="L272" s="34">
        <f t="shared" si="8"/>
        <v>8847.5</v>
      </c>
    </row>
    <row r="273" spans="1:12" ht="16.2" customHeight="1" thickBot="1" x14ac:dyDescent="0.35">
      <c r="A273" s="30">
        <v>12</v>
      </c>
      <c r="B273" s="31">
        <v>5.5555555555555552E-2</v>
      </c>
      <c r="C273" s="32" t="s">
        <v>50</v>
      </c>
      <c r="D273" s="32">
        <v>53</v>
      </c>
      <c r="E273" s="32" t="s">
        <v>21</v>
      </c>
      <c r="F273" s="33">
        <v>2</v>
      </c>
      <c r="K273" s="34">
        <f>((Table1[[#This Row],[SPOT PTS]]/2)*15)-65</f>
        <v>332.5</v>
      </c>
      <c r="L273" s="34">
        <f t="shared" si="8"/>
        <v>9180</v>
      </c>
    </row>
    <row r="274" spans="1:12" ht="16.2" customHeight="1" thickBot="1" x14ac:dyDescent="0.35">
      <c r="A274" s="16">
        <v>16</v>
      </c>
      <c r="B274" s="17">
        <v>0.40972222222222227</v>
      </c>
      <c r="C274" s="18" t="s">
        <v>50</v>
      </c>
      <c r="D274" s="18">
        <v>97</v>
      </c>
      <c r="E274" s="12" t="s">
        <v>23</v>
      </c>
      <c r="F274" s="19">
        <v>1</v>
      </c>
      <c r="K274" s="34">
        <f>((Table1[[#This Row],[SPOT PTS]]/2)*15)-65</f>
        <v>662.5</v>
      </c>
      <c r="L274" s="34">
        <f t="shared" si="8"/>
        <v>9842.5</v>
      </c>
    </row>
    <row r="275" spans="1:12" ht="16.2" customHeight="1" x14ac:dyDescent="0.3">
      <c r="A275" s="10">
        <v>17</v>
      </c>
      <c r="B275" s="11">
        <v>0.3923611111111111</v>
      </c>
      <c r="C275" s="12" t="s">
        <v>48</v>
      </c>
      <c r="D275" s="12">
        <v>-45</v>
      </c>
      <c r="E275" s="12" t="s">
        <v>24</v>
      </c>
      <c r="F275" s="13">
        <v>1</v>
      </c>
      <c r="K275" s="34">
        <f>((Table1[[#This Row],[SPOT PTS]]/2)*15)-65</f>
        <v>-402.5</v>
      </c>
      <c r="L275" s="34">
        <f t="shared" si="8"/>
        <v>9440</v>
      </c>
    </row>
    <row r="276" spans="1:12" ht="16.2" customHeight="1" x14ac:dyDescent="0.3">
      <c r="A276" s="27">
        <v>17</v>
      </c>
      <c r="B276" s="28">
        <v>0.46875</v>
      </c>
      <c r="C276" s="1" t="s">
        <v>48</v>
      </c>
      <c r="D276" s="1">
        <v>-15</v>
      </c>
      <c r="E276" s="1" t="s">
        <v>24</v>
      </c>
      <c r="F276" s="29">
        <v>1</v>
      </c>
      <c r="K276" s="34">
        <f>((Table1[[#This Row],[SPOT PTS]]/2)*15)-65</f>
        <v>-177.5</v>
      </c>
      <c r="L276" s="34">
        <f t="shared" si="8"/>
        <v>9262.5</v>
      </c>
    </row>
    <row r="277" spans="1:12" ht="16.2" customHeight="1" thickBot="1" x14ac:dyDescent="0.35">
      <c r="A277" s="30">
        <v>17</v>
      </c>
      <c r="B277" s="31">
        <v>5.5555555555555552E-2</v>
      </c>
      <c r="C277" s="32" t="s">
        <v>48</v>
      </c>
      <c r="D277" s="32">
        <v>-25</v>
      </c>
      <c r="E277" s="32" t="s">
        <v>24</v>
      </c>
      <c r="F277" s="33">
        <v>2</v>
      </c>
      <c r="K277" s="34">
        <f>((Table1[[#This Row],[SPOT PTS]]/2)*15)-65</f>
        <v>-252.5</v>
      </c>
      <c r="L277" s="34">
        <f t="shared" si="8"/>
        <v>9010</v>
      </c>
    </row>
    <row r="278" spans="1:12" ht="16.2" customHeight="1" thickBot="1" x14ac:dyDescent="0.35">
      <c r="A278" s="16">
        <v>18</v>
      </c>
      <c r="B278" s="17">
        <v>0.4236111111111111</v>
      </c>
      <c r="C278" s="18" t="s">
        <v>50</v>
      </c>
      <c r="D278" s="18">
        <v>94</v>
      </c>
      <c r="E278" s="18" t="s">
        <v>20</v>
      </c>
      <c r="F278" s="19">
        <v>1</v>
      </c>
      <c r="K278" s="34">
        <f>((Table1[[#This Row],[SPOT PTS]]/2)*15)-65</f>
        <v>640</v>
      </c>
      <c r="L278" s="34">
        <f t="shared" si="8"/>
        <v>9650</v>
      </c>
    </row>
    <row r="279" spans="1:12" ht="16.2" customHeight="1" thickBot="1" x14ac:dyDescent="0.35">
      <c r="A279" s="16">
        <v>19</v>
      </c>
      <c r="B279" s="17">
        <v>6.25E-2</v>
      </c>
      <c r="C279" s="18" t="s">
        <v>50</v>
      </c>
      <c r="D279" s="18">
        <v>220</v>
      </c>
      <c r="E279" s="18" t="s">
        <v>21</v>
      </c>
      <c r="F279" s="19">
        <v>2</v>
      </c>
      <c r="K279" s="34">
        <f>((Table1[[#This Row],[SPOT PTS]]/2)*15)-65</f>
        <v>1585</v>
      </c>
      <c r="L279" s="34">
        <f t="shared" si="8"/>
        <v>11235</v>
      </c>
    </row>
    <row r="280" spans="1:12" ht="16.2" customHeight="1" thickBot="1" x14ac:dyDescent="0.35">
      <c r="A280" s="16">
        <v>22</v>
      </c>
      <c r="B280" s="17">
        <v>0.44444444444444442</v>
      </c>
      <c r="C280" s="18" t="s">
        <v>50</v>
      </c>
      <c r="D280" s="18">
        <v>122</v>
      </c>
      <c r="E280" s="18" t="s">
        <v>22</v>
      </c>
      <c r="F280" s="19">
        <v>1</v>
      </c>
      <c r="K280" s="34">
        <f>((Table1[[#This Row],[SPOT PTS]]/2)*15)-65</f>
        <v>850</v>
      </c>
      <c r="L280" s="34">
        <f t="shared" si="8"/>
        <v>12085</v>
      </c>
    </row>
    <row r="281" spans="1:12" ht="16.2" customHeight="1" thickBot="1" x14ac:dyDescent="0.35">
      <c r="A281" s="16">
        <v>23</v>
      </c>
      <c r="B281" s="17">
        <v>0.4201388888888889</v>
      </c>
      <c r="C281" s="18" t="s">
        <v>50</v>
      </c>
      <c r="D281" s="18">
        <v>228</v>
      </c>
      <c r="E281" s="18" t="s">
        <v>23</v>
      </c>
      <c r="F281" s="19">
        <v>1</v>
      </c>
      <c r="K281" s="34">
        <f>((Table1[[#This Row],[SPOT PTS]]/2)*15)-65</f>
        <v>1645</v>
      </c>
      <c r="L281" s="34">
        <f t="shared" si="8"/>
        <v>13730</v>
      </c>
    </row>
    <row r="282" spans="1:12" ht="16.2" customHeight="1" x14ac:dyDescent="0.3">
      <c r="A282" s="10">
        <v>24</v>
      </c>
      <c r="B282" s="11">
        <v>0.4375</v>
      </c>
      <c r="C282" s="12" t="s">
        <v>48</v>
      </c>
      <c r="D282" s="12">
        <v>-44</v>
      </c>
      <c r="E282" s="12" t="s">
        <v>24</v>
      </c>
      <c r="F282" s="13">
        <v>1</v>
      </c>
      <c r="K282" s="34">
        <f>((Table1[[#This Row],[SPOT PTS]]/2)*15)-65</f>
        <v>-395</v>
      </c>
      <c r="L282" s="34">
        <f t="shared" si="8"/>
        <v>13335</v>
      </c>
    </row>
    <row r="283" spans="1:12" ht="16.2" customHeight="1" thickBot="1" x14ac:dyDescent="0.35">
      <c r="A283" s="30">
        <v>24</v>
      </c>
      <c r="B283" s="31">
        <v>6.5972222222222224E-2</v>
      </c>
      <c r="C283" s="32" t="s">
        <v>48</v>
      </c>
      <c r="D283" s="32">
        <v>-28</v>
      </c>
      <c r="E283" s="32" t="s">
        <v>24</v>
      </c>
      <c r="F283" s="33">
        <v>2</v>
      </c>
      <c r="K283" s="34">
        <f>((Table1[[#This Row],[SPOT PTS]]/2)*15)-65</f>
        <v>-275</v>
      </c>
      <c r="L283" s="34">
        <f t="shared" si="8"/>
        <v>13060</v>
      </c>
    </row>
    <row r="284" spans="1:12" ht="16.2" customHeight="1" thickBot="1" x14ac:dyDescent="0.35">
      <c r="A284" s="16">
        <v>25</v>
      </c>
      <c r="B284" s="17">
        <v>0.51041666666666663</v>
      </c>
      <c r="C284" s="18" t="s">
        <v>48</v>
      </c>
      <c r="D284" s="18">
        <v>-21</v>
      </c>
      <c r="E284" s="18" t="s">
        <v>20</v>
      </c>
      <c r="F284" s="19">
        <v>2</v>
      </c>
      <c r="K284" s="34">
        <f>((Table1[[#This Row],[SPOT PTS]]/2)*15)-65</f>
        <v>-222.5</v>
      </c>
      <c r="L284" s="34">
        <f t="shared" si="8"/>
        <v>12837.5</v>
      </c>
    </row>
    <row r="285" spans="1:12" ht="16.2" customHeight="1" x14ac:dyDescent="0.3">
      <c r="A285" s="10">
        <v>26</v>
      </c>
      <c r="B285" s="11">
        <v>0.3923611111111111</v>
      </c>
      <c r="C285" s="12" t="s">
        <v>48</v>
      </c>
      <c r="D285" s="12">
        <v>-50</v>
      </c>
      <c r="E285" s="12" t="s">
        <v>21</v>
      </c>
      <c r="F285" s="13">
        <v>1</v>
      </c>
      <c r="K285" s="34">
        <f>((Table1[[#This Row],[SPOT PTS]]/2)*15)-65</f>
        <v>-440</v>
      </c>
      <c r="L285" s="34">
        <f t="shared" si="8"/>
        <v>12397.5</v>
      </c>
    </row>
    <row r="286" spans="1:12" ht="16.2" customHeight="1" x14ac:dyDescent="0.3">
      <c r="A286" s="27">
        <v>26</v>
      </c>
      <c r="B286" s="28">
        <v>0.40277777777777773</v>
      </c>
      <c r="C286" s="1" t="s">
        <v>48</v>
      </c>
      <c r="D286" s="1">
        <v>-70</v>
      </c>
      <c r="E286" s="1" t="s">
        <v>21</v>
      </c>
      <c r="F286" s="29">
        <v>1</v>
      </c>
      <c r="K286" s="34">
        <f>((Table1[[#This Row],[SPOT PTS]]/2)*15)-65</f>
        <v>-590</v>
      </c>
      <c r="L286" s="34">
        <f t="shared" si="8"/>
        <v>11807.5</v>
      </c>
    </row>
    <row r="287" spans="1:12" ht="16.2" customHeight="1" thickBot="1" x14ac:dyDescent="0.35">
      <c r="A287" s="30">
        <v>26</v>
      </c>
      <c r="B287" s="31">
        <v>0.4236111111111111</v>
      </c>
      <c r="C287" s="32" t="s">
        <v>50</v>
      </c>
      <c r="D287" s="32">
        <v>159</v>
      </c>
      <c r="E287" s="32" t="s">
        <v>21</v>
      </c>
      <c r="F287" s="33">
        <v>1</v>
      </c>
      <c r="K287" s="34">
        <f>((Table1[[#This Row],[SPOT PTS]]/2)*15)-65</f>
        <v>1127.5</v>
      </c>
      <c r="L287" s="34">
        <f t="shared" si="8"/>
        <v>12935</v>
      </c>
    </row>
    <row r="288" spans="1:12" ht="16.2" customHeight="1" thickBot="1" x14ac:dyDescent="0.35">
      <c r="A288" s="16">
        <v>29</v>
      </c>
      <c r="B288" s="17">
        <v>9.7222222222222224E-2</v>
      </c>
      <c r="C288" s="18" t="s">
        <v>50</v>
      </c>
      <c r="D288" s="18">
        <v>69</v>
      </c>
      <c r="E288" s="18" t="s">
        <v>22</v>
      </c>
      <c r="F288" s="19">
        <v>2</v>
      </c>
      <c r="K288" s="34">
        <f>((Table1[[#This Row],[SPOT PTS]]/2)*15)-65</f>
        <v>452.5</v>
      </c>
      <c r="L288" s="34">
        <f t="shared" si="8"/>
        <v>13387.5</v>
      </c>
    </row>
    <row r="289" spans="1:12" ht="16.2" customHeight="1" x14ac:dyDescent="0.3">
      <c r="A289" s="10">
        <v>30</v>
      </c>
      <c r="B289" s="11">
        <v>0.41319444444444442</v>
      </c>
      <c r="C289" s="12" t="s">
        <v>48</v>
      </c>
      <c r="D289" s="12">
        <v>-42</v>
      </c>
      <c r="E289" s="12" t="s">
        <v>23</v>
      </c>
      <c r="F289" s="13">
        <v>1</v>
      </c>
      <c r="K289" s="34">
        <f>((Table1[[#This Row],[SPOT PTS]]/2)*15)-65</f>
        <v>-380</v>
      </c>
      <c r="L289" s="34">
        <f t="shared" si="8"/>
        <v>13007.5</v>
      </c>
    </row>
    <row r="290" spans="1:12" ht="16.2" customHeight="1" x14ac:dyDescent="0.3">
      <c r="A290" s="27">
        <v>30</v>
      </c>
      <c r="B290" s="28">
        <v>0.4548611111111111</v>
      </c>
      <c r="C290" s="1" t="s">
        <v>48</v>
      </c>
      <c r="D290" s="1">
        <v>-34</v>
      </c>
      <c r="E290" s="1" t="s">
        <v>23</v>
      </c>
      <c r="F290" s="29">
        <v>1</v>
      </c>
      <c r="K290" s="34">
        <f>((Table1[[#This Row],[SPOT PTS]]/2)*15)-65</f>
        <v>-320</v>
      </c>
      <c r="L290" s="34">
        <f t="shared" si="8"/>
        <v>12687.5</v>
      </c>
    </row>
    <row r="291" spans="1:12" ht="16.2" customHeight="1" thickBot="1" x14ac:dyDescent="0.35">
      <c r="A291" s="30">
        <v>30</v>
      </c>
      <c r="B291" s="31">
        <v>4.5138888888888888E-2</v>
      </c>
      <c r="C291" s="32" t="s">
        <v>48</v>
      </c>
      <c r="D291" s="32">
        <v>51</v>
      </c>
      <c r="E291" s="32" t="s">
        <v>23</v>
      </c>
      <c r="F291" s="33">
        <v>2</v>
      </c>
      <c r="K291" s="34">
        <f>((Table1[[#This Row],[SPOT PTS]]/2)*15)-65</f>
        <v>317.5</v>
      </c>
      <c r="L291" s="34">
        <f>K291+L290</f>
        <v>13005</v>
      </c>
    </row>
    <row r="292" spans="1:12" ht="16.2" customHeight="1" x14ac:dyDescent="0.3">
      <c r="A292" s="56" t="s">
        <v>57</v>
      </c>
      <c r="B292" s="56"/>
      <c r="C292" s="56"/>
      <c r="D292" s="56"/>
      <c r="E292" s="56"/>
      <c r="F292" s="56"/>
    </row>
    <row r="293" spans="1:12" ht="16.2" customHeight="1" thickBot="1" x14ac:dyDescent="0.35">
      <c r="A293" s="25" t="s">
        <v>0</v>
      </c>
      <c r="B293" s="20" t="s">
        <v>1</v>
      </c>
      <c r="C293" s="20" t="s">
        <v>3</v>
      </c>
      <c r="D293" s="20" t="s">
        <v>2</v>
      </c>
      <c r="E293" s="20" t="s">
        <v>4</v>
      </c>
      <c r="F293" s="26" t="s">
        <v>47</v>
      </c>
      <c r="H293" s="3" t="s">
        <v>5</v>
      </c>
      <c r="I293" s="3">
        <f>COUNT(Table9[RANGE])</f>
        <v>42</v>
      </c>
      <c r="L293" s="34">
        <v>10000</v>
      </c>
    </row>
    <row r="294" spans="1:12" ht="16.2" customHeight="1" thickBot="1" x14ac:dyDescent="0.35">
      <c r="A294" s="16">
        <v>1</v>
      </c>
      <c r="B294" s="17">
        <v>0.43055555555555558</v>
      </c>
      <c r="C294" s="18" t="s">
        <v>48</v>
      </c>
      <c r="D294" s="18">
        <v>-63</v>
      </c>
      <c r="E294" s="18" t="s">
        <v>20</v>
      </c>
      <c r="F294" s="19">
        <v>1</v>
      </c>
      <c r="H294" s="3" t="s">
        <v>6</v>
      </c>
      <c r="I294" s="5">
        <f>((COUNTIF(Table9[OUTCOME],"Target"))/I293)</f>
        <v>0.38095238095238093</v>
      </c>
      <c r="K294" s="34">
        <f>((Table9[[#This Row],[SPOT PTS]]/2)*15)-65</f>
        <v>-537.5</v>
      </c>
      <c r="L294" s="34">
        <f>K294+L293</f>
        <v>9462.5</v>
      </c>
    </row>
    <row r="295" spans="1:12" ht="16.2" customHeight="1" x14ac:dyDescent="0.3">
      <c r="A295" s="10">
        <v>2</v>
      </c>
      <c r="B295" s="11">
        <v>0.3923611111111111</v>
      </c>
      <c r="C295" s="12" t="s">
        <v>48</v>
      </c>
      <c r="D295" s="12">
        <v>-80</v>
      </c>
      <c r="E295" s="12" t="s">
        <v>21</v>
      </c>
      <c r="F295" s="13">
        <v>1</v>
      </c>
      <c r="H295" s="3" t="s">
        <v>7</v>
      </c>
      <c r="I295" s="3">
        <f>SUM(Table9[SPOT PTS])</f>
        <v>1038</v>
      </c>
      <c r="K295" s="34">
        <f>((Table9[[#This Row],[SPOT PTS]]/2)*15)-65</f>
        <v>-665</v>
      </c>
      <c r="L295" s="34">
        <f t="shared" ref="L295:L335" si="9">K295+L294</f>
        <v>8797.5</v>
      </c>
    </row>
    <row r="296" spans="1:12" ht="16.2" customHeight="1" thickBot="1" x14ac:dyDescent="0.35">
      <c r="A296" s="30">
        <v>2</v>
      </c>
      <c r="B296" s="31">
        <v>9.375E-2</v>
      </c>
      <c r="C296" s="32" t="s">
        <v>48</v>
      </c>
      <c r="D296" s="32">
        <v>-20</v>
      </c>
      <c r="E296" s="32" t="s">
        <v>21</v>
      </c>
      <c r="F296" s="33">
        <v>2</v>
      </c>
      <c r="H296" s="3" t="s">
        <v>8</v>
      </c>
      <c r="I296" s="3">
        <f>65*I293</f>
        <v>2730</v>
      </c>
      <c r="K296" s="34">
        <f>((Table9[[#This Row],[SPOT PTS]]/2)*15)-65</f>
        <v>-215</v>
      </c>
      <c r="L296" s="34">
        <f t="shared" si="9"/>
        <v>8582.5</v>
      </c>
    </row>
    <row r="297" spans="1:12" ht="16.2" customHeight="1" x14ac:dyDescent="0.3">
      <c r="A297" s="10">
        <v>5</v>
      </c>
      <c r="B297" s="11">
        <v>0.3923611111111111</v>
      </c>
      <c r="C297" s="12" t="s">
        <v>48</v>
      </c>
      <c r="D297" s="12">
        <v>-94</v>
      </c>
      <c r="E297" s="12" t="s">
        <v>22</v>
      </c>
      <c r="F297" s="13">
        <v>1</v>
      </c>
      <c r="H297" s="3" t="s">
        <v>9</v>
      </c>
      <c r="I297" s="3">
        <f>SUMIF(Table9[OUTCOME],"Stoploss",Table9[SPOT PTS])</f>
        <v>-1373</v>
      </c>
      <c r="K297" s="34">
        <f>((Table9[[#This Row],[SPOT PTS]]/2)*15)-65</f>
        <v>-770</v>
      </c>
      <c r="L297" s="34">
        <f t="shared" si="9"/>
        <v>7812.5</v>
      </c>
    </row>
    <row r="298" spans="1:12" ht="16.2" customHeight="1" thickBot="1" x14ac:dyDescent="0.35">
      <c r="A298" s="30">
        <v>5</v>
      </c>
      <c r="B298" s="31">
        <v>0.4548611111111111</v>
      </c>
      <c r="C298" s="32" t="s">
        <v>50</v>
      </c>
      <c r="D298" s="32">
        <v>91</v>
      </c>
      <c r="E298" s="32" t="s">
        <v>22</v>
      </c>
      <c r="F298" s="33">
        <v>1</v>
      </c>
      <c r="H298" s="3" t="s">
        <v>10</v>
      </c>
      <c r="I298" s="3">
        <f>SUMIF(Table9[OUTCOME],"Target",Table9[SPOT PTS])</f>
        <v>2411</v>
      </c>
      <c r="K298" s="34">
        <f>((Table9[[#This Row],[SPOT PTS]]/2)*15)-65</f>
        <v>617.5</v>
      </c>
      <c r="L298" s="34">
        <f t="shared" si="9"/>
        <v>8430</v>
      </c>
    </row>
    <row r="299" spans="1:12" ht="16.2" customHeight="1" thickBot="1" x14ac:dyDescent="0.35">
      <c r="A299" s="16">
        <v>6</v>
      </c>
      <c r="B299" s="17">
        <v>0.39583333333333331</v>
      </c>
      <c r="C299" s="18" t="s">
        <v>50</v>
      </c>
      <c r="D299" s="18">
        <v>205</v>
      </c>
      <c r="E299" s="18" t="s">
        <v>23</v>
      </c>
      <c r="F299" s="19">
        <v>1</v>
      </c>
      <c r="H299" s="3" t="s">
        <v>11</v>
      </c>
      <c r="I299" s="5">
        <f>I300/10000</f>
        <v>0.50549999999999995</v>
      </c>
      <c r="K299" s="34">
        <f>((Table9[[#This Row],[SPOT PTS]]/2)*15)-65</f>
        <v>1472.5</v>
      </c>
      <c r="L299" s="34">
        <f t="shared" si="9"/>
        <v>9902.5</v>
      </c>
    </row>
    <row r="300" spans="1:12" ht="16.2" customHeight="1" thickBot="1" x14ac:dyDescent="0.35">
      <c r="A300" s="16">
        <v>7</v>
      </c>
      <c r="B300" s="17">
        <v>0.50347222222222221</v>
      </c>
      <c r="C300" s="18" t="s">
        <v>48</v>
      </c>
      <c r="D300" s="18">
        <v>-33</v>
      </c>
      <c r="E300" s="18" t="s">
        <v>24</v>
      </c>
      <c r="F300" s="19">
        <v>2</v>
      </c>
      <c r="H300" s="3" t="s">
        <v>12</v>
      </c>
      <c r="I300" s="49">
        <f>((I295/2)*15)-I296</f>
        <v>5055</v>
      </c>
      <c r="K300" s="34">
        <f>((Table9[[#This Row],[SPOT PTS]]/2)*15)-65</f>
        <v>-312.5</v>
      </c>
      <c r="L300" s="34">
        <f t="shared" si="9"/>
        <v>9590</v>
      </c>
    </row>
    <row r="301" spans="1:12" ht="16.2" customHeight="1" x14ac:dyDescent="0.3">
      <c r="A301" s="10">
        <v>8</v>
      </c>
      <c r="B301" s="11">
        <v>0.41319444444444442</v>
      </c>
      <c r="C301" s="12" t="s">
        <v>48</v>
      </c>
      <c r="D301" s="12">
        <v>-26</v>
      </c>
      <c r="E301" s="12" t="s">
        <v>20</v>
      </c>
      <c r="F301" s="13">
        <v>1</v>
      </c>
      <c r="K301" s="34">
        <f>((Table9[[#This Row],[SPOT PTS]]/2)*15)-65</f>
        <v>-260</v>
      </c>
      <c r="L301" s="34">
        <f t="shared" si="9"/>
        <v>9330</v>
      </c>
    </row>
    <row r="302" spans="1:12" ht="16.2" customHeight="1" x14ac:dyDescent="0.3">
      <c r="A302" s="27">
        <v>8</v>
      </c>
      <c r="B302" s="28">
        <v>0.50347222222222221</v>
      </c>
      <c r="C302" s="1" t="s">
        <v>48</v>
      </c>
      <c r="D302" s="1">
        <v>-25</v>
      </c>
      <c r="E302" s="1" t="s">
        <v>20</v>
      </c>
      <c r="F302" s="29">
        <v>2</v>
      </c>
      <c r="K302" s="34">
        <f>((Table9[[#This Row],[SPOT PTS]]/2)*15)-65</f>
        <v>-252.5</v>
      </c>
      <c r="L302" s="34">
        <f t="shared" si="9"/>
        <v>9077.5</v>
      </c>
    </row>
    <row r="303" spans="1:12" ht="16.2" customHeight="1" thickBot="1" x14ac:dyDescent="0.35">
      <c r="A303" s="30">
        <v>8</v>
      </c>
      <c r="B303" s="31">
        <v>0.53125</v>
      </c>
      <c r="C303" s="32" t="s">
        <v>50</v>
      </c>
      <c r="D303" s="32">
        <v>114</v>
      </c>
      <c r="E303" s="32" t="s">
        <v>20</v>
      </c>
      <c r="F303" s="33">
        <v>2</v>
      </c>
      <c r="K303" s="34">
        <f>((Table9[[#This Row],[SPOT PTS]]/2)*15)-65</f>
        <v>790</v>
      </c>
      <c r="L303" s="34">
        <f t="shared" si="9"/>
        <v>9867.5</v>
      </c>
    </row>
    <row r="304" spans="1:12" ht="16.2" customHeight="1" x14ac:dyDescent="0.3">
      <c r="A304" s="10">
        <v>9</v>
      </c>
      <c r="B304" s="11">
        <v>0.39583333333333331</v>
      </c>
      <c r="C304" s="12" t="s">
        <v>48</v>
      </c>
      <c r="D304" s="12">
        <v>-50</v>
      </c>
      <c r="E304" s="12" t="s">
        <v>21</v>
      </c>
      <c r="F304" s="13">
        <v>1</v>
      </c>
      <c r="K304" s="34">
        <f>((Table9[[#This Row],[SPOT PTS]]/2)*15)-65</f>
        <v>-440</v>
      </c>
      <c r="L304" s="34">
        <f t="shared" si="9"/>
        <v>9427.5</v>
      </c>
    </row>
    <row r="305" spans="1:12" ht="16.2" customHeight="1" thickBot="1" x14ac:dyDescent="0.35">
      <c r="A305" s="30">
        <v>9</v>
      </c>
      <c r="B305" s="31">
        <v>0.44444444444444442</v>
      </c>
      <c r="C305" s="32" t="s">
        <v>50</v>
      </c>
      <c r="D305" s="32">
        <v>89</v>
      </c>
      <c r="E305" s="32" t="s">
        <v>21</v>
      </c>
      <c r="F305" s="33">
        <v>1</v>
      </c>
      <c r="K305" s="34">
        <f>((Table9[[#This Row],[SPOT PTS]]/2)*15)-65</f>
        <v>602.5</v>
      </c>
      <c r="L305" s="34">
        <f t="shared" si="9"/>
        <v>10030</v>
      </c>
    </row>
    <row r="306" spans="1:12" ht="16.2" customHeight="1" x14ac:dyDescent="0.3">
      <c r="A306" s="10">
        <v>12</v>
      </c>
      <c r="B306" s="11">
        <v>0.3888888888888889</v>
      </c>
      <c r="C306" s="12" t="s">
        <v>48</v>
      </c>
      <c r="D306" s="12">
        <v>-80</v>
      </c>
      <c r="E306" s="12" t="s">
        <v>22</v>
      </c>
      <c r="F306" s="13">
        <v>1</v>
      </c>
      <c r="K306" s="34">
        <f>((Table9[[#This Row],[SPOT PTS]]/2)*15)-65</f>
        <v>-665</v>
      </c>
      <c r="L306" s="34">
        <f t="shared" si="9"/>
        <v>9365</v>
      </c>
    </row>
    <row r="307" spans="1:12" ht="16.2" customHeight="1" thickBot="1" x14ac:dyDescent="0.35">
      <c r="A307" s="30">
        <v>12</v>
      </c>
      <c r="B307" s="31">
        <v>0.43055555555555558</v>
      </c>
      <c r="C307" s="32" t="s">
        <v>50</v>
      </c>
      <c r="D307" s="32">
        <v>65</v>
      </c>
      <c r="E307" s="32" t="s">
        <v>22</v>
      </c>
      <c r="F307" s="33">
        <v>1</v>
      </c>
      <c r="K307" s="34">
        <f>((Table9[[#This Row],[SPOT PTS]]/2)*15)-65</f>
        <v>422.5</v>
      </c>
      <c r="L307" s="34">
        <f t="shared" si="9"/>
        <v>9787.5</v>
      </c>
    </row>
    <row r="308" spans="1:12" ht="16.2" customHeight="1" x14ac:dyDescent="0.3">
      <c r="A308" s="10">
        <v>13</v>
      </c>
      <c r="B308" s="11">
        <v>0.3888888888888889</v>
      </c>
      <c r="C308" s="12" t="s">
        <v>48</v>
      </c>
      <c r="D308" s="12">
        <v>-78</v>
      </c>
      <c r="E308" s="12" t="s">
        <v>23</v>
      </c>
      <c r="F308" s="13">
        <v>1</v>
      </c>
      <c r="K308" s="34">
        <f>((Table9[[#This Row],[SPOT PTS]]/2)*15)-65</f>
        <v>-650</v>
      </c>
      <c r="L308" s="34">
        <f t="shared" si="9"/>
        <v>9137.5</v>
      </c>
    </row>
    <row r="309" spans="1:12" ht="16.2" customHeight="1" x14ac:dyDescent="0.3">
      <c r="A309" s="27">
        <v>13</v>
      </c>
      <c r="B309" s="28">
        <v>0.40972222222222227</v>
      </c>
      <c r="C309" s="1" t="s">
        <v>48</v>
      </c>
      <c r="D309" s="1">
        <v>-33</v>
      </c>
      <c r="E309" s="1" t="s">
        <v>23</v>
      </c>
      <c r="F309" s="29">
        <v>1</v>
      </c>
      <c r="K309" s="34">
        <f>((Table9[[#This Row],[SPOT PTS]]/2)*15)-65</f>
        <v>-312.5</v>
      </c>
      <c r="L309" s="34">
        <f t="shared" si="9"/>
        <v>8825</v>
      </c>
    </row>
    <row r="310" spans="1:12" ht="16.2" customHeight="1" thickBot="1" x14ac:dyDescent="0.35">
      <c r="A310" s="30">
        <v>13</v>
      </c>
      <c r="B310" s="31">
        <v>8.3333333333333329E-2</v>
      </c>
      <c r="C310" s="32" t="s">
        <v>48</v>
      </c>
      <c r="D310" s="32">
        <v>-24</v>
      </c>
      <c r="E310" s="32" t="s">
        <v>23</v>
      </c>
      <c r="F310" s="33">
        <v>2</v>
      </c>
      <c r="K310" s="34">
        <f>((Table9[[#This Row],[SPOT PTS]]/2)*15)-65</f>
        <v>-245</v>
      </c>
      <c r="L310" s="34">
        <f t="shared" si="9"/>
        <v>8580</v>
      </c>
    </row>
    <row r="311" spans="1:12" ht="16.2" customHeight="1" x14ac:dyDescent="0.3">
      <c r="A311" s="10">
        <v>14</v>
      </c>
      <c r="B311" s="11">
        <v>0.47569444444444442</v>
      </c>
      <c r="C311" s="12" t="s">
        <v>48</v>
      </c>
      <c r="D311" s="12">
        <v>-20</v>
      </c>
      <c r="E311" s="12" t="s">
        <v>24</v>
      </c>
      <c r="F311" s="13">
        <v>1</v>
      </c>
      <c r="K311" s="34">
        <f>((Table9[[#This Row],[SPOT PTS]]/2)*15)-65</f>
        <v>-215</v>
      </c>
      <c r="L311" s="34">
        <f t="shared" si="9"/>
        <v>8365</v>
      </c>
    </row>
    <row r="312" spans="1:12" ht="16.2" customHeight="1" x14ac:dyDescent="0.3">
      <c r="A312" s="27">
        <v>14</v>
      </c>
      <c r="B312" s="28">
        <v>0.53125</v>
      </c>
      <c r="C312" s="1" t="s">
        <v>48</v>
      </c>
      <c r="D312" s="1">
        <v>-44</v>
      </c>
      <c r="E312" s="1" t="s">
        <v>24</v>
      </c>
      <c r="F312" s="29">
        <v>2</v>
      </c>
      <c r="K312" s="34">
        <f>((Table9[[#This Row],[SPOT PTS]]/2)*15)-65</f>
        <v>-395</v>
      </c>
      <c r="L312" s="34">
        <f t="shared" si="9"/>
        <v>7970</v>
      </c>
    </row>
    <row r="313" spans="1:12" ht="16.2" customHeight="1" thickBot="1" x14ac:dyDescent="0.35">
      <c r="A313" s="30">
        <v>14</v>
      </c>
      <c r="B313" s="31">
        <v>0.10416666666666667</v>
      </c>
      <c r="C313" s="32" t="s">
        <v>50</v>
      </c>
      <c r="D313" s="32">
        <v>124</v>
      </c>
      <c r="E313" s="32" t="s">
        <v>24</v>
      </c>
      <c r="F313" s="33">
        <v>2</v>
      </c>
      <c r="K313" s="34">
        <f>((Table9[[#This Row],[SPOT PTS]]/2)*15)-65</f>
        <v>865</v>
      </c>
      <c r="L313" s="34">
        <f t="shared" si="9"/>
        <v>8835</v>
      </c>
    </row>
    <row r="314" spans="1:12" ht="16.2" customHeight="1" thickBot="1" x14ac:dyDescent="0.35">
      <c r="A314" s="16">
        <v>15</v>
      </c>
      <c r="B314" s="17">
        <v>0.39583333333333331</v>
      </c>
      <c r="C314" s="18" t="s">
        <v>50</v>
      </c>
      <c r="D314" s="18">
        <v>217</v>
      </c>
      <c r="E314" s="18" t="s">
        <v>20</v>
      </c>
      <c r="F314" s="19">
        <v>1</v>
      </c>
      <c r="K314" s="34">
        <f>((Table9[[#This Row],[SPOT PTS]]/2)*15)-65</f>
        <v>1562.5</v>
      </c>
      <c r="L314" s="34">
        <f t="shared" si="9"/>
        <v>10397.5</v>
      </c>
    </row>
    <row r="315" spans="1:12" ht="16.2" customHeight="1" thickBot="1" x14ac:dyDescent="0.35">
      <c r="A315" s="16">
        <v>16</v>
      </c>
      <c r="B315" s="17">
        <v>0.46180555555555558</v>
      </c>
      <c r="C315" s="18" t="s">
        <v>48</v>
      </c>
      <c r="D315" s="18">
        <v>-30</v>
      </c>
      <c r="E315" s="18" t="s">
        <v>21</v>
      </c>
      <c r="F315" s="19">
        <v>1</v>
      </c>
      <c r="K315" s="34">
        <f>((Table9[[#This Row],[SPOT PTS]]/2)*15)-65</f>
        <v>-290</v>
      </c>
      <c r="L315" s="34">
        <f t="shared" si="9"/>
        <v>10107.5</v>
      </c>
    </row>
    <row r="316" spans="1:12" ht="16.2" customHeight="1" x14ac:dyDescent="0.3">
      <c r="A316" s="10">
        <v>19</v>
      </c>
      <c r="B316" s="11">
        <v>0.4236111111111111</v>
      </c>
      <c r="C316" s="12" t="s">
        <v>48</v>
      </c>
      <c r="D316" s="12">
        <v>-72</v>
      </c>
      <c r="E316" s="12" t="s">
        <v>22</v>
      </c>
      <c r="F316" s="13">
        <v>1</v>
      </c>
      <c r="K316" s="34">
        <f>((Table9[[#This Row],[SPOT PTS]]/2)*15)-65</f>
        <v>-605</v>
      </c>
      <c r="L316" s="34">
        <f t="shared" si="9"/>
        <v>9502.5</v>
      </c>
    </row>
    <row r="317" spans="1:12" ht="16.2" customHeight="1" x14ac:dyDescent="0.3">
      <c r="A317" s="27">
        <v>19</v>
      </c>
      <c r="B317" s="28">
        <v>0.46180555555555558</v>
      </c>
      <c r="C317" s="1" t="s">
        <v>48</v>
      </c>
      <c r="D317" s="1">
        <v>-35</v>
      </c>
      <c r="E317" s="1" t="s">
        <v>22</v>
      </c>
      <c r="F317" s="29">
        <v>1</v>
      </c>
      <c r="K317" s="34">
        <f>((Table9[[#This Row],[SPOT PTS]]/2)*15)-65</f>
        <v>-327.5</v>
      </c>
      <c r="L317" s="34">
        <f t="shared" si="9"/>
        <v>9175</v>
      </c>
    </row>
    <row r="318" spans="1:12" ht="16.2" customHeight="1" thickBot="1" x14ac:dyDescent="0.35">
      <c r="A318" s="30">
        <v>19</v>
      </c>
      <c r="B318" s="31">
        <v>0.50694444444444442</v>
      </c>
      <c r="C318" s="32" t="s">
        <v>50</v>
      </c>
      <c r="D318" s="32">
        <v>111</v>
      </c>
      <c r="E318" s="32" t="s">
        <v>22</v>
      </c>
      <c r="F318" s="33">
        <v>2</v>
      </c>
      <c r="K318" s="34">
        <f>((Table9[[#This Row],[SPOT PTS]]/2)*15)-65</f>
        <v>767.5</v>
      </c>
      <c r="L318" s="34">
        <f t="shared" si="9"/>
        <v>9942.5</v>
      </c>
    </row>
    <row r="319" spans="1:12" ht="16.2" customHeight="1" x14ac:dyDescent="0.3">
      <c r="A319" s="10">
        <v>20</v>
      </c>
      <c r="B319" s="11">
        <v>0.40277777777777773</v>
      </c>
      <c r="C319" s="12" t="s">
        <v>48</v>
      </c>
      <c r="D319" s="12">
        <v>-45</v>
      </c>
      <c r="E319" s="12" t="s">
        <v>23</v>
      </c>
      <c r="F319" s="13">
        <v>1</v>
      </c>
      <c r="K319" s="34">
        <f>((Table9[[#This Row],[SPOT PTS]]/2)*15)-65</f>
        <v>-402.5</v>
      </c>
      <c r="L319" s="34">
        <f t="shared" si="9"/>
        <v>9540</v>
      </c>
    </row>
    <row r="320" spans="1:12" ht="16.2" customHeight="1" thickBot="1" x14ac:dyDescent="0.35">
      <c r="A320" s="30">
        <v>20</v>
      </c>
      <c r="B320" s="31">
        <v>0.52777777777777779</v>
      </c>
      <c r="C320" s="32" t="s">
        <v>50</v>
      </c>
      <c r="D320" s="32">
        <v>139</v>
      </c>
      <c r="E320" s="32" t="s">
        <v>23</v>
      </c>
      <c r="F320" s="33">
        <v>2</v>
      </c>
      <c r="K320" s="34">
        <f>((Table9[[#This Row],[SPOT PTS]]/2)*15)-65</f>
        <v>977.5</v>
      </c>
      <c r="L320" s="34">
        <f t="shared" si="9"/>
        <v>10517.5</v>
      </c>
    </row>
    <row r="321" spans="1:12" ht="16.2" customHeight="1" thickBot="1" x14ac:dyDescent="0.35">
      <c r="A321" s="16">
        <v>21</v>
      </c>
      <c r="B321" s="17">
        <v>0.44444444444444442</v>
      </c>
      <c r="C321" s="18" t="s">
        <v>50</v>
      </c>
      <c r="D321" s="18">
        <v>199</v>
      </c>
      <c r="E321" s="18" t="s">
        <v>24</v>
      </c>
      <c r="F321" s="19">
        <v>1</v>
      </c>
      <c r="K321" s="34">
        <f>((Table9[[#This Row],[SPOT PTS]]/2)*15)-65</f>
        <v>1427.5</v>
      </c>
      <c r="L321" s="34">
        <f t="shared" si="9"/>
        <v>11945</v>
      </c>
    </row>
    <row r="322" spans="1:12" ht="16.2" customHeight="1" x14ac:dyDescent="0.3">
      <c r="A322" s="10">
        <v>22</v>
      </c>
      <c r="B322" s="11">
        <v>5.9027777777777783E-2</v>
      </c>
      <c r="C322" s="12" t="s">
        <v>48</v>
      </c>
      <c r="D322" s="12">
        <v>-41</v>
      </c>
      <c r="E322" s="12" t="s">
        <v>20</v>
      </c>
      <c r="F322" s="13">
        <v>2</v>
      </c>
      <c r="K322" s="34">
        <f>((Table9[[#This Row],[SPOT PTS]]/2)*15)-65</f>
        <v>-372.5</v>
      </c>
      <c r="L322" s="34">
        <f t="shared" si="9"/>
        <v>11572.5</v>
      </c>
    </row>
    <row r="323" spans="1:12" ht="16.2" customHeight="1" thickBot="1" x14ac:dyDescent="0.35">
      <c r="A323" s="30">
        <v>22</v>
      </c>
      <c r="B323" s="31">
        <v>9.0277777777777776E-2</v>
      </c>
      <c r="C323" s="32" t="s">
        <v>50</v>
      </c>
      <c r="D323" s="32">
        <v>90</v>
      </c>
      <c r="E323" s="32" t="s">
        <v>20</v>
      </c>
      <c r="F323" s="33">
        <v>2</v>
      </c>
      <c r="K323" s="34">
        <f>((Table9[[#This Row],[SPOT PTS]]/2)*15)-65</f>
        <v>610</v>
      </c>
      <c r="L323" s="34">
        <f t="shared" si="9"/>
        <v>12182.5</v>
      </c>
    </row>
    <row r="324" spans="1:12" ht="16.2" customHeight="1" thickBot="1" x14ac:dyDescent="0.35">
      <c r="A324" s="16">
        <v>23</v>
      </c>
      <c r="B324" s="17">
        <v>0.47916666666666669</v>
      </c>
      <c r="C324" s="18" t="s">
        <v>50</v>
      </c>
      <c r="D324" s="18">
        <v>165</v>
      </c>
      <c r="E324" s="18" t="s">
        <v>21</v>
      </c>
      <c r="F324" s="19">
        <v>1</v>
      </c>
      <c r="K324" s="34">
        <f>((Table9[[#This Row],[SPOT PTS]]/2)*15)-65</f>
        <v>1172.5</v>
      </c>
      <c r="L324" s="34">
        <f t="shared" si="9"/>
        <v>13355</v>
      </c>
    </row>
    <row r="325" spans="1:12" ht="16.2" customHeight="1" x14ac:dyDescent="0.3">
      <c r="A325" s="10">
        <v>26</v>
      </c>
      <c r="B325" s="11">
        <v>0.4861111111111111</v>
      </c>
      <c r="C325" s="12" t="s">
        <v>48</v>
      </c>
      <c r="D325" s="12">
        <v>-53</v>
      </c>
      <c r="E325" s="12" t="s">
        <v>22</v>
      </c>
      <c r="F325" s="13">
        <v>1</v>
      </c>
      <c r="K325" s="34">
        <f>((Table9[[#This Row],[SPOT PTS]]/2)*15)-65</f>
        <v>-462.5</v>
      </c>
      <c r="L325" s="34">
        <f t="shared" si="9"/>
        <v>12892.5</v>
      </c>
    </row>
    <row r="326" spans="1:12" ht="16.2" customHeight="1" x14ac:dyDescent="0.3">
      <c r="A326" s="27">
        <v>26</v>
      </c>
      <c r="B326" s="28">
        <v>0.51388888888888895</v>
      </c>
      <c r="C326" s="1" t="s">
        <v>48</v>
      </c>
      <c r="D326" s="1">
        <v>-58</v>
      </c>
      <c r="E326" s="1" t="s">
        <v>22</v>
      </c>
      <c r="F326" s="29">
        <v>2</v>
      </c>
      <c r="K326" s="34">
        <f>((Table9[[#This Row],[SPOT PTS]]/2)*15)-65</f>
        <v>-500</v>
      </c>
      <c r="L326" s="34">
        <f t="shared" si="9"/>
        <v>12392.5</v>
      </c>
    </row>
    <row r="327" spans="1:12" ht="16.2" customHeight="1" thickBot="1" x14ac:dyDescent="0.35">
      <c r="A327" s="30">
        <v>26</v>
      </c>
      <c r="B327" s="31">
        <v>0.10416666666666667</v>
      </c>
      <c r="C327" s="32" t="s">
        <v>50</v>
      </c>
      <c r="D327" s="32">
        <v>161</v>
      </c>
      <c r="E327" s="32" t="s">
        <v>22</v>
      </c>
      <c r="F327" s="33">
        <v>2</v>
      </c>
      <c r="K327" s="34">
        <f>((Table9[[#This Row],[SPOT PTS]]/2)*15)-65</f>
        <v>1142.5</v>
      </c>
      <c r="L327" s="34">
        <f t="shared" si="9"/>
        <v>13535</v>
      </c>
    </row>
    <row r="328" spans="1:12" ht="16.2" customHeight="1" thickBot="1" x14ac:dyDescent="0.35">
      <c r="A328" s="16">
        <v>27</v>
      </c>
      <c r="B328" s="17">
        <v>0.39930555555555558</v>
      </c>
      <c r="C328" s="18" t="s">
        <v>50</v>
      </c>
      <c r="D328" s="18">
        <v>291</v>
      </c>
      <c r="E328" s="18" t="s">
        <v>23</v>
      </c>
      <c r="F328" s="19">
        <v>1</v>
      </c>
      <c r="K328" s="34">
        <f>((Table9[[#This Row],[SPOT PTS]]/2)*15)-65</f>
        <v>2117.5</v>
      </c>
      <c r="L328" s="34">
        <f t="shared" si="9"/>
        <v>15652.5</v>
      </c>
    </row>
    <row r="329" spans="1:12" ht="16.2" customHeight="1" x14ac:dyDescent="0.3">
      <c r="A329" s="10">
        <v>28</v>
      </c>
      <c r="B329" s="11">
        <v>0.41666666666666669</v>
      </c>
      <c r="C329" s="12" t="s">
        <v>48</v>
      </c>
      <c r="D329" s="12">
        <v>-80</v>
      </c>
      <c r="E329" s="12" t="s">
        <v>24</v>
      </c>
      <c r="F329" s="13">
        <v>1</v>
      </c>
      <c r="K329" s="34">
        <f>((Table9[[#This Row],[SPOT PTS]]/2)*15)-65</f>
        <v>-665</v>
      </c>
      <c r="L329" s="34">
        <f t="shared" si="9"/>
        <v>14987.5</v>
      </c>
    </row>
    <row r="330" spans="1:12" ht="16.2" customHeight="1" thickBot="1" x14ac:dyDescent="0.35">
      <c r="A330" s="30">
        <v>28</v>
      </c>
      <c r="B330" s="31">
        <v>0.51041666666666663</v>
      </c>
      <c r="C330" s="32" t="s">
        <v>50</v>
      </c>
      <c r="D330" s="32">
        <v>202</v>
      </c>
      <c r="E330" s="32" t="s">
        <v>24</v>
      </c>
      <c r="F330" s="33">
        <v>2</v>
      </c>
      <c r="K330" s="34">
        <f>((Table9[[#This Row],[SPOT PTS]]/2)*15)-65</f>
        <v>1450</v>
      </c>
      <c r="L330" s="34">
        <f t="shared" si="9"/>
        <v>16437.5</v>
      </c>
    </row>
    <row r="331" spans="1:12" ht="16.2" customHeight="1" x14ac:dyDescent="0.3">
      <c r="A331" s="10">
        <v>29</v>
      </c>
      <c r="B331" s="11">
        <v>0.3888888888888889</v>
      </c>
      <c r="C331" s="12" t="s">
        <v>48</v>
      </c>
      <c r="D331" s="12">
        <v>-54</v>
      </c>
      <c r="E331" s="12" t="s">
        <v>20</v>
      </c>
      <c r="F331" s="13">
        <v>1</v>
      </c>
      <c r="K331" s="34">
        <f>((Table9[[#This Row],[SPOT PTS]]/2)*15)-65</f>
        <v>-470</v>
      </c>
      <c r="L331" s="34">
        <f t="shared" si="9"/>
        <v>15967.5</v>
      </c>
    </row>
    <row r="332" spans="1:12" ht="16.2" customHeight="1" thickBot="1" x14ac:dyDescent="0.35">
      <c r="A332" s="30">
        <v>29</v>
      </c>
      <c r="B332" s="31">
        <v>0.40972222222222227</v>
      </c>
      <c r="C332" s="32" t="s">
        <v>50</v>
      </c>
      <c r="D332" s="32">
        <v>148</v>
      </c>
      <c r="E332" s="32" t="s">
        <v>20</v>
      </c>
      <c r="F332" s="33">
        <v>1</v>
      </c>
      <c r="K332" s="34">
        <f>((Table9[[#This Row],[SPOT PTS]]/2)*15)-65</f>
        <v>1045</v>
      </c>
      <c r="L332" s="34">
        <f t="shared" si="9"/>
        <v>17012.5</v>
      </c>
    </row>
    <row r="333" spans="1:12" ht="16.2" customHeight="1" x14ac:dyDescent="0.3">
      <c r="A333" s="10">
        <v>30</v>
      </c>
      <c r="B333" s="11">
        <v>0.41319444444444442</v>
      </c>
      <c r="C333" s="12" t="s">
        <v>48</v>
      </c>
      <c r="D333" s="12">
        <v>-80</v>
      </c>
      <c r="E333" s="12" t="s">
        <v>21</v>
      </c>
      <c r="F333" s="13">
        <v>1</v>
      </c>
      <c r="K333" s="34">
        <f>((Table9[[#This Row],[SPOT PTS]]/2)*15)-65</f>
        <v>-665</v>
      </c>
      <c r="L333" s="34">
        <f t="shared" si="9"/>
        <v>16347.5</v>
      </c>
    </row>
    <row r="334" spans="1:12" ht="16.2" customHeight="1" x14ac:dyDescent="0.3">
      <c r="A334" s="27">
        <v>30</v>
      </c>
      <c r="B334" s="28">
        <v>0.4548611111111111</v>
      </c>
      <c r="C334" s="1" t="s">
        <v>48</v>
      </c>
      <c r="D334" s="1">
        <v>-75</v>
      </c>
      <c r="E334" s="1" t="s">
        <v>21</v>
      </c>
      <c r="F334" s="29">
        <v>1</v>
      </c>
      <c r="K334" s="34">
        <f>((Table9[[#This Row],[SPOT PTS]]/2)*15)-65</f>
        <v>-627.5</v>
      </c>
      <c r="L334" s="34">
        <f t="shared" si="9"/>
        <v>15720</v>
      </c>
    </row>
    <row r="335" spans="1:12" ht="16.2" customHeight="1" thickBot="1" x14ac:dyDescent="0.35">
      <c r="A335" s="30">
        <v>30</v>
      </c>
      <c r="B335" s="31">
        <v>0.47569444444444442</v>
      </c>
      <c r="C335" s="32" t="s">
        <v>48</v>
      </c>
      <c r="D335" s="32">
        <v>-80</v>
      </c>
      <c r="E335" s="32" t="s">
        <v>21</v>
      </c>
      <c r="F335" s="33">
        <v>1</v>
      </c>
      <c r="K335" s="34">
        <f>((Table9[[#This Row],[SPOT PTS]]/2)*15)-65</f>
        <v>-665</v>
      </c>
      <c r="L335" s="34">
        <f t="shared" si="9"/>
        <v>15055</v>
      </c>
    </row>
    <row r="336" spans="1:12" ht="16.2" customHeight="1" x14ac:dyDescent="0.3">
      <c r="A336" s="56" t="s">
        <v>58</v>
      </c>
      <c r="B336" s="56"/>
      <c r="C336" s="56"/>
      <c r="D336" s="56"/>
      <c r="E336" s="56"/>
      <c r="F336" s="56"/>
    </row>
    <row r="337" spans="1:12" ht="16.2" customHeight="1" thickBot="1" x14ac:dyDescent="0.35">
      <c r="A337" s="25" t="s">
        <v>0</v>
      </c>
      <c r="B337" s="20" t="s">
        <v>1</v>
      </c>
      <c r="C337" s="20" t="s">
        <v>3</v>
      </c>
      <c r="D337" s="20" t="s">
        <v>2</v>
      </c>
      <c r="E337" s="20" t="s">
        <v>4</v>
      </c>
      <c r="F337" s="26" t="s">
        <v>47</v>
      </c>
      <c r="H337" s="3" t="s">
        <v>5</v>
      </c>
      <c r="I337" s="3">
        <f>COUNT(Table10[RANGE])</f>
        <v>38</v>
      </c>
      <c r="L337" s="34">
        <v>10000</v>
      </c>
    </row>
    <row r="338" spans="1:12" ht="16.2" customHeight="1" thickBot="1" x14ac:dyDescent="0.35">
      <c r="A338" s="16">
        <v>3</v>
      </c>
      <c r="B338" s="17">
        <v>0.47569444444444442</v>
      </c>
      <c r="C338" s="18" t="s">
        <v>50</v>
      </c>
      <c r="D338" s="18">
        <v>178</v>
      </c>
      <c r="E338" s="18" t="s">
        <v>22</v>
      </c>
      <c r="F338" s="19">
        <v>1</v>
      </c>
      <c r="H338" s="3" t="s">
        <v>6</v>
      </c>
      <c r="I338" s="5">
        <f>((COUNTIF(Table10[OUTCOME],"Target"))/I337)</f>
        <v>0.36842105263157893</v>
      </c>
      <c r="K338" s="34">
        <f>((Table10[[#This Row],[SPOT PTS]]/2)*15)-65</f>
        <v>1270</v>
      </c>
      <c r="L338" s="34">
        <f>K338+L337</f>
        <v>11270</v>
      </c>
    </row>
    <row r="339" spans="1:12" ht="16.2" customHeight="1" x14ac:dyDescent="0.3">
      <c r="A339" s="10">
        <v>4</v>
      </c>
      <c r="B339" s="11">
        <v>0.39930555555555558</v>
      </c>
      <c r="C339" s="12" t="s">
        <v>48</v>
      </c>
      <c r="D339" s="12">
        <v>-65</v>
      </c>
      <c r="E339" s="12" t="s">
        <v>23</v>
      </c>
      <c r="F339" s="13">
        <v>1</v>
      </c>
      <c r="H339" s="3" t="s">
        <v>7</v>
      </c>
      <c r="I339" s="3">
        <f>SUM(Table10[SPOT PTS])</f>
        <v>584</v>
      </c>
      <c r="K339" s="34">
        <f>((Table10[[#This Row],[SPOT PTS]]/2)*15)-65</f>
        <v>-552.5</v>
      </c>
      <c r="L339" s="34">
        <f t="shared" ref="L339:L375" si="10">K339+L338</f>
        <v>10717.5</v>
      </c>
    </row>
    <row r="340" spans="1:12" ht="16.2" customHeight="1" thickBot="1" x14ac:dyDescent="0.35">
      <c r="A340" s="30">
        <v>4</v>
      </c>
      <c r="B340" s="31">
        <v>0.4236111111111111</v>
      </c>
      <c r="C340" s="32" t="s">
        <v>50</v>
      </c>
      <c r="D340" s="32">
        <v>88</v>
      </c>
      <c r="E340" s="32" t="s">
        <v>23</v>
      </c>
      <c r="F340" s="33">
        <v>1</v>
      </c>
      <c r="H340" s="3" t="s">
        <v>8</v>
      </c>
      <c r="I340" s="3">
        <f>65*I337</f>
        <v>2470</v>
      </c>
      <c r="K340" s="34">
        <f>((Table10[[#This Row],[SPOT PTS]]/2)*15)-65</f>
        <v>595</v>
      </c>
      <c r="L340" s="34">
        <f t="shared" si="10"/>
        <v>11312.5</v>
      </c>
    </row>
    <row r="341" spans="1:12" ht="16.2" customHeight="1" x14ac:dyDescent="0.3">
      <c r="A341" s="10">
        <v>6</v>
      </c>
      <c r="B341" s="11">
        <v>0.3888888888888889</v>
      </c>
      <c r="C341" s="12" t="s">
        <v>48</v>
      </c>
      <c r="D341" s="12">
        <v>-80</v>
      </c>
      <c r="E341" s="12" t="s">
        <v>20</v>
      </c>
      <c r="F341" s="13">
        <v>1</v>
      </c>
      <c r="H341" s="3" t="s">
        <v>9</v>
      </c>
      <c r="I341" s="3">
        <f>SUMIF(Table10[OUTCOME],"Stoploss",Table10[SPOT PTS])</f>
        <v>-1279</v>
      </c>
      <c r="K341" s="34">
        <f>((Table10[[#This Row],[SPOT PTS]]/2)*15)-65</f>
        <v>-665</v>
      </c>
      <c r="L341" s="34">
        <f t="shared" si="10"/>
        <v>10647.5</v>
      </c>
    </row>
    <row r="342" spans="1:12" ht="16.2" customHeight="1" x14ac:dyDescent="0.3">
      <c r="A342" s="27">
        <v>6</v>
      </c>
      <c r="B342" s="28">
        <v>0.46527777777777773</v>
      </c>
      <c r="C342" s="1" t="s">
        <v>48</v>
      </c>
      <c r="D342" s="1">
        <v>-37</v>
      </c>
      <c r="E342" s="1" t="s">
        <v>20</v>
      </c>
      <c r="F342" s="29">
        <v>1</v>
      </c>
      <c r="H342" s="3" t="s">
        <v>10</v>
      </c>
      <c r="I342" s="3">
        <f>SUMIF(Table10[OUTCOME],"Target",Table10[SPOT PTS])</f>
        <v>1863</v>
      </c>
      <c r="K342" s="34">
        <f>((Table10[[#This Row],[SPOT PTS]]/2)*15)-65</f>
        <v>-342.5</v>
      </c>
      <c r="L342" s="34">
        <f t="shared" si="10"/>
        <v>10305</v>
      </c>
    </row>
    <row r="343" spans="1:12" ht="16.2" customHeight="1" thickBot="1" x14ac:dyDescent="0.35">
      <c r="A343" s="30">
        <v>6</v>
      </c>
      <c r="B343" s="31">
        <v>4.5138888888888888E-2</v>
      </c>
      <c r="C343" s="32" t="s">
        <v>50</v>
      </c>
      <c r="D343" s="32">
        <v>117</v>
      </c>
      <c r="E343" s="32" t="s">
        <v>20</v>
      </c>
      <c r="F343" s="33">
        <v>2</v>
      </c>
      <c r="H343" s="3" t="s">
        <v>11</v>
      </c>
      <c r="I343" s="5">
        <f>I344/10000</f>
        <v>0.191</v>
      </c>
      <c r="K343" s="34">
        <f>((Table10[[#This Row],[SPOT PTS]]/2)*15)-65</f>
        <v>812.5</v>
      </c>
      <c r="L343" s="34">
        <f t="shared" si="10"/>
        <v>11117.5</v>
      </c>
    </row>
    <row r="344" spans="1:12" ht="16.2" customHeight="1" thickBot="1" x14ac:dyDescent="0.35">
      <c r="A344" s="16">
        <v>7</v>
      </c>
      <c r="B344" s="17">
        <v>0.53472222222222221</v>
      </c>
      <c r="C344" s="18" t="s">
        <v>50</v>
      </c>
      <c r="D344" s="18">
        <v>85</v>
      </c>
      <c r="E344" s="18" t="s">
        <v>21</v>
      </c>
      <c r="F344" s="19">
        <v>2</v>
      </c>
      <c r="H344" s="3" t="s">
        <v>12</v>
      </c>
      <c r="I344" s="49">
        <f>((I339/2)*15)-I340</f>
        <v>1910</v>
      </c>
      <c r="K344" s="34">
        <f>((Table10[[#This Row],[SPOT PTS]]/2)*15)-65</f>
        <v>572.5</v>
      </c>
      <c r="L344" s="34">
        <f t="shared" si="10"/>
        <v>11690</v>
      </c>
    </row>
    <row r="345" spans="1:12" ht="16.2" customHeight="1" x14ac:dyDescent="0.3">
      <c r="A345" s="10">
        <v>10</v>
      </c>
      <c r="B345" s="11">
        <v>0.44097222222222227</v>
      </c>
      <c r="C345" s="12" t="s">
        <v>48</v>
      </c>
      <c r="D345" s="12">
        <v>-46</v>
      </c>
      <c r="E345" s="12" t="s">
        <v>22</v>
      </c>
      <c r="F345" s="13">
        <v>1</v>
      </c>
      <c r="K345" s="34">
        <f>((Table10[[#This Row],[SPOT PTS]]/2)*15)-65</f>
        <v>-410</v>
      </c>
      <c r="L345" s="34">
        <f t="shared" si="10"/>
        <v>11280</v>
      </c>
    </row>
    <row r="346" spans="1:12" ht="16.2" customHeight="1" thickBot="1" x14ac:dyDescent="0.35">
      <c r="A346" s="30">
        <v>10</v>
      </c>
      <c r="B346" s="31">
        <v>0.51388888888888895</v>
      </c>
      <c r="C346" s="32" t="s">
        <v>48</v>
      </c>
      <c r="D346" s="32">
        <v>-56</v>
      </c>
      <c r="E346" s="32" t="s">
        <v>22</v>
      </c>
      <c r="F346" s="33">
        <v>1</v>
      </c>
      <c r="K346" s="34">
        <f>((Table10[[#This Row],[SPOT PTS]]/2)*15)-65</f>
        <v>-485</v>
      </c>
      <c r="L346" s="34">
        <f t="shared" si="10"/>
        <v>10795</v>
      </c>
    </row>
    <row r="347" spans="1:12" ht="16.2" customHeight="1" x14ac:dyDescent="0.3">
      <c r="A347" s="10">
        <v>11</v>
      </c>
      <c r="B347" s="11">
        <v>0.43055555555555558</v>
      </c>
      <c r="C347" s="12" t="s">
        <v>48</v>
      </c>
      <c r="D347" s="12">
        <v>-80</v>
      </c>
      <c r="E347" s="12" t="s">
        <v>23</v>
      </c>
      <c r="F347" s="13">
        <v>1</v>
      </c>
      <c r="K347" s="34">
        <f>((Table10[[#This Row],[SPOT PTS]]/2)*15)-65</f>
        <v>-665</v>
      </c>
      <c r="L347" s="34">
        <f t="shared" si="10"/>
        <v>10130</v>
      </c>
    </row>
    <row r="348" spans="1:12" ht="16.2" customHeight="1" thickBot="1" x14ac:dyDescent="0.35">
      <c r="A348" s="30">
        <v>11</v>
      </c>
      <c r="B348" s="31">
        <v>0.50694444444444442</v>
      </c>
      <c r="C348" s="32" t="s">
        <v>50</v>
      </c>
      <c r="D348" s="32">
        <v>138</v>
      </c>
      <c r="E348" s="32" t="s">
        <v>23</v>
      </c>
      <c r="F348" s="33">
        <v>2</v>
      </c>
      <c r="K348" s="34">
        <f>((Table10[[#This Row],[SPOT PTS]]/2)*15)-65</f>
        <v>970</v>
      </c>
      <c r="L348" s="34">
        <f t="shared" si="10"/>
        <v>11100</v>
      </c>
    </row>
    <row r="349" spans="1:12" ht="16.2" customHeight="1" x14ac:dyDescent="0.3">
      <c r="A349" s="10">
        <v>12</v>
      </c>
      <c r="B349" s="11">
        <v>0.39583333333333331</v>
      </c>
      <c r="C349" s="12" t="s">
        <v>48</v>
      </c>
      <c r="D349" s="12">
        <v>-70</v>
      </c>
      <c r="E349" s="12" t="s">
        <v>24</v>
      </c>
      <c r="F349" s="13">
        <v>1</v>
      </c>
      <c r="K349" s="34">
        <f>((Table10[[#This Row],[SPOT PTS]]/2)*15)-65</f>
        <v>-590</v>
      </c>
      <c r="L349" s="34">
        <f t="shared" si="10"/>
        <v>10510</v>
      </c>
    </row>
    <row r="350" spans="1:12" ht="16.2" customHeight="1" thickBot="1" x14ac:dyDescent="0.35">
      <c r="A350" s="30">
        <v>12</v>
      </c>
      <c r="B350" s="31">
        <v>0.41666666666666669</v>
      </c>
      <c r="C350" s="32" t="s">
        <v>50</v>
      </c>
      <c r="D350" s="32">
        <v>135</v>
      </c>
      <c r="E350" s="32" t="s">
        <v>24</v>
      </c>
      <c r="F350" s="33">
        <v>1</v>
      </c>
      <c r="K350" s="34">
        <f>((Table10[[#This Row],[SPOT PTS]]/2)*15)-65</f>
        <v>947.5</v>
      </c>
      <c r="L350" s="34">
        <f t="shared" si="10"/>
        <v>11457.5</v>
      </c>
    </row>
    <row r="351" spans="1:12" ht="16.2" customHeight="1" x14ac:dyDescent="0.3">
      <c r="A351" s="10">
        <v>13</v>
      </c>
      <c r="B351" s="11">
        <v>0.51736111111111105</v>
      </c>
      <c r="C351" s="12" t="s">
        <v>48</v>
      </c>
      <c r="D351" s="12">
        <v>-53</v>
      </c>
      <c r="E351" s="12" t="s">
        <v>20</v>
      </c>
      <c r="F351" s="13">
        <v>2</v>
      </c>
      <c r="K351" s="34">
        <f>((Table10[[#This Row],[SPOT PTS]]/2)*15)-65</f>
        <v>-462.5</v>
      </c>
      <c r="L351" s="34">
        <f t="shared" si="10"/>
        <v>10995</v>
      </c>
    </row>
    <row r="352" spans="1:12" ht="16.2" customHeight="1" x14ac:dyDescent="0.3">
      <c r="A352" s="27">
        <v>13</v>
      </c>
      <c r="B352" s="28">
        <v>0.59375</v>
      </c>
      <c r="C352" s="1" t="s">
        <v>48</v>
      </c>
      <c r="D352" s="1">
        <v>-31</v>
      </c>
      <c r="E352" s="1" t="s">
        <v>20</v>
      </c>
      <c r="F352" s="29">
        <v>2</v>
      </c>
      <c r="K352" s="34">
        <f>((Table10[[#This Row],[SPOT PTS]]/2)*15)-65</f>
        <v>-297.5</v>
      </c>
      <c r="L352" s="34">
        <f t="shared" si="10"/>
        <v>10697.5</v>
      </c>
    </row>
    <row r="353" spans="1:12" ht="16.2" customHeight="1" thickBot="1" x14ac:dyDescent="0.35">
      <c r="A353" s="30">
        <v>13</v>
      </c>
      <c r="B353" s="31">
        <v>0.11805555555555557</v>
      </c>
      <c r="C353" s="32" t="s">
        <v>50</v>
      </c>
      <c r="D353" s="32">
        <v>178</v>
      </c>
      <c r="E353" s="32" t="s">
        <v>20</v>
      </c>
      <c r="F353" s="33">
        <v>2</v>
      </c>
      <c r="K353" s="34">
        <f>((Table10[[#This Row],[SPOT PTS]]/2)*15)-65</f>
        <v>1270</v>
      </c>
      <c r="L353" s="34">
        <f t="shared" si="10"/>
        <v>11967.5</v>
      </c>
    </row>
    <row r="354" spans="1:12" ht="16.2" customHeight="1" x14ac:dyDescent="0.3">
      <c r="A354" s="10">
        <v>14</v>
      </c>
      <c r="B354" s="11">
        <v>0.3888888888888889</v>
      </c>
      <c r="C354" s="12" t="s">
        <v>48</v>
      </c>
      <c r="D354" s="12">
        <v>-80</v>
      </c>
      <c r="E354" s="12" t="s">
        <v>21</v>
      </c>
      <c r="F354" s="13">
        <v>1</v>
      </c>
      <c r="K354" s="34">
        <f>((Table10[[#This Row],[SPOT PTS]]/2)*15)-65</f>
        <v>-665</v>
      </c>
      <c r="L354" s="34">
        <f t="shared" si="10"/>
        <v>11302.5</v>
      </c>
    </row>
    <row r="355" spans="1:12" ht="16.2" customHeight="1" x14ac:dyDescent="0.3">
      <c r="A355" s="27">
        <v>14</v>
      </c>
      <c r="B355" s="28">
        <v>0.4861111111111111</v>
      </c>
      <c r="C355" s="1" t="s">
        <v>48</v>
      </c>
      <c r="D355" s="1">
        <v>-22</v>
      </c>
      <c r="E355" s="1" t="s">
        <v>21</v>
      </c>
      <c r="F355" s="29">
        <v>1</v>
      </c>
      <c r="K355" s="34">
        <f>((Table10[[#This Row],[SPOT PTS]]/2)*15)-65</f>
        <v>-230</v>
      </c>
      <c r="L355" s="34">
        <f t="shared" si="10"/>
        <v>11072.5</v>
      </c>
    </row>
    <row r="356" spans="1:12" ht="16.2" customHeight="1" thickBot="1" x14ac:dyDescent="0.35">
      <c r="A356" s="30">
        <v>14</v>
      </c>
      <c r="B356" s="31">
        <v>7.6388888888888895E-2</v>
      </c>
      <c r="C356" s="32" t="s">
        <v>50</v>
      </c>
      <c r="D356" s="32">
        <v>170</v>
      </c>
      <c r="E356" s="32" t="s">
        <v>21</v>
      </c>
      <c r="F356" s="33">
        <v>1</v>
      </c>
      <c r="K356" s="34">
        <f>((Table10[[#This Row],[SPOT PTS]]/2)*15)-65</f>
        <v>1210</v>
      </c>
      <c r="L356" s="34">
        <f t="shared" si="10"/>
        <v>12282.5</v>
      </c>
    </row>
    <row r="357" spans="1:12" ht="16.2" customHeight="1" x14ac:dyDescent="0.3">
      <c r="A357" s="10">
        <v>17</v>
      </c>
      <c r="B357" s="11">
        <v>0.43402777777777773</v>
      </c>
      <c r="C357" s="12" t="s">
        <v>48</v>
      </c>
      <c r="D357" s="12">
        <v>-80</v>
      </c>
      <c r="E357" s="12" t="s">
        <v>22</v>
      </c>
      <c r="F357" s="13">
        <v>1</v>
      </c>
      <c r="K357" s="34">
        <f>((Table10[[#This Row],[SPOT PTS]]/2)*15)-65</f>
        <v>-665</v>
      </c>
      <c r="L357" s="34">
        <f t="shared" si="10"/>
        <v>11617.5</v>
      </c>
    </row>
    <row r="358" spans="1:12" ht="16.2" customHeight="1" thickBot="1" x14ac:dyDescent="0.35">
      <c r="A358" s="30">
        <v>17</v>
      </c>
      <c r="B358" s="31">
        <v>0.44791666666666669</v>
      </c>
      <c r="C358" s="32" t="s">
        <v>48</v>
      </c>
      <c r="D358" s="32">
        <v>-63</v>
      </c>
      <c r="E358" s="32" t="s">
        <v>22</v>
      </c>
      <c r="F358" s="33">
        <v>1</v>
      </c>
      <c r="K358" s="34">
        <f>((Table10[[#This Row],[SPOT PTS]]/2)*15)-65</f>
        <v>-537.5</v>
      </c>
      <c r="L358" s="34">
        <f t="shared" si="10"/>
        <v>11080</v>
      </c>
    </row>
    <row r="359" spans="1:12" ht="16.2" customHeight="1" x14ac:dyDescent="0.3">
      <c r="A359" s="10">
        <v>18</v>
      </c>
      <c r="B359" s="11">
        <v>0.39583333333333331</v>
      </c>
      <c r="C359" s="12" t="s">
        <v>48</v>
      </c>
      <c r="D359" s="12">
        <v>-70</v>
      </c>
      <c r="E359" s="12" t="s">
        <v>23</v>
      </c>
      <c r="F359" s="13">
        <v>1</v>
      </c>
      <c r="K359" s="34">
        <f>((Table10[[#This Row],[SPOT PTS]]/2)*15)-65</f>
        <v>-590</v>
      </c>
      <c r="L359" s="34">
        <f t="shared" si="10"/>
        <v>10490</v>
      </c>
    </row>
    <row r="360" spans="1:12" ht="16.2" customHeight="1" x14ac:dyDescent="0.3">
      <c r="A360" s="27">
        <v>18</v>
      </c>
      <c r="B360" s="28">
        <v>0.4201388888888889</v>
      </c>
      <c r="C360" s="1" t="s">
        <v>48</v>
      </c>
      <c r="D360" s="1">
        <v>-23</v>
      </c>
      <c r="E360" s="1" t="s">
        <v>23</v>
      </c>
      <c r="F360" s="29">
        <v>1</v>
      </c>
      <c r="K360" s="34">
        <f>((Table10[[#This Row],[SPOT PTS]]/2)*15)-65</f>
        <v>-237.5</v>
      </c>
      <c r="L360" s="34">
        <f t="shared" si="10"/>
        <v>10252.5</v>
      </c>
    </row>
    <row r="361" spans="1:12" ht="16.2" customHeight="1" thickBot="1" x14ac:dyDescent="0.35">
      <c r="A361" s="30">
        <v>18</v>
      </c>
      <c r="B361" s="31">
        <v>0.44097222222222227</v>
      </c>
      <c r="C361" s="32" t="s">
        <v>50</v>
      </c>
      <c r="D361" s="32">
        <v>106</v>
      </c>
      <c r="E361" s="32" t="s">
        <v>23</v>
      </c>
      <c r="F361" s="33">
        <v>1</v>
      </c>
      <c r="K361" s="34">
        <f>((Table10[[#This Row],[SPOT PTS]]/2)*15)-65</f>
        <v>730</v>
      </c>
      <c r="L361" s="34">
        <f t="shared" si="10"/>
        <v>10982.5</v>
      </c>
    </row>
    <row r="362" spans="1:12" ht="16.2" customHeight="1" thickBot="1" x14ac:dyDescent="0.35">
      <c r="A362" s="16">
        <v>19</v>
      </c>
      <c r="B362" s="17">
        <v>0.10416666666666667</v>
      </c>
      <c r="C362" s="18" t="s">
        <v>50</v>
      </c>
      <c r="D362" s="18">
        <v>133</v>
      </c>
      <c r="E362" s="18" t="s">
        <v>24</v>
      </c>
      <c r="F362" s="19">
        <v>2</v>
      </c>
      <c r="K362" s="34">
        <f>((Table10[[#This Row],[SPOT PTS]]/2)*15)-65</f>
        <v>932.5</v>
      </c>
      <c r="L362" s="34">
        <f t="shared" si="10"/>
        <v>11915</v>
      </c>
    </row>
    <row r="363" spans="1:12" ht="16.2" customHeight="1" x14ac:dyDescent="0.3">
      <c r="A363" s="10">
        <v>20</v>
      </c>
      <c r="B363" s="11">
        <v>0.52083333333333337</v>
      </c>
      <c r="C363" s="12" t="s">
        <v>48</v>
      </c>
      <c r="D363" s="12">
        <v>-46</v>
      </c>
      <c r="E363" s="12" t="s">
        <v>20</v>
      </c>
      <c r="F363" s="13">
        <v>1</v>
      </c>
      <c r="K363" s="34">
        <f>((Table10[[#This Row],[SPOT PTS]]/2)*15)-65</f>
        <v>-410</v>
      </c>
      <c r="L363" s="34">
        <f t="shared" si="10"/>
        <v>11505</v>
      </c>
    </row>
    <row r="364" spans="1:12" ht="16.2" customHeight="1" x14ac:dyDescent="0.3">
      <c r="A364" s="27">
        <v>20</v>
      </c>
      <c r="B364" s="28">
        <v>0.53472222222222221</v>
      </c>
      <c r="C364" s="1" t="s">
        <v>48</v>
      </c>
      <c r="D364" s="1">
        <v>-18</v>
      </c>
      <c r="E364" s="1" t="s">
        <v>20</v>
      </c>
      <c r="F364" s="29">
        <v>2</v>
      </c>
      <c r="K364" s="34">
        <f>((Table10[[#This Row],[SPOT PTS]]/2)*15)-65</f>
        <v>-200</v>
      </c>
      <c r="L364" s="34">
        <f t="shared" si="10"/>
        <v>11305</v>
      </c>
    </row>
    <row r="365" spans="1:12" ht="16.2" customHeight="1" thickBot="1" x14ac:dyDescent="0.35">
      <c r="A365" s="30">
        <v>20</v>
      </c>
      <c r="B365" s="31">
        <v>0.10069444444444443</v>
      </c>
      <c r="C365" s="32" t="s">
        <v>48</v>
      </c>
      <c r="D365" s="32">
        <v>-34</v>
      </c>
      <c r="E365" s="32" t="s">
        <v>20</v>
      </c>
      <c r="F365" s="33">
        <v>2</v>
      </c>
      <c r="K365" s="34">
        <f>((Table10[[#This Row],[SPOT PTS]]/2)*15)-65</f>
        <v>-320</v>
      </c>
      <c r="L365" s="34">
        <f t="shared" si="10"/>
        <v>10985</v>
      </c>
    </row>
    <row r="366" spans="1:12" ht="16.2" customHeight="1" x14ac:dyDescent="0.3">
      <c r="A366" s="10">
        <v>21</v>
      </c>
      <c r="B366" s="11">
        <v>0.40625</v>
      </c>
      <c r="C366" s="12" t="s">
        <v>48</v>
      </c>
      <c r="D366" s="12">
        <v>-57</v>
      </c>
      <c r="E366" s="12" t="s">
        <v>21</v>
      </c>
      <c r="F366" s="13">
        <v>1</v>
      </c>
      <c r="K366" s="34">
        <f>((Table10[[#This Row],[SPOT PTS]]/2)*15)-65</f>
        <v>-492.5</v>
      </c>
      <c r="L366" s="34">
        <f t="shared" si="10"/>
        <v>10492.5</v>
      </c>
    </row>
    <row r="367" spans="1:12" ht="16.2" customHeight="1" x14ac:dyDescent="0.3">
      <c r="A367" s="27">
        <v>21</v>
      </c>
      <c r="B367" s="28">
        <v>0.42708333333333331</v>
      </c>
      <c r="C367" s="1" t="s">
        <v>48</v>
      </c>
      <c r="D367" s="1">
        <v>-41</v>
      </c>
      <c r="E367" s="1" t="s">
        <v>21</v>
      </c>
      <c r="F367" s="29">
        <v>1</v>
      </c>
      <c r="K367" s="34">
        <f>((Table10[[#This Row],[SPOT PTS]]/2)*15)-65</f>
        <v>-372.5</v>
      </c>
      <c r="L367" s="34">
        <f t="shared" si="10"/>
        <v>10120</v>
      </c>
    </row>
    <row r="368" spans="1:12" ht="16.2" customHeight="1" thickBot="1" x14ac:dyDescent="0.35">
      <c r="A368" s="30">
        <v>21</v>
      </c>
      <c r="B368" s="31">
        <v>0.48958333333333331</v>
      </c>
      <c r="C368" s="32" t="s">
        <v>48</v>
      </c>
      <c r="D368" s="32">
        <v>-32</v>
      </c>
      <c r="E368" s="32" t="s">
        <v>21</v>
      </c>
      <c r="F368" s="33">
        <v>1</v>
      </c>
      <c r="K368" s="34">
        <f>((Table10[[#This Row],[SPOT PTS]]/2)*15)-65</f>
        <v>-305</v>
      </c>
      <c r="L368" s="34">
        <f t="shared" si="10"/>
        <v>9815</v>
      </c>
    </row>
    <row r="369" spans="1:12" ht="16.2" customHeight="1" x14ac:dyDescent="0.3">
      <c r="A369" s="10">
        <v>25</v>
      </c>
      <c r="B369" s="11">
        <v>0.3888888888888889</v>
      </c>
      <c r="C369" s="12" t="s">
        <v>48</v>
      </c>
      <c r="D369" s="12">
        <v>-80</v>
      </c>
      <c r="E369" s="12" t="s">
        <v>23</v>
      </c>
      <c r="F369" s="13">
        <v>1</v>
      </c>
      <c r="K369" s="34">
        <f>((Table10[[#This Row],[SPOT PTS]]/2)*15)-65</f>
        <v>-665</v>
      </c>
      <c r="L369" s="34">
        <f t="shared" si="10"/>
        <v>9150</v>
      </c>
    </row>
    <row r="370" spans="1:12" ht="16.2" customHeight="1" thickBot="1" x14ac:dyDescent="0.35">
      <c r="A370" s="30">
        <v>25</v>
      </c>
      <c r="B370" s="31">
        <v>0.4236111111111111</v>
      </c>
      <c r="C370" s="32" t="s">
        <v>50</v>
      </c>
      <c r="D370" s="32">
        <v>117</v>
      </c>
      <c r="E370" s="32" t="s">
        <v>23</v>
      </c>
      <c r="F370" s="33">
        <v>1</v>
      </c>
      <c r="K370" s="34">
        <f>((Table10[[#This Row],[SPOT PTS]]/2)*15)-65</f>
        <v>812.5</v>
      </c>
      <c r="L370" s="34">
        <f t="shared" si="10"/>
        <v>9962.5</v>
      </c>
    </row>
    <row r="371" spans="1:12" ht="16.2" customHeight="1" x14ac:dyDescent="0.3">
      <c r="A371" s="10">
        <v>27</v>
      </c>
      <c r="B371" s="11">
        <v>0.40625</v>
      </c>
      <c r="C371" s="12" t="s">
        <v>48</v>
      </c>
      <c r="D371" s="12">
        <v>-35</v>
      </c>
      <c r="E371" s="12" t="s">
        <v>20</v>
      </c>
      <c r="F371" s="13">
        <v>1</v>
      </c>
      <c r="K371" s="34">
        <f>((Table10[[#This Row],[SPOT PTS]]/2)*15)-65</f>
        <v>-327.5</v>
      </c>
      <c r="L371" s="34">
        <f t="shared" si="10"/>
        <v>9635</v>
      </c>
    </row>
    <row r="372" spans="1:12" ht="16.2" customHeight="1" thickBot="1" x14ac:dyDescent="0.35">
      <c r="A372" s="30">
        <v>27</v>
      </c>
      <c r="B372" s="31">
        <v>0.4375</v>
      </c>
      <c r="C372" s="32" t="s">
        <v>50</v>
      </c>
      <c r="D372" s="32">
        <v>97</v>
      </c>
      <c r="E372" s="32" t="s">
        <v>20</v>
      </c>
      <c r="F372" s="33">
        <v>1</v>
      </c>
      <c r="K372" s="34">
        <f>((Table10[[#This Row],[SPOT PTS]]/2)*15)-65</f>
        <v>662.5</v>
      </c>
      <c r="L372" s="34">
        <f t="shared" si="10"/>
        <v>10297.5</v>
      </c>
    </row>
    <row r="373" spans="1:12" ht="16.2" customHeight="1" thickBot="1" x14ac:dyDescent="0.35">
      <c r="A373" s="16">
        <v>28</v>
      </c>
      <c r="B373" s="17">
        <v>0.39583333333333331</v>
      </c>
      <c r="C373" s="18" t="s">
        <v>50</v>
      </c>
      <c r="D373" s="18">
        <v>199</v>
      </c>
      <c r="E373" s="18" t="s">
        <v>21</v>
      </c>
      <c r="F373" s="19">
        <v>1</v>
      </c>
      <c r="K373" s="34">
        <f>((Table10[[#This Row],[SPOT PTS]]/2)*15)-65</f>
        <v>1427.5</v>
      </c>
      <c r="L373" s="34">
        <f t="shared" si="10"/>
        <v>11725</v>
      </c>
    </row>
    <row r="374" spans="1:12" ht="16.2" customHeight="1" x14ac:dyDescent="0.3">
      <c r="A374" s="10">
        <v>31</v>
      </c>
      <c r="B374" s="11">
        <v>0.3888888888888889</v>
      </c>
      <c r="C374" s="12" t="s">
        <v>48</v>
      </c>
      <c r="D374" s="12">
        <v>-80</v>
      </c>
      <c r="E374" s="12" t="s">
        <v>22</v>
      </c>
      <c r="F374" s="13">
        <v>1</v>
      </c>
      <c r="K374" s="34">
        <f>((Table10[[#This Row],[SPOT PTS]]/2)*15)-65</f>
        <v>-665</v>
      </c>
      <c r="L374" s="34">
        <f t="shared" si="10"/>
        <v>11060</v>
      </c>
    </row>
    <row r="375" spans="1:12" ht="16.2" customHeight="1" thickBot="1" x14ac:dyDescent="0.35">
      <c r="A375" s="30">
        <v>31</v>
      </c>
      <c r="B375" s="31">
        <v>0.40277777777777773</v>
      </c>
      <c r="C375" s="32" t="s">
        <v>50</v>
      </c>
      <c r="D375" s="32">
        <v>122</v>
      </c>
      <c r="E375" s="32" t="s">
        <v>22</v>
      </c>
      <c r="F375" s="33">
        <v>1</v>
      </c>
      <c r="K375" s="34">
        <f>((Table10[[#This Row],[SPOT PTS]]/2)*15)-65</f>
        <v>850</v>
      </c>
      <c r="L375" s="34">
        <f t="shared" si="10"/>
        <v>11910</v>
      </c>
    </row>
    <row r="376" spans="1:12" ht="16.2" customHeight="1" x14ac:dyDescent="0.3">
      <c r="A376" s="56" t="s">
        <v>59</v>
      </c>
      <c r="B376" s="56"/>
      <c r="C376" s="56"/>
      <c r="D376" s="56"/>
      <c r="E376" s="56"/>
      <c r="F376" s="56"/>
    </row>
    <row r="377" spans="1:12" ht="16.2" customHeight="1" thickBot="1" x14ac:dyDescent="0.35">
      <c r="A377" s="25" t="s">
        <v>0</v>
      </c>
      <c r="B377" s="20" t="s">
        <v>1</v>
      </c>
      <c r="C377" s="20" t="s">
        <v>3</v>
      </c>
      <c r="D377" s="20" t="s">
        <v>2</v>
      </c>
      <c r="E377" s="20" t="s">
        <v>4</v>
      </c>
      <c r="F377" s="26" t="s">
        <v>47</v>
      </c>
      <c r="H377" s="3" t="s">
        <v>5</v>
      </c>
      <c r="I377" s="3">
        <f>COUNT(Table11[RANGE])</f>
        <v>29</v>
      </c>
      <c r="L377" s="34">
        <v>10000</v>
      </c>
    </row>
    <row r="378" spans="1:12" ht="16.2" customHeight="1" x14ac:dyDescent="0.3">
      <c r="A378" s="10">
        <v>1</v>
      </c>
      <c r="B378" s="11">
        <v>0.3888888888888889</v>
      </c>
      <c r="C378" s="12" t="s">
        <v>48</v>
      </c>
      <c r="D378" s="12">
        <v>-80</v>
      </c>
      <c r="E378" s="12" t="s">
        <v>23</v>
      </c>
      <c r="F378" s="13">
        <v>1</v>
      </c>
      <c r="H378" s="3" t="s">
        <v>6</v>
      </c>
      <c r="I378" s="5">
        <f>((COUNTIF(Table11[OUTCOME],"Target"))/I377)</f>
        <v>0.37931034482758619</v>
      </c>
      <c r="K378" s="34">
        <f>((Table11[[#This Row],[SPOT PTS]]/2)*15)-65</f>
        <v>-665</v>
      </c>
      <c r="L378" s="34">
        <f>K378+L377</f>
        <v>9335</v>
      </c>
    </row>
    <row r="379" spans="1:12" ht="16.2" customHeight="1" thickBot="1" x14ac:dyDescent="0.35">
      <c r="A379" s="30">
        <v>1</v>
      </c>
      <c r="B379" s="31">
        <v>0.41319444444444442</v>
      </c>
      <c r="C379" s="32" t="s">
        <v>50</v>
      </c>
      <c r="D379" s="32">
        <v>125</v>
      </c>
      <c r="E379" s="32" t="s">
        <v>23</v>
      </c>
      <c r="F379" s="33">
        <v>1</v>
      </c>
      <c r="H379" s="3" t="s">
        <v>7</v>
      </c>
      <c r="I379" s="3">
        <f>SUM(Table11[SPOT PTS])</f>
        <v>696</v>
      </c>
      <c r="K379" s="34">
        <f>((Table11[[#This Row],[SPOT PTS]]/2)*15)-65</f>
        <v>872.5</v>
      </c>
      <c r="L379" s="34">
        <f t="shared" ref="L379:L406" si="11">K379+L378</f>
        <v>10207.5</v>
      </c>
    </row>
    <row r="380" spans="1:12" ht="16.2" customHeight="1" thickBot="1" x14ac:dyDescent="0.35">
      <c r="A380" s="16">
        <v>2</v>
      </c>
      <c r="B380" s="17">
        <v>0.40972222222222227</v>
      </c>
      <c r="C380" s="18" t="s">
        <v>48</v>
      </c>
      <c r="D380" s="18">
        <v>-47</v>
      </c>
      <c r="E380" s="18" t="s">
        <v>24</v>
      </c>
      <c r="F380" s="19">
        <v>1</v>
      </c>
      <c r="H380" s="3" t="s">
        <v>8</v>
      </c>
      <c r="I380" s="3">
        <f>65*I377</f>
        <v>1885</v>
      </c>
      <c r="K380" s="34">
        <f>((Table11[[#This Row],[SPOT PTS]]/2)*15)-65</f>
        <v>-417.5</v>
      </c>
      <c r="L380" s="34">
        <f t="shared" si="11"/>
        <v>9790</v>
      </c>
    </row>
    <row r="381" spans="1:12" ht="16.2" customHeight="1" x14ac:dyDescent="0.3">
      <c r="A381" s="10">
        <v>3</v>
      </c>
      <c r="B381" s="11">
        <v>0.40277777777777773</v>
      </c>
      <c r="C381" s="12" t="s">
        <v>48</v>
      </c>
      <c r="D381" s="12">
        <v>-80</v>
      </c>
      <c r="E381" s="12" t="s">
        <v>20</v>
      </c>
      <c r="F381" s="13">
        <v>1</v>
      </c>
      <c r="H381" s="3" t="s">
        <v>9</v>
      </c>
      <c r="I381" s="3">
        <f>SUMIF(Table11[OUTCOME],"Stoploss",Table11[SPOT PTS])</f>
        <v>-797</v>
      </c>
      <c r="K381" s="34">
        <f>((Table11[[#This Row],[SPOT PTS]]/2)*15)-65</f>
        <v>-665</v>
      </c>
      <c r="L381" s="34">
        <f t="shared" si="11"/>
        <v>9125</v>
      </c>
    </row>
    <row r="382" spans="1:12" ht="16.2" customHeight="1" x14ac:dyDescent="0.3">
      <c r="A382" s="27">
        <v>3</v>
      </c>
      <c r="B382" s="28">
        <v>0.43055555555555558</v>
      </c>
      <c r="C382" s="1" t="s">
        <v>48</v>
      </c>
      <c r="D382" s="1">
        <v>-44</v>
      </c>
      <c r="E382" s="1" t="s">
        <v>20</v>
      </c>
      <c r="F382" s="29">
        <v>1</v>
      </c>
      <c r="H382" s="3" t="s">
        <v>10</v>
      </c>
      <c r="I382" s="3">
        <f>SUMIF(Table11[OUTCOME],"Target",Table11[SPOT PTS])</f>
        <v>1493</v>
      </c>
      <c r="K382" s="34">
        <f>((Table11[[#This Row],[SPOT PTS]]/2)*15)-65</f>
        <v>-395</v>
      </c>
      <c r="L382" s="34">
        <f t="shared" si="11"/>
        <v>8730</v>
      </c>
    </row>
    <row r="383" spans="1:12" ht="16.2" customHeight="1" thickBot="1" x14ac:dyDescent="0.35">
      <c r="A383" s="30">
        <v>3</v>
      </c>
      <c r="B383" s="31">
        <v>7.2916666666666671E-2</v>
      </c>
      <c r="C383" s="32" t="s">
        <v>50</v>
      </c>
      <c r="D383" s="32">
        <v>120</v>
      </c>
      <c r="E383" s="32" t="s">
        <v>20</v>
      </c>
      <c r="F383" s="33">
        <v>2</v>
      </c>
      <c r="H383" s="3" t="s">
        <v>11</v>
      </c>
      <c r="I383" s="5">
        <f>I384/10000</f>
        <v>0.33350000000000002</v>
      </c>
      <c r="K383" s="34">
        <f>((Table11[[#This Row],[SPOT PTS]]/2)*15)-65</f>
        <v>835</v>
      </c>
      <c r="L383" s="34">
        <f t="shared" si="11"/>
        <v>9565</v>
      </c>
    </row>
    <row r="384" spans="1:12" ht="16.2" customHeight="1" thickBot="1" x14ac:dyDescent="0.35">
      <c r="A384" s="16">
        <v>4</v>
      </c>
      <c r="B384" s="17">
        <v>0.39930555555555558</v>
      </c>
      <c r="C384" s="18" t="s">
        <v>50</v>
      </c>
      <c r="D384" s="18">
        <v>248</v>
      </c>
      <c r="E384" s="18" t="s">
        <v>21</v>
      </c>
      <c r="F384" s="19">
        <v>1</v>
      </c>
      <c r="H384" s="3" t="s">
        <v>12</v>
      </c>
      <c r="I384" s="49">
        <f>(((I379/2)*15)-I380)</f>
        <v>3335</v>
      </c>
      <c r="K384" s="34">
        <f>((Table11[[#This Row],[SPOT PTS]]/2)*15)-65</f>
        <v>1795</v>
      </c>
      <c r="L384" s="34">
        <f t="shared" si="11"/>
        <v>11360</v>
      </c>
    </row>
    <row r="385" spans="1:12" ht="16.2" customHeight="1" thickBot="1" x14ac:dyDescent="0.35">
      <c r="A385" s="16">
        <v>7</v>
      </c>
      <c r="B385" s="17">
        <v>0.39930555555555558</v>
      </c>
      <c r="C385" s="18" t="s">
        <v>50</v>
      </c>
      <c r="D385" s="18">
        <v>198</v>
      </c>
      <c r="E385" s="18" t="s">
        <v>22</v>
      </c>
      <c r="F385" s="19">
        <v>1</v>
      </c>
      <c r="K385" s="34">
        <f>((Table11[[#This Row],[SPOT PTS]]/2)*15)-65</f>
        <v>1420</v>
      </c>
      <c r="L385" s="34">
        <f t="shared" si="11"/>
        <v>12780</v>
      </c>
    </row>
    <row r="386" spans="1:12" ht="16.2" customHeight="1" thickBot="1" x14ac:dyDescent="0.35">
      <c r="A386" s="16">
        <v>9</v>
      </c>
      <c r="B386" s="17">
        <v>0.4513888888888889</v>
      </c>
      <c r="C386" s="18" t="s">
        <v>50</v>
      </c>
      <c r="D386" s="18">
        <v>103</v>
      </c>
      <c r="E386" s="18" t="s">
        <v>24</v>
      </c>
      <c r="F386" s="19">
        <v>1</v>
      </c>
      <c r="K386" s="34">
        <f>((Table11[[#This Row],[SPOT PTS]]/2)*15)-65</f>
        <v>707.5</v>
      </c>
      <c r="L386" s="34">
        <f t="shared" si="11"/>
        <v>13487.5</v>
      </c>
    </row>
    <row r="387" spans="1:12" ht="16.2" customHeight="1" x14ac:dyDescent="0.3">
      <c r="A387" s="10">
        <v>11</v>
      </c>
      <c r="B387" s="11">
        <v>0.40277777777777773</v>
      </c>
      <c r="C387" s="12" t="s">
        <v>48</v>
      </c>
      <c r="D387" s="12">
        <v>-62</v>
      </c>
      <c r="E387" s="12" t="s">
        <v>21</v>
      </c>
      <c r="F387" s="13">
        <v>1</v>
      </c>
      <c r="K387" s="34">
        <f>((Table11[[#This Row],[SPOT PTS]]/2)*15)-65</f>
        <v>-530</v>
      </c>
      <c r="L387" s="34">
        <f t="shared" si="11"/>
        <v>12957.5</v>
      </c>
    </row>
    <row r="388" spans="1:12" ht="16.2" customHeight="1" x14ac:dyDescent="0.3">
      <c r="A388" s="27">
        <v>11</v>
      </c>
      <c r="B388" s="28">
        <v>0.41319444444444442</v>
      </c>
      <c r="C388" s="1" t="s">
        <v>48</v>
      </c>
      <c r="D388" s="1">
        <v>-54</v>
      </c>
      <c r="E388" s="1" t="s">
        <v>21</v>
      </c>
      <c r="F388" s="29">
        <v>1</v>
      </c>
      <c r="K388" s="34">
        <f>((Table11[[#This Row],[SPOT PTS]]/2)*15)-65</f>
        <v>-470</v>
      </c>
      <c r="L388" s="34">
        <f t="shared" si="11"/>
        <v>12487.5</v>
      </c>
    </row>
    <row r="389" spans="1:12" ht="16.2" customHeight="1" thickBot="1" x14ac:dyDescent="0.35">
      <c r="A389" s="30">
        <v>11</v>
      </c>
      <c r="B389" s="31">
        <v>0.4201388888888889</v>
      </c>
      <c r="C389" s="32" t="s">
        <v>48</v>
      </c>
      <c r="D389" s="32">
        <v>-42</v>
      </c>
      <c r="E389" s="32" t="s">
        <v>21</v>
      </c>
      <c r="F389" s="33">
        <v>1</v>
      </c>
      <c r="K389" s="34">
        <f>((Table11[[#This Row],[SPOT PTS]]/2)*15)-65</f>
        <v>-380</v>
      </c>
      <c r="L389" s="34">
        <f t="shared" si="11"/>
        <v>12107.5</v>
      </c>
    </row>
    <row r="390" spans="1:12" ht="16.2" customHeight="1" thickBot="1" x14ac:dyDescent="0.35">
      <c r="A390" s="10">
        <v>14</v>
      </c>
      <c r="B390" s="11">
        <v>9.7222222222222224E-2</v>
      </c>
      <c r="C390" s="12" t="s">
        <v>50</v>
      </c>
      <c r="D390" s="12">
        <v>82</v>
      </c>
      <c r="E390" s="12" t="s">
        <v>22</v>
      </c>
      <c r="F390" s="13">
        <v>2</v>
      </c>
      <c r="K390" s="34">
        <f>((Table11[[#This Row],[SPOT PTS]]/2)*15)-65</f>
        <v>550</v>
      </c>
      <c r="L390" s="34">
        <f t="shared" si="11"/>
        <v>12657.5</v>
      </c>
    </row>
    <row r="391" spans="1:12" ht="16.2" customHeight="1" thickBot="1" x14ac:dyDescent="0.35">
      <c r="A391" s="16">
        <v>15</v>
      </c>
      <c r="B391" s="17">
        <v>0.3888888888888889</v>
      </c>
      <c r="C391" s="18" t="s">
        <v>48</v>
      </c>
      <c r="D391" s="18">
        <v>-80</v>
      </c>
      <c r="E391" s="18" t="s">
        <v>23</v>
      </c>
      <c r="F391" s="19">
        <v>1</v>
      </c>
      <c r="K391" s="34">
        <f>((Table11[[#This Row],[SPOT PTS]]/2)*15)-65</f>
        <v>-665</v>
      </c>
      <c r="L391" s="34">
        <f t="shared" si="11"/>
        <v>11992.5</v>
      </c>
    </row>
    <row r="392" spans="1:12" ht="16.2" customHeight="1" x14ac:dyDescent="0.3">
      <c r="A392" s="10">
        <v>16</v>
      </c>
      <c r="B392" s="11">
        <v>0.43055555555555558</v>
      </c>
      <c r="C392" s="12" t="s">
        <v>48</v>
      </c>
      <c r="D392" s="12">
        <v>-35</v>
      </c>
      <c r="E392" s="12" t="s">
        <v>24</v>
      </c>
      <c r="F392" s="13">
        <v>1</v>
      </c>
      <c r="K392" s="34">
        <f>((Table11[[#This Row],[SPOT PTS]]/2)*15)-65</f>
        <v>-327.5</v>
      </c>
      <c r="L392" s="34">
        <f t="shared" si="11"/>
        <v>11665</v>
      </c>
    </row>
    <row r="393" spans="1:12" ht="16.2" customHeight="1" thickBot="1" x14ac:dyDescent="0.35">
      <c r="A393" s="30">
        <v>16</v>
      </c>
      <c r="B393" s="31">
        <v>6.5972222222222224E-2</v>
      </c>
      <c r="C393" s="32" t="s">
        <v>50</v>
      </c>
      <c r="D393" s="32">
        <v>111</v>
      </c>
      <c r="E393" s="32" t="s">
        <v>24</v>
      </c>
      <c r="F393" s="33">
        <v>2</v>
      </c>
      <c r="K393" s="34">
        <f>((Table11[[#This Row],[SPOT PTS]]/2)*15)-65</f>
        <v>767.5</v>
      </c>
      <c r="L393" s="34">
        <f t="shared" si="11"/>
        <v>12432.5</v>
      </c>
    </row>
    <row r="394" spans="1:12" ht="16.2" customHeight="1" thickBot="1" x14ac:dyDescent="0.35">
      <c r="A394" s="16">
        <v>18</v>
      </c>
      <c r="B394" s="17">
        <v>0.3888888888888889</v>
      </c>
      <c r="C394" s="18" t="s">
        <v>48</v>
      </c>
      <c r="D394" s="18">
        <v>-80</v>
      </c>
      <c r="E394" s="18" t="s">
        <v>21</v>
      </c>
      <c r="F394" s="19">
        <v>1</v>
      </c>
      <c r="K394" s="34">
        <f>((Table11[[#This Row],[SPOT PTS]]/2)*15)-65</f>
        <v>-665</v>
      </c>
      <c r="L394" s="34">
        <f t="shared" si="11"/>
        <v>11767.5</v>
      </c>
    </row>
    <row r="395" spans="1:12" ht="16.2" customHeight="1" thickBot="1" x14ac:dyDescent="0.35">
      <c r="A395" s="16">
        <v>21</v>
      </c>
      <c r="B395" s="17">
        <v>0.43055555555555558</v>
      </c>
      <c r="C395" s="18" t="s">
        <v>48</v>
      </c>
      <c r="D395" s="18">
        <v>-25</v>
      </c>
      <c r="E395" s="18" t="s">
        <v>22</v>
      </c>
      <c r="F395" s="19">
        <v>1</v>
      </c>
      <c r="K395" s="34">
        <f>((Table11[[#This Row],[SPOT PTS]]/2)*15)-65</f>
        <v>-252.5</v>
      </c>
      <c r="L395" s="34">
        <f t="shared" si="11"/>
        <v>11515</v>
      </c>
    </row>
    <row r="396" spans="1:12" ht="16.2" customHeight="1" x14ac:dyDescent="0.3">
      <c r="A396" s="10">
        <v>23</v>
      </c>
      <c r="B396" s="11">
        <v>0.40277777777777773</v>
      </c>
      <c r="C396" s="12" t="s">
        <v>48</v>
      </c>
      <c r="D396" s="12">
        <v>-29</v>
      </c>
      <c r="E396" s="12" t="s">
        <v>24</v>
      </c>
      <c r="F396" s="13">
        <v>1</v>
      </c>
      <c r="K396" s="34">
        <f>((Table11[[#This Row],[SPOT PTS]]/2)*15)-65</f>
        <v>-282.5</v>
      </c>
      <c r="L396" s="34">
        <f t="shared" si="11"/>
        <v>11232.5</v>
      </c>
    </row>
    <row r="397" spans="1:12" ht="16.2" customHeight="1" x14ac:dyDescent="0.3">
      <c r="A397" s="27">
        <v>23</v>
      </c>
      <c r="B397" s="28">
        <v>0.45833333333333331</v>
      </c>
      <c r="C397" s="1" t="s">
        <v>48</v>
      </c>
      <c r="D397" s="1">
        <v>-18</v>
      </c>
      <c r="E397" s="1" t="s">
        <v>24</v>
      </c>
      <c r="F397" s="29">
        <v>1</v>
      </c>
      <c r="K397" s="34">
        <f>((Table11[[#This Row],[SPOT PTS]]/2)*15)-65</f>
        <v>-200</v>
      </c>
      <c r="L397" s="34">
        <f t="shared" si="11"/>
        <v>11032.5</v>
      </c>
    </row>
    <row r="398" spans="1:12" ht="16.2" customHeight="1" thickBot="1" x14ac:dyDescent="0.35">
      <c r="A398" s="30">
        <v>23</v>
      </c>
      <c r="B398" s="31">
        <v>5.9027777777777783E-2</v>
      </c>
      <c r="C398" s="32" t="s">
        <v>48</v>
      </c>
      <c r="D398" s="32">
        <v>-16</v>
      </c>
      <c r="E398" s="32" t="s">
        <v>24</v>
      </c>
      <c r="F398" s="33">
        <v>2</v>
      </c>
      <c r="K398" s="34">
        <f>((Table11[[#This Row],[SPOT PTS]]/2)*15)-65</f>
        <v>-185</v>
      </c>
      <c r="L398" s="34">
        <f t="shared" si="11"/>
        <v>10847.5</v>
      </c>
    </row>
    <row r="399" spans="1:12" ht="16.2" customHeight="1" x14ac:dyDescent="0.3">
      <c r="A399" s="10">
        <v>24</v>
      </c>
      <c r="B399" s="11">
        <v>0.40972222222222227</v>
      </c>
      <c r="C399" s="12" t="s">
        <v>48</v>
      </c>
      <c r="D399" s="12">
        <v>-37</v>
      </c>
      <c r="E399" s="12" t="s">
        <v>20</v>
      </c>
      <c r="F399" s="13">
        <v>1</v>
      </c>
      <c r="K399" s="34">
        <f>((Table11[[#This Row],[SPOT PTS]]/2)*15)-65</f>
        <v>-342.5</v>
      </c>
      <c r="L399" s="34">
        <f t="shared" si="11"/>
        <v>10505</v>
      </c>
    </row>
    <row r="400" spans="1:12" ht="16.2" customHeight="1" thickBot="1" x14ac:dyDescent="0.35">
      <c r="A400" s="30">
        <v>24</v>
      </c>
      <c r="B400" s="31">
        <v>4.1666666666666664E-2</v>
      </c>
      <c r="C400" s="32" t="s">
        <v>50</v>
      </c>
      <c r="D400" s="32">
        <v>67</v>
      </c>
      <c r="E400" s="32" t="s">
        <v>20</v>
      </c>
      <c r="F400" s="33">
        <v>2</v>
      </c>
      <c r="K400" s="34">
        <f>((Table11[[#This Row],[SPOT PTS]]/2)*15)-65</f>
        <v>437.5</v>
      </c>
      <c r="L400" s="34">
        <f t="shared" si="11"/>
        <v>10942.5</v>
      </c>
    </row>
    <row r="401" spans="1:12" ht="16.2" customHeight="1" thickBot="1" x14ac:dyDescent="0.35">
      <c r="A401" s="16">
        <v>25</v>
      </c>
      <c r="B401" s="17">
        <v>0.39930555555555558</v>
      </c>
      <c r="C401" s="18" t="s">
        <v>50</v>
      </c>
      <c r="D401" s="18">
        <v>242</v>
      </c>
      <c r="E401" s="18" t="s">
        <v>21</v>
      </c>
      <c r="F401" s="19">
        <v>1</v>
      </c>
      <c r="K401" s="34">
        <f>((Table11[[#This Row],[SPOT PTS]]/2)*15)-65</f>
        <v>1750</v>
      </c>
      <c r="L401" s="34">
        <f t="shared" si="11"/>
        <v>12692.5</v>
      </c>
    </row>
    <row r="402" spans="1:12" ht="16.2" customHeight="1" x14ac:dyDescent="0.3">
      <c r="A402" s="10">
        <v>28</v>
      </c>
      <c r="B402" s="11">
        <v>0.4375</v>
      </c>
      <c r="C402" s="12" t="s">
        <v>48</v>
      </c>
      <c r="D402" s="12">
        <v>-28</v>
      </c>
      <c r="E402" s="12" t="s">
        <v>22</v>
      </c>
      <c r="F402" s="13">
        <v>1</v>
      </c>
      <c r="K402" s="34">
        <f>((Table11[[#This Row],[SPOT PTS]]/2)*15)-65</f>
        <v>-275</v>
      </c>
      <c r="L402" s="34">
        <f t="shared" si="11"/>
        <v>12417.5</v>
      </c>
    </row>
    <row r="403" spans="1:12" ht="16.2" customHeight="1" thickBot="1" x14ac:dyDescent="0.35">
      <c r="A403" s="30">
        <v>28</v>
      </c>
      <c r="B403" s="31">
        <v>4.1666666666666664E-2</v>
      </c>
      <c r="C403" s="32" t="s">
        <v>48</v>
      </c>
      <c r="D403" s="32">
        <v>-17</v>
      </c>
      <c r="E403" s="32" t="s">
        <v>22</v>
      </c>
      <c r="F403" s="33">
        <v>2</v>
      </c>
      <c r="K403" s="34">
        <f>((Table11[[#This Row],[SPOT PTS]]/2)*15)-65</f>
        <v>-192.5</v>
      </c>
      <c r="L403" s="34">
        <f t="shared" si="11"/>
        <v>12225</v>
      </c>
    </row>
    <row r="404" spans="1:12" ht="16.2" customHeight="1" x14ac:dyDescent="0.3">
      <c r="A404" s="10">
        <v>29</v>
      </c>
      <c r="B404" s="11">
        <v>0.40625</v>
      </c>
      <c r="C404" s="12" t="s">
        <v>48</v>
      </c>
      <c r="D404" s="12">
        <v>-23</v>
      </c>
      <c r="E404" s="12" t="s">
        <v>23</v>
      </c>
      <c r="F404" s="13">
        <v>1</v>
      </c>
      <c r="K404" s="34">
        <f>((Table11[[#This Row],[SPOT PTS]]/2)*15)-65</f>
        <v>-237.5</v>
      </c>
      <c r="L404" s="34">
        <f t="shared" si="11"/>
        <v>11987.5</v>
      </c>
    </row>
    <row r="405" spans="1:12" ht="16.2" customHeight="1" thickBot="1" x14ac:dyDescent="0.35">
      <c r="A405" s="30">
        <v>29</v>
      </c>
      <c r="B405" s="31">
        <v>0.46875</v>
      </c>
      <c r="C405" s="32" t="s">
        <v>50</v>
      </c>
      <c r="D405" s="32">
        <v>83</v>
      </c>
      <c r="E405" s="32" t="s">
        <v>23</v>
      </c>
      <c r="F405" s="33">
        <v>1</v>
      </c>
      <c r="K405" s="34">
        <f>((Table11[[#This Row],[SPOT PTS]]/2)*15)-65</f>
        <v>557.5</v>
      </c>
      <c r="L405" s="34">
        <f t="shared" si="11"/>
        <v>12545</v>
      </c>
    </row>
    <row r="406" spans="1:12" ht="16.2" customHeight="1" thickBot="1" x14ac:dyDescent="0.35">
      <c r="A406" s="16">
        <v>30</v>
      </c>
      <c r="B406" s="17">
        <v>0.3923611111111111</v>
      </c>
      <c r="C406" s="18" t="s">
        <v>50</v>
      </c>
      <c r="D406" s="18">
        <v>114</v>
      </c>
      <c r="E406" s="18" t="s">
        <v>24</v>
      </c>
      <c r="F406" s="19">
        <v>1</v>
      </c>
      <c r="K406" s="34">
        <f>((Table11[[#This Row],[SPOT PTS]]/2)*15)-65</f>
        <v>790</v>
      </c>
      <c r="L406" s="34">
        <f t="shared" si="11"/>
        <v>13335</v>
      </c>
    </row>
    <row r="407" spans="1:12" ht="16.2" customHeight="1" x14ac:dyDescent="0.3">
      <c r="A407" s="56" t="s">
        <v>60</v>
      </c>
      <c r="B407" s="56"/>
      <c r="C407" s="56"/>
      <c r="D407" s="56"/>
      <c r="E407" s="56"/>
      <c r="F407" s="56"/>
    </row>
    <row r="408" spans="1:12" ht="16.2" customHeight="1" thickBot="1" x14ac:dyDescent="0.35">
      <c r="A408" s="20" t="s">
        <v>0</v>
      </c>
      <c r="B408" s="20" t="s">
        <v>1</v>
      </c>
      <c r="C408" s="20" t="s">
        <v>3</v>
      </c>
      <c r="D408" s="20" t="s">
        <v>2</v>
      </c>
      <c r="E408" s="20" t="s">
        <v>4</v>
      </c>
      <c r="F408" s="20" t="s">
        <v>47</v>
      </c>
      <c r="H408" s="3" t="s">
        <v>5</v>
      </c>
      <c r="I408" s="3">
        <f>COUNT(Table12[RANGE])</f>
        <v>28</v>
      </c>
      <c r="L408" s="34">
        <v>10000</v>
      </c>
    </row>
    <row r="409" spans="1:12" ht="16.2" customHeight="1" thickBot="1" x14ac:dyDescent="0.35">
      <c r="A409" s="18">
        <v>1</v>
      </c>
      <c r="B409" s="17">
        <v>0.3923611111111111</v>
      </c>
      <c r="C409" s="18" t="s">
        <v>50</v>
      </c>
      <c r="D409" s="18">
        <v>187</v>
      </c>
      <c r="E409" s="18" t="s">
        <v>20</v>
      </c>
      <c r="F409" s="18">
        <v>1</v>
      </c>
      <c r="H409" s="3" t="s">
        <v>6</v>
      </c>
      <c r="I409" s="5">
        <f>((COUNTIF(Table12[OUTCOME],"Target"))/I408)</f>
        <v>0.35714285714285715</v>
      </c>
      <c r="K409" s="34">
        <f>((Table12[[#This Row],[SPOT PTS]]/2)*15)-65</f>
        <v>1337.5</v>
      </c>
      <c r="L409" s="34">
        <f>K409+L408</f>
        <v>11337.5</v>
      </c>
    </row>
    <row r="410" spans="1:12" ht="16.2" customHeight="1" thickBot="1" x14ac:dyDescent="0.35">
      <c r="A410" s="18">
        <v>2</v>
      </c>
      <c r="B410" s="17">
        <v>0.53472222222222221</v>
      </c>
      <c r="C410" s="18" t="s">
        <v>48</v>
      </c>
      <c r="D410" s="18">
        <v>-13</v>
      </c>
      <c r="E410" s="18" t="s">
        <v>21</v>
      </c>
      <c r="F410" s="18">
        <v>2</v>
      </c>
      <c r="H410" s="3" t="s">
        <v>7</v>
      </c>
      <c r="I410" s="3">
        <f>SUM(Table12[SPOT PTS])</f>
        <v>1061</v>
      </c>
      <c r="K410" s="34">
        <f>((Table12[[#This Row],[SPOT PTS]]/2)*15)-65</f>
        <v>-162.5</v>
      </c>
      <c r="L410" s="34">
        <f t="shared" ref="L410:L436" si="12">K410+L409</f>
        <v>11175</v>
      </c>
    </row>
    <row r="411" spans="1:12" ht="16.2" customHeight="1" thickBot="1" x14ac:dyDescent="0.35">
      <c r="A411" s="18">
        <v>5</v>
      </c>
      <c r="B411" s="17">
        <v>0.3923611111111111</v>
      </c>
      <c r="C411" s="18" t="s">
        <v>50</v>
      </c>
      <c r="D411" s="18">
        <v>145</v>
      </c>
      <c r="E411" s="18" t="s">
        <v>22</v>
      </c>
      <c r="F411" s="18">
        <v>1</v>
      </c>
      <c r="H411" s="3" t="s">
        <v>8</v>
      </c>
      <c r="I411" s="3">
        <f>65*I408</f>
        <v>1820</v>
      </c>
      <c r="K411" s="34">
        <f>((Table12[[#This Row],[SPOT PTS]]/2)*15)-65</f>
        <v>1022.5</v>
      </c>
      <c r="L411" s="34">
        <f t="shared" si="12"/>
        <v>12197.5</v>
      </c>
    </row>
    <row r="412" spans="1:12" ht="16.2" customHeight="1" x14ac:dyDescent="0.3">
      <c r="A412" s="12">
        <v>7</v>
      </c>
      <c r="B412" s="11">
        <v>0.3923611111111111</v>
      </c>
      <c r="C412" s="12" t="s">
        <v>48</v>
      </c>
      <c r="D412" s="12">
        <v>-30</v>
      </c>
      <c r="E412" s="12" t="s">
        <v>24</v>
      </c>
      <c r="F412" s="12">
        <v>1</v>
      </c>
      <c r="H412" s="3" t="s">
        <v>9</v>
      </c>
      <c r="I412" s="3">
        <f>SUMIF(Table12[OUTCOME],"Stoploss",Table12[SPOT PTS])</f>
        <v>-658</v>
      </c>
      <c r="K412" s="34">
        <f>((Table12[[#This Row],[SPOT PTS]]/2)*15)-65</f>
        <v>-290</v>
      </c>
      <c r="L412" s="34">
        <f t="shared" si="12"/>
        <v>11907.5</v>
      </c>
    </row>
    <row r="413" spans="1:12" ht="16.2" customHeight="1" thickBot="1" x14ac:dyDescent="0.35">
      <c r="A413" s="32">
        <v>7</v>
      </c>
      <c r="B413" s="31">
        <v>0.41319444444444442</v>
      </c>
      <c r="C413" s="32" t="s">
        <v>48</v>
      </c>
      <c r="D413" s="32">
        <v>-27</v>
      </c>
      <c r="E413" s="32" t="s">
        <v>24</v>
      </c>
      <c r="F413" s="32">
        <v>1</v>
      </c>
      <c r="H413" s="3" t="s">
        <v>10</v>
      </c>
      <c r="I413" s="3">
        <f>SUMIF(Table12[OUTCOME],"Target",Table12[SPOT PTS])</f>
        <v>1719</v>
      </c>
      <c r="K413" s="34">
        <f>((Table12[[#This Row],[SPOT PTS]]/2)*15)-65</f>
        <v>-267.5</v>
      </c>
      <c r="L413" s="34">
        <f t="shared" si="12"/>
        <v>11640</v>
      </c>
    </row>
    <row r="414" spans="1:12" ht="16.2" customHeight="1" x14ac:dyDescent="0.3">
      <c r="A414" s="12">
        <v>8</v>
      </c>
      <c r="B414" s="11">
        <v>0.4201388888888889</v>
      </c>
      <c r="C414" s="12" t="s">
        <v>48</v>
      </c>
      <c r="D414" s="12">
        <v>-38</v>
      </c>
      <c r="E414" s="12" t="s">
        <v>20</v>
      </c>
      <c r="F414" s="12">
        <v>1</v>
      </c>
      <c r="H414" s="3" t="s">
        <v>11</v>
      </c>
      <c r="I414" s="5">
        <f>I415/10000</f>
        <v>0.61375000000000002</v>
      </c>
      <c r="K414" s="34">
        <f>((Table12[[#This Row],[SPOT PTS]]/2)*15)-65</f>
        <v>-350</v>
      </c>
      <c r="L414" s="34">
        <f t="shared" si="12"/>
        <v>11290</v>
      </c>
    </row>
    <row r="415" spans="1:12" ht="16.2" customHeight="1" thickBot="1" x14ac:dyDescent="0.35">
      <c r="A415" s="32">
        <v>8</v>
      </c>
      <c r="B415" s="31">
        <v>0.10069444444444443</v>
      </c>
      <c r="C415" s="32" t="s">
        <v>48</v>
      </c>
      <c r="D415" s="32">
        <v>-33</v>
      </c>
      <c r="E415" s="32" t="s">
        <v>20</v>
      </c>
      <c r="F415" s="32">
        <v>2</v>
      </c>
      <c r="H415" s="3" t="s">
        <v>12</v>
      </c>
      <c r="I415" s="49">
        <f>((I410/2)*15)-I411</f>
        <v>6137.5</v>
      </c>
      <c r="K415" s="34">
        <f>((Table12[[#This Row],[SPOT PTS]]/2)*15)-65</f>
        <v>-312.5</v>
      </c>
      <c r="L415" s="34">
        <f t="shared" si="12"/>
        <v>10977.5</v>
      </c>
    </row>
    <row r="416" spans="1:12" ht="16.2" customHeight="1" x14ac:dyDescent="0.3">
      <c r="A416" s="12">
        <v>9</v>
      </c>
      <c r="B416" s="11">
        <v>0.39583333333333331</v>
      </c>
      <c r="C416" s="12" t="s">
        <v>48</v>
      </c>
      <c r="D416" s="12">
        <v>-69</v>
      </c>
      <c r="E416" s="12" t="s">
        <v>21</v>
      </c>
      <c r="F416" s="12">
        <v>1</v>
      </c>
      <c r="K416" s="34">
        <f>((Table12[[#This Row],[SPOT PTS]]/2)*15)-65</f>
        <v>-582.5</v>
      </c>
      <c r="L416" s="34">
        <f t="shared" si="12"/>
        <v>10395</v>
      </c>
    </row>
    <row r="417" spans="1:12" ht="16.2" customHeight="1" thickBot="1" x14ac:dyDescent="0.35">
      <c r="A417" s="32">
        <v>9</v>
      </c>
      <c r="B417" s="31">
        <v>0.4236111111111111</v>
      </c>
      <c r="C417" s="32" t="s">
        <v>50</v>
      </c>
      <c r="D417" s="32">
        <v>166</v>
      </c>
      <c r="E417" s="32" t="s">
        <v>21</v>
      </c>
      <c r="F417" s="32">
        <v>1</v>
      </c>
      <c r="K417" s="34">
        <f>((Table12[[#This Row],[SPOT PTS]]/2)*15)-65</f>
        <v>1180</v>
      </c>
      <c r="L417" s="34">
        <f t="shared" si="12"/>
        <v>11575</v>
      </c>
    </row>
    <row r="418" spans="1:12" ht="16.2" customHeight="1" thickBot="1" x14ac:dyDescent="0.35">
      <c r="A418" s="18">
        <v>12</v>
      </c>
      <c r="B418" s="17">
        <v>0.4236111111111111</v>
      </c>
      <c r="C418" s="18" t="s">
        <v>48</v>
      </c>
      <c r="D418" s="18">
        <v>-58</v>
      </c>
      <c r="E418" s="18" t="s">
        <v>22</v>
      </c>
      <c r="F418" s="18">
        <v>1</v>
      </c>
      <c r="K418" s="34">
        <f>((Table12[[#This Row],[SPOT PTS]]/2)*15)-65</f>
        <v>-500</v>
      </c>
      <c r="L418" s="34">
        <f t="shared" si="12"/>
        <v>11075</v>
      </c>
    </row>
    <row r="419" spans="1:12" ht="16.2" customHeight="1" x14ac:dyDescent="0.3">
      <c r="A419" s="12">
        <v>13</v>
      </c>
      <c r="B419" s="11">
        <v>0.39930555555555558</v>
      </c>
      <c r="C419" s="12" t="s">
        <v>48</v>
      </c>
      <c r="D419" s="12">
        <v>-35</v>
      </c>
      <c r="E419" s="12" t="s">
        <v>23</v>
      </c>
      <c r="F419" s="12">
        <v>1</v>
      </c>
      <c r="K419" s="34">
        <f>((Table12[[#This Row],[SPOT PTS]]/2)*15)-65</f>
        <v>-327.5</v>
      </c>
      <c r="L419" s="34">
        <f t="shared" si="12"/>
        <v>10747.5</v>
      </c>
    </row>
    <row r="420" spans="1:12" ht="16.2" customHeight="1" thickBot="1" x14ac:dyDescent="0.35">
      <c r="A420" s="32">
        <v>13</v>
      </c>
      <c r="B420" s="31">
        <v>0.4826388888888889</v>
      </c>
      <c r="C420" s="32" t="s">
        <v>48</v>
      </c>
      <c r="D420" s="32">
        <v>-22</v>
      </c>
      <c r="E420" s="32" t="s">
        <v>23</v>
      </c>
      <c r="F420" s="32">
        <v>1</v>
      </c>
      <c r="K420" s="34">
        <f>((Table12[[#This Row],[SPOT PTS]]/2)*15)-65</f>
        <v>-230</v>
      </c>
      <c r="L420" s="34">
        <f t="shared" si="12"/>
        <v>10517.5</v>
      </c>
    </row>
    <row r="421" spans="1:12" ht="16.2" customHeight="1" thickBot="1" x14ac:dyDescent="0.35">
      <c r="A421" s="18">
        <v>14</v>
      </c>
      <c r="B421" s="17">
        <v>0.40277777777777773</v>
      </c>
      <c r="C421" s="18" t="s">
        <v>48</v>
      </c>
      <c r="D421" s="18">
        <v>-31</v>
      </c>
      <c r="E421" s="18" t="s">
        <v>24</v>
      </c>
      <c r="F421" s="18">
        <v>1</v>
      </c>
      <c r="K421" s="34">
        <f>((Table12[[#This Row],[SPOT PTS]]/2)*15)-65</f>
        <v>-297.5</v>
      </c>
      <c r="L421" s="34">
        <f t="shared" si="12"/>
        <v>10220</v>
      </c>
    </row>
    <row r="422" spans="1:12" ht="16.2" customHeight="1" thickBot="1" x14ac:dyDescent="0.35">
      <c r="A422" s="18">
        <v>15</v>
      </c>
      <c r="B422" s="17">
        <v>0.41666666666666669</v>
      </c>
      <c r="C422" s="18" t="s">
        <v>50</v>
      </c>
      <c r="D422" s="18">
        <v>120</v>
      </c>
      <c r="E422" s="18" t="s">
        <v>20</v>
      </c>
      <c r="F422" s="18">
        <v>1</v>
      </c>
      <c r="K422" s="34">
        <f>((Table12[[#This Row],[SPOT PTS]]/2)*15)-65</f>
        <v>835</v>
      </c>
      <c r="L422" s="34">
        <f t="shared" si="12"/>
        <v>11055</v>
      </c>
    </row>
    <row r="423" spans="1:12" ht="16.2" customHeight="1" x14ac:dyDescent="0.3">
      <c r="A423" s="12">
        <v>16</v>
      </c>
      <c r="B423" s="11">
        <v>0.47916666666666669</v>
      </c>
      <c r="C423" s="12" t="s">
        <v>48</v>
      </c>
      <c r="D423" s="12">
        <v>-41</v>
      </c>
      <c r="E423" s="12" t="s">
        <v>21</v>
      </c>
      <c r="F423" s="12">
        <v>1</v>
      </c>
      <c r="K423" s="34">
        <f>((Table12[[#This Row],[SPOT PTS]]/2)*15)-65</f>
        <v>-372.5</v>
      </c>
      <c r="L423" s="34">
        <f t="shared" si="12"/>
        <v>10682.5</v>
      </c>
    </row>
    <row r="424" spans="1:12" ht="16.2" customHeight="1" thickBot="1" x14ac:dyDescent="0.35">
      <c r="A424" s="32">
        <v>16</v>
      </c>
      <c r="B424" s="31">
        <v>0.53472222222222221</v>
      </c>
      <c r="C424" s="32" t="s">
        <v>50</v>
      </c>
      <c r="D424" s="32">
        <v>154</v>
      </c>
      <c r="E424" s="32" t="s">
        <v>21</v>
      </c>
      <c r="F424" s="32">
        <v>2</v>
      </c>
      <c r="K424" s="34">
        <f>((Table12[[#This Row],[SPOT PTS]]/2)*15)-65</f>
        <v>1090</v>
      </c>
      <c r="L424" s="34">
        <f t="shared" si="12"/>
        <v>11772.5</v>
      </c>
    </row>
    <row r="425" spans="1:12" ht="16.2" customHeight="1" thickBot="1" x14ac:dyDescent="0.35">
      <c r="A425" s="18">
        <v>19</v>
      </c>
      <c r="B425" s="17">
        <v>0.4513888888888889</v>
      </c>
      <c r="C425" s="18" t="s">
        <v>48</v>
      </c>
      <c r="D425" s="18">
        <v>-35</v>
      </c>
      <c r="E425" s="18" t="s">
        <v>22</v>
      </c>
      <c r="F425" s="18">
        <v>1</v>
      </c>
      <c r="K425" s="34">
        <f>((Table12[[#This Row],[SPOT PTS]]/2)*15)-65</f>
        <v>-327.5</v>
      </c>
      <c r="L425" s="34">
        <f t="shared" si="12"/>
        <v>11445</v>
      </c>
    </row>
    <row r="426" spans="1:12" ht="16.2" customHeight="1" thickBot="1" x14ac:dyDescent="0.35">
      <c r="A426" s="18">
        <v>20</v>
      </c>
      <c r="B426" s="17">
        <v>0.51041666666666663</v>
      </c>
      <c r="C426" s="18" t="s">
        <v>48</v>
      </c>
      <c r="D426" s="18">
        <v>-27</v>
      </c>
      <c r="E426" s="18" t="s">
        <v>23</v>
      </c>
      <c r="F426" s="18">
        <v>1</v>
      </c>
      <c r="K426" s="34">
        <f>((Table12[[#This Row],[SPOT PTS]]/2)*15)-65</f>
        <v>-267.5</v>
      </c>
      <c r="L426" s="34">
        <f t="shared" si="12"/>
        <v>11177.5</v>
      </c>
    </row>
    <row r="427" spans="1:12" ht="16.2" customHeight="1" thickBot="1" x14ac:dyDescent="0.35">
      <c r="A427" s="18">
        <v>21</v>
      </c>
      <c r="B427" s="17">
        <v>0.39583333333333331</v>
      </c>
      <c r="C427" s="18" t="s">
        <v>50</v>
      </c>
      <c r="D427" s="18">
        <v>142</v>
      </c>
      <c r="E427" s="18" t="s">
        <v>24</v>
      </c>
      <c r="F427" s="18">
        <v>1</v>
      </c>
      <c r="K427" s="34">
        <f>((Table12[[#This Row],[SPOT PTS]]/2)*15)-65</f>
        <v>1000</v>
      </c>
      <c r="L427" s="34">
        <f t="shared" si="12"/>
        <v>12177.5</v>
      </c>
    </row>
    <row r="428" spans="1:12" ht="16.2" customHeight="1" thickBot="1" x14ac:dyDescent="0.35">
      <c r="A428" s="18">
        <v>22</v>
      </c>
      <c r="B428" s="17">
        <v>0.3888888888888889</v>
      </c>
      <c r="C428" s="18" t="s">
        <v>50</v>
      </c>
      <c r="D428" s="18">
        <v>249</v>
      </c>
      <c r="E428" s="18" t="s">
        <v>20</v>
      </c>
      <c r="F428" s="18">
        <v>1</v>
      </c>
      <c r="K428" s="34">
        <f>((Table12[[#This Row],[SPOT PTS]]/2)*15)-65</f>
        <v>1802.5</v>
      </c>
      <c r="L428" s="34">
        <f t="shared" si="12"/>
        <v>13980</v>
      </c>
    </row>
    <row r="429" spans="1:12" ht="16.2" customHeight="1" thickBot="1" x14ac:dyDescent="0.35">
      <c r="A429" s="18">
        <v>23</v>
      </c>
      <c r="B429" s="17">
        <v>0.1111111111111111</v>
      </c>
      <c r="C429" s="18" t="s">
        <v>50</v>
      </c>
      <c r="D429" s="18">
        <v>158</v>
      </c>
      <c r="E429" s="18" t="s">
        <v>21</v>
      </c>
      <c r="F429" s="18">
        <v>1</v>
      </c>
      <c r="K429" s="34">
        <f>((Table12[[#This Row],[SPOT PTS]]/2)*15)-65</f>
        <v>1120</v>
      </c>
      <c r="L429" s="34">
        <f t="shared" si="12"/>
        <v>15100</v>
      </c>
    </row>
    <row r="430" spans="1:12" ht="16.2" customHeight="1" thickBot="1" x14ac:dyDescent="0.35">
      <c r="A430" s="18">
        <v>26</v>
      </c>
      <c r="B430" s="17">
        <v>6.9444444444444434E-2</v>
      </c>
      <c r="C430" s="18" t="s">
        <v>48</v>
      </c>
      <c r="D430" s="18">
        <v>-32</v>
      </c>
      <c r="E430" s="18" t="s">
        <v>22</v>
      </c>
      <c r="F430" s="18">
        <v>2</v>
      </c>
      <c r="K430" s="34">
        <f>((Table12[[#This Row],[SPOT PTS]]/2)*15)-65</f>
        <v>-305</v>
      </c>
      <c r="L430" s="34">
        <f t="shared" si="12"/>
        <v>14795</v>
      </c>
    </row>
    <row r="431" spans="1:12" ht="16.2" customHeight="1" thickBot="1" x14ac:dyDescent="0.35">
      <c r="A431" s="18">
        <v>27</v>
      </c>
      <c r="B431" s="17">
        <v>0.3923611111111111</v>
      </c>
      <c r="C431" s="18" t="s">
        <v>50</v>
      </c>
      <c r="D431" s="18">
        <v>282</v>
      </c>
      <c r="E431" s="18" t="s">
        <v>23</v>
      </c>
      <c r="F431" s="18">
        <v>1</v>
      </c>
      <c r="K431" s="34">
        <f>((Table12[[#This Row],[SPOT PTS]]/2)*15)-65</f>
        <v>2050</v>
      </c>
      <c r="L431" s="34">
        <f t="shared" si="12"/>
        <v>16845</v>
      </c>
    </row>
    <row r="432" spans="1:12" ht="16.2" customHeight="1" thickBot="1" x14ac:dyDescent="0.35">
      <c r="A432" s="18">
        <v>28</v>
      </c>
      <c r="B432" s="17">
        <v>0.43055555555555558</v>
      </c>
      <c r="C432" s="18" t="s">
        <v>50</v>
      </c>
      <c r="D432" s="18">
        <v>116</v>
      </c>
      <c r="E432" s="18" t="s">
        <v>24</v>
      </c>
      <c r="F432" s="18">
        <v>1</v>
      </c>
      <c r="K432" s="34">
        <f>((Table12[[#This Row],[SPOT PTS]]/2)*15)-65</f>
        <v>805</v>
      </c>
      <c r="L432" s="34">
        <f t="shared" si="12"/>
        <v>17650</v>
      </c>
    </row>
    <row r="433" spans="1:12" ht="16.2" customHeight="1" x14ac:dyDescent="0.3">
      <c r="A433" s="12">
        <v>29</v>
      </c>
      <c r="B433" s="11">
        <v>0.5</v>
      </c>
      <c r="C433" s="12" t="s">
        <v>48</v>
      </c>
      <c r="D433" s="12">
        <v>-36</v>
      </c>
      <c r="E433" s="12" t="s">
        <v>20</v>
      </c>
      <c r="F433" s="12">
        <v>1</v>
      </c>
      <c r="K433" s="34">
        <f>((Table12[[#This Row],[SPOT PTS]]/2)*15)-65</f>
        <v>-335</v>
      </c>
      <c r="L433" s="34">
        <f t="shared" si="12"/>
        <v>17315</v>
      </c>
    </row>
    <row r="434" spans="1:12" ht="16.2" customHeight="1" x14ac:dyDescent="0.3">
      <c r="A434" s="1">
        <v>29</v>
      </c>
      <c r="B434" s="28">
        <v>7.6388888888888895E-2</v>
      </c>
      <c r="C434" s="1" t="s">
        <v>48</v>
      </c>
      <c r="D434" s="1">
        <v>-64</v>
      </c>
      <c r="E434" s="1" t="s">
        <v>20</v>
      </c>
      <c r="F434" s="1">
        <v>2</v>
      </c>
      <c r="K434" s="34">
        <f>((Table12[[#This Row],[SPOT PTS]]/2)*15)-65</f>
        <v>-545</v>
      </c>
      <c r="L434" s="34">
        <f t="shared" si="12"/>
        <v>16770</v>
      </c>
    </row>
    <row r="435" spans="1:12" ht="16.2" customHeight="1" thickBot="1" x14ac:dyDescent="0.35">
      <c r="A435" s="32">
        <v>29</v>
      </c>
      <c r="B435" s="31">
        <v>9.0277777777777776E-2</v>
      </c>
      <c r="C435" s="32" t="s">
        <v>48</v>
      </c>
      <c r="D435" s="32">
        <v>-31</v>
      </c>
      <c r="E435" s="32" t="s">
        <v>20</v>
      </c>
      <c r="F435" s="32">
        <v>2</v>
      </c>
      <c r="K435" s="34">
        <f>((Table12[[#This Row],[SPOT PTS]]/2)*15)-65</f>
        <v>-297.5</v>
      </c>
      <c r="L435" s="34">
        <f t="shared" si="12"/>
        <v>16472.5</v>
      </c>
    </row>
    <row r="436" spans="1:12" ht="16.2" customHeight="1" x14ac:dyDescent="0.3">
      <c r="A436" s="12">
        <v>30</v>
      </c>
      <c r="B436" s="11">
        <v>0.44097222222222227</v>
      </c>
      <c r="C436" s="12" t="s">
        <v>48</v>
      </c>
      <c r="D436" s="12">
        <v>-36</v>
      </c>
      <c r="E436" s="12" t="s">
        <v>21</v>
      </c>
      <c r="F436" s="12">
        <v>1</v>
      </c>
      <c r="K436" s="34">
        <f>((Table12[[#This Row],[SPOT PTS]]/2)*15)-65</f>
        <v>-335</v>
      </c>
      <c r="L436" s="34">
        <f t="shared" si="12"/>
        <v>16137.5</v>
      </c>
    </row>
  </sheetData>
  <mergeCells count="12">
    <mergeCell ref="A174:F174"/>
    <mergeCell ref="A1:F1"/>
    <mergeCell ref="A30:F30"/>
    <mergeCell ref="A60:F60"/>
    <mergeCell ref="A97:F97"/>
    <mergeCell ref="A132:F132"/>
    <mergeCell ref="A376:F376"/>
    <mergeCell ref="A407:F407"/>
    <mergeCell ref="A336:F336"/>
    <mergeCell ref="A292:F292"/>
    <mergeCell ref="A208:F208"/>
    <mergeCell ref="A255:F255"/>
  </mergeCells>
  <phoneticPr fontId="2" type="noConversion"/>
  <conditionalFormatting sqref="C3:C1048576">
    <cfRule type="containsText" dxfId="1" priority="1" operator="containsText" text="Target">
      <formula>NOT(ISERROR(SEARCH("Target",C3)))</formula>
    </cfRule>
    <cfRule type="containsText" dxfId="0" priority="2" operator="containsText" text="Stoploss">
      <formula>NOT(ISERROR(SEARCH("Stoploss",C3)))</formula>
    </cfRule>
  </conditionalFormatting>
  <conditionalFormatting sqref="K1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C61:C96 C98:C131 C133:C173 C175:C207 C209:C254 C31:C59 C2:C29 C256:C291 C293 C314:C335 C337:C375 C377:C406 C408:C1048576" xr:uid="{A18820FB-DA08-4D00-9F79-70372C488525}">
      <formula1>"Stoploss, Target"</formula1>
    </dataValidation>
    <dataValidation type="list" allowBlank="1" showInputMessage="1" showErrorMessage="1" sqref="C294:C313" xr:uid="{C73BA88F-F132-4DB8-8EEC-356BDCDBEB96}">
      <formula1>"Stoploss,Target"</formula1>
    </dataValidation>
  </dataValidations>
  <pageMargins left="0.7" right="0.7" top="0.75" bottom="0.75" header="0.3" footer="0.3"/>
  <pageSetup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41BF-5D34-4486-8E34-E78276F6B536}">
  <dimension ref="A1:L436"/>
  <sheetViews>
    <sheetView topLeftCell="A427" zoomScale="130" zoomScaleNormal="130" workbookViewId="0">
      <selection activeCell="J9" sqref="J9"/>
    </sheetView>
  </sheetViews>
  <sheetFormatPr defaultColWidth="10.77734375" defaultRowHeight="14.4" x14ac:dyDescent="0.3"/>
  <cols>
    <col min="1" max="2" width="10.77734375" style="1"/>
    <col min="3" max="3" width="11.77734375" style="1" customWidth="1"/>
    <col min="4" max="4" width="10.88671875" style="1" customWidth="1"/>
    <col min="5" max="6" width="10.77734375" style="1"/>
    <col min="7" max="7" width="16" style="1" customWidth="1"/>
    <col min="8" max="8" width="16.6640625" style="1" bestFit="1" customWidth="1"/>
    <col min="9" max="9" width="13.6640625" style="1" bestFit="1" customWidth="1"/>
    <col min="10" max="10" width="10.77734375" style="1"/>
    <col min="11" max="12" width="10.77734375" style="34"/>
    <col min="13" max="16384" width="10.77734375" style="1"/>
  </cols>
  <sheetData>
    <row r="1" spans="1:12" ht="16.2" customHeight="1" thickBot="1" x14ac:dyDescent="0.35">
      <c r="A1" s="58" t="s">
        <v>49</v>
      </c>
      <c r="B1" s="58"/>
      <c r="C1" s="58"/>
      <c r="D1" s="58"/>
      <c r="E1" s="58"/>
      <c r="F1" s="58"/>
    </row>
    <row r="2" spans="1:12" ht="16.2" customHeight="1" x14ac:dyDescent="0.3">
      <c r="A2" s="20" t="s">
        <v>0</v>
      </c>
      <c r="B2" s="20" t="s">
        <v>1</v>
      </c>
      <c r="C2" s="20" t="s">
        <v>3</v>
      </c>
      <c r="D2" s="20" t="s">
        <v>2</v>
      </c>
      <c r="E2" s="20" t="s">
        <v>4</v>
      </c>
      <c r="F2" s="20" t="s">
        <v>47</v>
      </c>
      <c r="H2" s="3" t="s">
        <v>5</v>
      </c>
      <c r="I2" s="3">
        <f>COUNT(Table820[DATE])</f>
        <v>27</v>
      </c>
      <c r="L2" s="34">
        <v>10000</v>
      </c>
    </row>
    <row r="3" spans="1:12" ht="16.2" customHeight="1" x14ac:dyDescent="0.3">
      <c r="A3" s="7">
        <v>3</v>
      </c>
      <c r="B3" s="6">
        <v>0.42708333333333331</v>
      </c>
      <c r="C3" s="7" t="s">
        <v>48</v>
      </c>
      <c r="D3" s="7">
        <v>-27</v>
      </c>
      <c r="E3" s="7" t="s">
        <v>22</v>
      </c>
      <c r="F3" s="7">
        <v>1</v>
      </c>
      <c r="H3" s="3" t="s">
        <v>6</v>
      </c>
      <c r="I3" s="5">
        <f>((COUNTIF(Table820[OUTCOME],"Target"))/I2)</f>
        <v>0.33333333333333331</v>
      </c>
      <c r="K3" s="34">
        <f>((Table820[[#This Row],[SPOT PTS]]/2)*15)-65</f>
        <v>-267.5</v>
      </c>
      <c r="L3" s="34">
        <f>L2+K3</f>
        <v>9732.5</v>
      </c>
    </row>
    <row r="4" spans="1:12" ht="16.2" customHeight="1" x14ac:dyDescent="0.3">
      <c r="A4" s="9">
        <v>3</v>
      </c>
      <c r="B4" s="8">
        <v>0.44097222222222227</v>
      </c>
      <c r="C4" s="9" t="s">
        <v>48</v>
      </c>
      <c r="D4" s="9">
        <v>-56</v>
      </c>
      <c r="E4" s="9" t="s">
        <v>22</v>
      </c>
      <c r="F4" s="9">
        <v>1</v>
      </c>
      <c r="H4" s="3" t="s">
        <v>7</v>
      </c>
      <c r="I4" s="3">
        <f>SUM(Table820[SPOT PTS])</f>
        <v>434</v>
      </c>
      <c r="K4" s="34">
        <f>((Table820[[#This Row],[SPOT PTS]]/2)*15)-65</f>
        <v>-485</v>
      </c>
      <c r="L4" s="34">
        <f t="shared" ref="L4:L29" si="0">L3+K4</f>
        <v>9247.5</v>
      </c>
    </row>
    <row r="5" spans="1:12" ht="16.2" customHeight="1" thickBot="1" x14ac:dyDescent="0.35">
      <c r="A5" s="7">
        <v>3</v>
      </c>
      <c r="B5" s="6">
        <v>0.47569444444444442</v>
      </c>
      <c r="C5" s="7" t="s">
        <v>48</v>
      </c>
      <c r="D5" s="7">
        <v>-30</v>
      </c>
      <c r="E5" s="7" t="s">
        <v>22</v>
      </c>
      <c r="F5" s="7">
        <v>1</v>
      </c>
      <c r="H5" s="3" t="s">
        <v>8</v>
      </c>
      <c r="I5" s="3">
        <f>65*I2</f>
        <v>1755</v>
      </c>
      <c r="K5" s="34">
        <f>((Table820[[#This Row],[SPOT PTS]]/2)*15)-65</f>
        <v>-290</v>
      </c>
      <c r="L5" s="34">
        <f t="shared" si="0"/>
        <v>8957.5</v>
      </c>
    </row>
    <row r="6" spans="1:12" ht="16.2" customHeight="1" thickBot="1" x14ac:dyDescent="0.35">
      <c r="A6" s="12">
        <v>4</v>
      </c>
      <c r="B6" s="11">
        <v>0.39583333333333331</v>
      </c>
      <c r="C6" s="12" t="s">
        <v>50</v>
      </c>
      <c r="D6" s="12">
        <v>181</v>
      </c>
      <c r="E6" s="12" t="s">
        <v>23</v>
      </c>
      <c r="F6" s="12">
        <v>1</v>
      </c>
      <c r="H6" s="3" t="s">
        <v>9</v>
      </c>
      <c r="I6" s="3">
        <f>SUMIF(Table820[OUTCOME],"Stoploss",Table820[SPOT PTS])</f>
        <v>-823</v>
      </c>
      <c r="K6" s="34">
        <f>((Table820[[#This Row],[SPOT PTS]]/2)*15)-65</f>
        <v>1292.5</v>
      </c>
      <c r="L6" s="34">
        <f t="shared" si="0"/>
        <v>10250</v>
      </c>
    </row>
    <row r="7" spans="1:12" ht="16.2" customHeight="1" x14ac:dyDescent="0.3">
      <c r="A7" s="15">
        <v>5</v>
      </c>
      <c r="B7" s="14">
        <v>0.39930555555555558</v>
      </c>
      <c r="C7" s="15" t="s">
        <v>48</v>
      </c>
      <c r="D7" s="15">
        <v>-80</v>
      </c>
      <c r="E7" s="15" t="s">
        <v>24</v>
      </c>
      <c r="F7" s="15">
        <v>1</v>
      </c>
      <c r="H7" s="3" t="s">
        <v>10</v>
      </c>
      <c r="I7" s="3">
        <f>SUMIF(Table820[OUTCOME],"Target",Table820[SPOT PTS])</f>
        <v>1257</v>
      </c>
      <c r="K7" s="34">
        <f>((Table820[[#This Row],[SPOT PTS]]/2)*15)-65</f>
        <v>-665</v>
      </c>
      <c r="L7" s="34">
        <f t="shared" si="0"/>
        <v>9585</v>
      </c>
    </row>
    <row r="8" spans="1:12" ht="16.2" customHeight="1" x14ac:dyDescent="0.3">
      <c r="A8" s="9">
        <v>5</v>
      </c>
      <c r="B8" s="8">
        <v>0.4826388888888889</v>
      </c>
      <c r="C8" s="9" t="s">
        <v>48</v>
      </c>
      <c r="D8" s="9">
        <v>-49</v>
      </c>
      <c r="E8" s="9" t="s">
        <v>24</v>
      </c>
      <c r="F8" s="9">
        <v>1</v>
      </c>
      <c r="H8" s="3" t="s">
        <v>11</v>
      </c>
      <c r="I8" s="5">
        <f>I9/10000</f>
        <v>0.15</v>
      </c>
      <c r="K8" s="34">
        <f>((Table820[[#This Row],[SPOT PTS]]/2)*15)-65</f>
        <v>-432.5</v>
      </c>
      <c r="L8" s="34">
        <f t="shared" si="0"/>
        <v>9152.5</v>
      </c>
    </row>
    <row r="9" spans="1:12" ht="16.2" customHeight="1" thickBot="1" x14ac:dyDescent="0.35">
      <c r="A9" s="7">
        <v>5</v>
      </c>
      <c r="B9" s="6">
        <v>0.53125</v>
      </c>
      <c r="C9" s="7" t="s">
        <v>48</v>
      </c>
      <c r="D9" s="7">
        <v>-47</v>
      </c>
      <c r="E9" s="7" t="s">
        <v>24</v>
      </c>
      <c r="F9" s="7">
        <v>2</v>
      </c>
      <c r="H9" s="3" t="s">
        <v>12</v>
      </c>
      <c r="I9" s="35">
        <f>((I4/2)*15)-I5</f>
        <v>1500</v>
      </c>
      <c r="K9" s="34">
        <f>((Table820[[#This Row],[SPOT PTS]]/2)*15)-65</f>
        <v>-417.5</v>
      </c>
      <c r="L9" s="34">
        <f t="shared" si="0"/>
        <v>8735</v>
      </c>
    </row>
    <row r="10" spans="1:12" ht="16.2" customHeight="1" thickBot="1" x14ac:dyDescent="0.35">
      <c r="A10" s="12">
        <v>6</v>
      </c>
      <c r="B10" s="11">
        <v>0.4826388888888889</v>
      </c>
      <c r="C10" s="12" t="s">
        <v>48</v>
      </c>
      <c r="D10" s="12">
        <v>-44</v>
      </c>
      <c r="E10" s="12" t="s">
        <v>20</v>
      </c>
      <c r="F10" s="12">
        <v>1</v>
      </c>
      <c r="K10" s="34">
        <f>((Table820[[#This Row],[SPOT PTS]]/2)*15)-65</f>
        <v>-395</v>
      </c>
      <c r="L10" s="34">
        <f t="shared" si="0"/>
        <v>8340</v>
      </c>
    </row>
    <row r="11" spans="1:12" ht="16.2" customHeight="1" thickBot="1" x14ac:dyDescent="0.35">
      <c r="A11" s="15">
        <v>10</v>
      </c>
      <c r="B11" s="14">
        <v>0.39583333333333331</v>
      </c>
      <c r="C11" s="15" t="s">
        <v>48</v>
      </c>
      <c r="D11" s="15">
        <v>-80</v>
      </c>
      <c r="E11" s="15" t="s">
        <v>22</v>
      </c>
      <c r="F11" s="15">
        <v>1</v>
      </c>
      <c r="K11" s="34">
        <f>((Table820[[#This Row],[SPOT PTS]]/2)*15)-65</f>
        <v>-665</v>
      </c>
      <c r="L11" s="34">
        <f t="shared" si="0"/>
        <v>7675</v>
      </c>
    </row>
    <row r="12" spans="1:12" ht="16.2" customHeight="1" x14ac:dyDescent="0.3">
      <c r="A12" s="12">
        <v>11</v>
      </c>
      <c r="B12" s="11">
        <v>0.44444444444444442</v>
      </c>
      <c r="C12" s="12" t="s">
        <v>48</v>
      </c>
      <c r="D12" s="12">
        <v>-26</v>
      </c>
      <c r="E12" s="12" t="s">
        <v>23</v>
      </c>
      <c r="F12" s="12">
        <v>1</v>
      </c>
      <c r="K12" s="34">
        <f>((Table820[[#This Row],[SPOT PTS]]/2)*15)-65</f>
        <v>-260</v>
      </c>
      <c r="L12" s="34">
        <f t="shared" si="0"/>
        <v>7415</v>
      </c>
    </row>
    <row r="13" spans="1:12" ht="16.2" customHeight="1" thickBot="1" x14ac:dyDescent="0.35">
      <c r="A13" s="7">
        <v>11</v>
      </c>
      <c r="B13" s="6">
        <v>6.9444444444444434E-2</v>
      </c>
      <c r="C13" s="7" t="s">
        <v>50</v>
      </c>
      <c r="D13" s="7">
        <v>71</v>
      </c>
      <c r="E13" s="7" t="s">
        <v>23</v>
      </c>
      <c r="F13" s="7">
        <v>2</v>
      </c>
      <c r="K13" s="34">
        <f>((Table820[[#This Row],[SPOT PTS]]/2)*15)-65</f>
        <v>467.5</v>
      </c>
      <c r="L13" s="34">
        <f t="shared" si="0"/>
        <v>7882.5</v>
      </c>
    </row>
    <row r="14" spans="1:12" ht="16.2" customHeight="1" thickBot="1" x14ac:dyDescent="0.35">
      <c r="A14" s="12">
        <v>12</v>
      </c>
      <c r="B14" s="11">
        <v>0.39583333333333331</v>
      </c>
      <c r="C14" s="12" t="s">
        <v>48</v>
      </c>
      <c r="D14" s="12">
        <v>-51</v>
      </c>
      <c r="E14" s="12" t="s">
        <v>24</v>
      </c>
      <c r="F14" s="12">
        <v>1</v>
      </c>
      <c r="K14" s="34">
        <f>((Table820[[#This Row],[SPOT PTS]]/2)*15)-65</f>
        <v>-447.5</v>
      </c>
      <c r="L14" s="34">
        <f t="shared" si="0"/>
        <v>7435</v>
      </c>
    </row>
    <row r="15" spans="1:12" ht="16.2" customHeight="1" thickBot="1" x14ac:dyDescent="0.35">
      <c r="A15" s="15">
        <v>14</v>
      </c>
      <c r="B15" s="14">
        <v>0.49652777777777773</v>
      </c>
      <c r="C15" s="15" t="s">
        <v>48</v>
      </c>
      <c r="D15" s="15">
        <v>-40</v>
      </c>
      <c r="E15" s="15" t="s">
        <v>21</v>
      </c>
      <c r="F15" s="15">
        <v>1</v>
      </c>
      <c r="K15" s="34">
        <f>((Table820[[#This Row],[SPOT PTS]]/2)*15)-65</f>
        <v>-365</v>
      </c>
      <c r="L15" s="34">
        <f t="shared" si="0"/>
        <v>7070</v>
      </c>
    </row>
    <row r="16" spans="1:12" ht="16.2" customHeight="1" thickBot="1" x14ac:dyDescent="0.35">
      <c r="A16" s="12">
        <v>17</v>
      </c>
      <c r="B16" s="11">
        <v>8.6805555555555566E-2</v>
      </c>
      <c r="C16" s="12" t="s">
        <v>50</v>
      </c>
      <c r="D16" s="12">
        <v>3</v>
      </c>
      <c r="E16" s="12" t="s">
        <v>22</v>
      </c>
      <c r="F16" s="12">
        <v>2</v>
      </c>
      <c r="K16" s="34">
        <f>((Table820[[#This Row],[SPOT PTS]]/2)*15)-65</f>
        <v>-42.5</v>
      </c>
      <c r="L16" s="34">
        <f t="shared" si="0"/>
        <v>7027.5</v>
      </c>
    </row>
    <row r="17" spans="1:12" ht="16.2" customHeight="1" x14ac:dyDescent="0.3">
      <c r="A17" s="15">
        <v>18</v>
      </c>
      <c r="B17" s="14">
        <v>0.39930555555555558</v>
      </c>
      <c r="C17" s="15" t="s">
        <v>48</v>
      </c>
      <c r="D17" s="15">
        <v>-62</v>
      </c>
      <c r="E17" s="15" t="s">
        <v>23</v>
      </c>
      <c r="F17" s="15">
        <v>1</v>
      </c>
      <c r="K17" s="34">
        <f>((Table820[[#This Row],[SPOT PTS]]/2)*15)-65</f>
        <v>-530</v>
      </c>
      <c r="L17" s="34">
        <f t="shared" si="0"/>
        <v>6497.5</v>
      </c>
    </row>
    <row r="18" spans="1:12" ht="16.2" customHeight="1" x14ac:dyDescent="0.3">
      <c r="A18" s="9">
        <v>18</v>
      </c>
      <c r="B18" s="8">
        <v>0.52083333333333337</v>
      </c>
      <c r="C18" s="9" t="s">
        <v>48</v>
      </c>
      <c r="D18" s="9">
        <v>-26</v>
      </c>
      <c r="E18" s="9" t="s">
        <v>23</v>
      </c>
      <c r="F18" s="9">
        <v>2</v>
      </c>
      <c r="K18" s="34">
        <f>((Table820[[#This Row],[SPOT PTS]]/2)*15)-65</f>
        <v>-260</v>
      </c>
      <c r="L18" s="34">
        <f t="shared" si="0"/>
        <v>6237.5</v>
      </c>
    </row>
    <row r="19" spans="1:12" ht="16.2" customHeight="1" thickBot="1" x14ac:dyDescent="0.35">
      <c r="A19" s="7">
        <v>18</v>
      </c>
      <c r="B19" s="6">
        <v>6.25E-2</v>
      </c>
      <c r="C19" s="7" t="s">
        <v>50</v>
      </c>
      <c r="D19" s="7">
        <v>252</v>
      </c>
      <c r="E19" s="7" t="s">
        <v>23</v>
      </c>
      <c r="F19" s="7">
        <v>2</v>
      </c>
      <c r="K19" s="34">
        <f>((Table820[[#This Row],[SPOT PTS]]/2)*15)-65</f>
        <v>1825</v>
      </c>
      <c r="L19" s="34">
        <f t="shared" si="0"/>
        <v>8062.5</v>
      </c>
    </row>
    <row r="20" spans="1:12" ht="16.2" customHeight="1" thickBot="1" x14ac:dyDescent="0.35">
      <c r="A20" s="12">
        <v>19</v>
      </c>
      <c r="B20" s="11">
        <v>0.11805555555555557</v>
      </c>
      <c r="C20" s="12" t="s">
        <v>50</v>
      </c>
      <c r="D20" s="12">
        <v>28</v>
      </c>
      <c r="E20" s="12" t="s">
        <v>24</v>
      </c>
      <c r="F20" s="12">
        <v>2</v>
      </c>
      <c r="K20" s="34">
        <f>((Table820[[#This Row],[SPOT PTS]]/2)*15)-65</f>
        <v>145</v>
      </c>
      <c r="L20" s="34">
        <f t="shared" si="0"/>
        <v>8207.5</v>
      </c>
    </row>
    <row r="21" spans="1:12" ht="16.2" customHeight="1" x14ac:dyDescent="0.3">
      <c r="A21" s="15">
        <v>20</v>
      </c>
      <c r="B21" s="14">
        <v>0.50694444444444442</v>
      </c>
      <c r="C21" s="15" t="s">
        <v>48</v>
      </c>
      <c r="D21" s="15">
        <v>-27</v>
      </c>
      <c r="E21" s="15" t="s">
        <v>20</v>
      </c>
      <c r="F21" s="15">
        <v>2</v>
      </c>
      <c r="K21" s="34">
        <f>((Table820[[#This Row],[SPOT PTS]]/2)*15)-65</f>
        <v>-267.5</v>
      </c>
      <c r="L21" s="34">
        <f t="shared" si="0"/>
        <v>7940</v>
      </c>
    </row>
    <row r="22" spans="1:12" ht="16.2" customHeight="1" thickBot="1" x14ac:dyDescent="0.35">
      <c r="A22" s="9">
        <v>20</v>
      </c>
      <c r="B22" s="8">
        <v>0.53125</v>
      </c>
      <c r="C22" s="9" t="s">
        <v>50</v>
      </c>
      <c r="D22" s="9">
        <v>86</v>
      </c>
      <c r="E22" s="9" t="s">
        <v>20</v>
      </c>
      <c r="F22" s="9">
        <v>2</v>
      </c>
      <c r="K22" s="34">
        <f>((Table820[[#This Row],[SPOT PTS]]/2)*15)-65</f>
        <v>580</v>
      </c>
      <c r="L22" s="34">
        <f t="shared" si="0"/>
        <v>8520</v>
      </c>
    </row>
    <row r="23" spans="1:12" ht="16.2" customHeight="1" thickBot="1" x14ac:dyDescent="0.35">
      <c r="A23" s="15">
        <v>21</v>
      </c>
      <c r="B23" s="14">
        <v>0.47916666666666669</v>
      </c>
      <c r="C23" s="15" t="s">
        <v>48</v>
      </c>
      <c r="D23" s="15">
        <v>-37</v>
      </c>
      <c r="E23" s="15" t="s">
        <v>21</v>
      </c>
      <c r="F23" s="15">
        <v>1</v>
      </c>
      <c r="K23" s="34">
        <f>((Table820[[#This Row],[SPOT PTS]]/2)*15)-65</f>
        <v>-342.5</v>
      </c>
      <c r="L23" s="34">
        <f t="shared" si="0"/>
        <v>8177.5</v>
      </c>
    </row>
    <row r="24" spans="1:12" ht="16.2" customHeight="1" thickBot="1" x14ac:dyDescent="0.35">
      <c r="A24" s="12">
        <v>24</v>
      </c>
      <c r="B24" s="11">
        <v>0.41319444444444442</v>
      </c>
      <c r="C24" s="12" t="s">
        <v>50</v>
      </c>
      <c r="D24" s="12">
        <v>239</v>
      </c>
      <c r="E24" s="12" t="s">
        <v>22</v>
      </c>
      <c r="F24" s="12">
        <v>1</v>
      </c>
      <c r="K24" s="34">
        <f>((Table820[[#This Row],[SPOT PTS]]/2)*15)-65</f>
        <v>1727.5</v>
      </c>
      <c r="L24" s="34">
        <f t="shared" si="0"/>
        <v>9905</v>
      </c>
    </row>
    <row r="25" spans="1:12" ht="16.2" customHeight="1" thickBot="1" x14ac:dyDescent="0.35">
      <c r="A25" s="15">
        <v>25</v>
      </c>
      <c r="B25" s="14">
        <v>0.52083333333333337</v>
      </c>
      <c r="C25" s="15" t="s">
        <v>48</v>
      </c>
      <c r="D25" s="15">
        <v>-43</v>
      </c>
      <c r="E25" s="15" t="s">
        <v>23</v>
      </c>
      <c r="F25" s="15">
        <v>2</v>
      </c>
      <c r="K25" s="34">
        <f>((Table820[[#This Row],[SPOT PTS]]/2)*15)-65</f>
        <v>-387.5</v>
      </c>
      <c r="L25" s="34">
        <f t="shared" si="0"/>
        <v>9517.5</v>
      </c>
    </row>
    <row r="26" spans="1:12" ht="16.2" customHeight="1" thickBot="1" x14ac:dyDescent="0.35">
      <c r="A26" s="12">
        <v>27</v>
      </c>
      <c r="B26" s="11">
        <v>0.4201388888888889</v>
      </c>
      <c r="C26" s="12" t="s">
        <v>50</v>
      </c>
      <c r="D26" s="12">
        <v>274</v>
      </c>
      <c r="E26" s="12" t="s">
        <v>20</v>
      </c>
      <c r="F26" s="12">
        <v>1</v>
      </c>
      <c r="K26" s="34">
        <f>((Table820[[#This Row],[SPOT PTS]]/2)*15)-65</f>
        <v>1990</v>
      </c>
      <c r="L26" s="34">
        <f t="shared" si="0"/>
        <v>11507.5</v>
      </c>
    </row>
    <row r="27" spans="1:12" ht="16.2" customHeight="1" thickBot="1" x14ac:dyDescent="0.35">
      <c r="A27" s="15">
        <v>28</v>
      </c>
      <c r="B27" s="14">
        <v>0.41666666666666669</v>
      </c>
      <c r="C27" s="15" t="s">
        <v>50</v>
      </c>
      <c r="D27" s="15">
        <v>123</v>
      </c>
      <c r="E27" s="15" t="s">
        <v>21</v>
      </c>
      <c r="F27" s="15">
        <v>1</v>
      </c>
      <c r="K27" s="34">
        <f>((Table820[[#This Row],[SPOT PTS]]/2)*15)-65</f>
        <v>857.5</v>
      </c>
      <c r="L27" s="34">
        <f t="shared" si="0"/>
        <v>12365</v>
      </c>
    </row>
    <row r="28" spans="1:12" ht="16.2" customHeight="1" x14ac:dyDescent="0.3">
      <c r="A28" s="12">
        <v>31</v>
      </c>
      <c r="B28" s="11">
        <v>0.40625</v>
      </c>
      <c r="C28" s="12" t="s">
        <v>48</v>
      </c>
      <c r="D28" s="12">
        <v>-52</v>
      </c>
      <c r="E28" s="12" t="s">
        <v>22</v>
      </c>
      <c r="F28" s="12">
        <v>1</v>
      </c>
      <c r="K28" s="34">
        <f>((Table820[[#This Row],[SPOT PTS]]/2)*15)-65</f>
        <v>-455</v>
      </c>
      <c r="L28" s="34">
        <f t="shared" si="0"/>
        <v>11910</v>
      </c>
    </row>
    <row r="29" spans="1:12" ht="16.2" customHeight="1" x14ac:dyDescent="0.3">
      <c r="A29" s="7">
        <v>31</v>
      </c>
      <c r="B29" s="6">
        <v>9.375E-2</v>
      </c>
      <c r="C29" s="7" t="s">
        <v>48</v>
      </c>
      <c r="D29" s="7">
        <v>-46</v>
      </c>
      <c r="E29" s="7" t="s">
        <v>22</v>
      </c>
      <c r="F29" s="7">
        <v>2</v>
      </c>
      <c r="K29" s="34">
        <f>((Table820[[#This Row],[SPOT PTS]]/2)*15)-65</f>
        <v>-410</v>
      </c>
      <c r="L29" s="34">
        <f t="shared" si="0"/>
        <v>11500</v>
      </c>
    </row>
    <row r="30" spans="1:12" ht="16.2" customHeight="1" thickBot="1" x14ac:dyDescent="0.35">
      <c r="A30" s="58" t="s">
        <v>51</v>
      </c>
      <c r="B30" s="58"/>
      <c r="C30" s="58"/>
      <c r="D30" s="58"/>
      <c r="E30" s="58"/>
      <c r="F30" s="58"/>
    </row>
    <row r="31" spans="1:12" ht="15" thickBot="1" x14ac:dyDescent="0.35">
      <c r="A31" s="20" t="s">
        <v>0</v>
      </c>
      <c r="B31" s="20" t="s">
        <v>1</v>
      </c>
      <c r="C31" s="20" t="s">
        <v>3</v>
      </c>
      <c r="D31" s="20" t="s">
        <v>2</v>
      </c>
      <c r="E31" s="20" t="s">
        <v>4</v>
      </c>
      <c r="F31" s="20" t="s">
        <v>47</v>
      </c>
      <c r="L31" s="34">
        <v>11500</v>
      </c>
    </row>
    <row r="32" spans="1:12" ht="16.2" customHeight="1" x14ac:dyDescent="0.3">
      <c r="A32" s="12">
        <v>1</v>
      </c>
      <c r="B32" s="11">
        <v>0.40277777777777773</v>
      </c>
      <c r="C32" s="12" t="s">
        <v>48</v>
      </c>
      <c r="D32" s="12">
        <v>-80</v>
      </c>
      <c r="E32" s="12" t="s">
        <v>23</v>
      </c>
      <c r="F32" s="12">
        <v>1</v>
      </c>
      <c r="H32" s="3" t="s">
        <v>5</v>
      </c>
      <c r="I32" s="3">
        <f>COUNT(Table225[RANGE])</f>
        <v>28</v>
      </c>
      <c r="K32" s="34">
        <f>(Table225[[#This Row],[SPOT PTS]]/2)*15-65</f>
        <v>-665</v>
      </c>
      <c r="L32" s="34">
        <f>K32+L31</f>
        <v>10835</v>
      </c>
    </row>
    <row r="33" spans="1:12" ht="16.2" customHeight="1" thickBot="1" x14ac:dyDescent="0.35">
      <c r="A33" s="36">
        <v>1</v>
      </c>
      <c r="B33" s="37">
        <v>0.50347222222222221</v>
      </c>
      <c r="C33" s="36" t="s">
        <v>50</v>
      </c>
      <c r="D33" s="36">
        <v>239</v>
      </c>
      <c r="E33" s="36" t="s">
        <v>23</v>
      </c>
      <c r="F33" s="36">
        <v>2</v>
      </c>
      <c r="H33" s="3" t="s">
        <v>6</v>
      </c>
      <c r="I33" s="5">
        <f>((COUNTIF(Table225[OUTCOME],"Target"))/I32)</f>
        <v>0.4642857142857143</v>
      </c>
      <c r="K33" s="34">
        <f>(Table225[[#This Row],[SPOT PTS]]/2)*15-65</f>
        <v>1727.5</v>
      </c>
      <c r="L33" s="34">
        <f>K33+L32</f>
        <v>12562.5</v>
      </c>
    </row>
    <row r="34" spans="1:12" ht="16.2" customHeight="1" x14ac:dyDescent="0.3">
      <c r="A34" s="12">
        <v>2</v>
      </c>
      <c r="B34" s="11">
        <v>0.39930555555555558</v>
      </c>
      <c r="C34" s="12" t="s">
        <v>48</v>
      </c>
      <c r="D34" s="12">
        <v>-80</v>
      </c>
      <c r="E34" s="12" t="s">
        <v>24</v>
      </c>
      <c r="F34" s="12">
        <v>1</v>
      </c>
      <c r="H34" s="3" t="s">
        <v>7</v>
      </c>
      <c r="I34" s="3">
        <f>SUM(Table225[SPOT PTS])</f>
        <v>1176</v>
      </c>
      <c r="K34" s="34">
        <f>(Table225[[#This Row],[SPOT PTS]]/2)*15-65</f>
        <v>-665</v>
      </c>
      <c r="L34" s="34">
        <f t="shared" ref="L34:L59" si="1">K34+L33</f>
        <v>11897.5</v>
      </c>
    </row>
    <row r="35" spans="1:12" ht="16.2" customHeight="1" thickBot="1" x14ac:dyDescent="0.35">
      <c r="A35" s="36">
        <v>2</v>
      </c>
      <c r="B35" s="37">
        <v>0.51736111111111105</v>
      </c>
      <c r="C35" s="36" t="s">
        <v>50</v>
      </c>
      <c r="D35" s="36">
        <v>117</v>
      </c>
      <c r="E35" s="36" t="s">
        <v>24</v>
      </c>
      <c r="F35" s="36">
        <v>2</v>
      </c>
      <c r="H35" s="3" t="s">
        <v>8</v>
      </c>
      <c r="I35" s="3">
        <f>65*I32</f>
        <v>1820</v>
      </c>
      <c r="K35" s="34">
        <f>(Table225[[#This Row],[SPOT PTS]]/2)*15-65</f>
        <v>812.5</v>
      </c>
      <c r="L35" s="34">
        <f t="shared" si="1"/>
        <v>12710</v>
      </c>
    </row>
    <row r="36" spans="1:12" ht="16.2" customHeight="1" thickBot="1" x14ac:dyDescent="0.35">
      <c r="A36" s="12">
        <v>3</v>
      </c>
      <c r="B36" s="11">
        <v>0.53819444444444442</v>
      </c>
      <c r="C36" s="12" t="s">
        <v>50</v>
      </c>
      <c r="D36" s="12">
        <v>209</v>
      </c>
      <c r="E36" s="12" t="s">
        <v>20</v>
      </c>
      <c r="F36" s="12">
        <v>2</v>
      </c>
      <c r="H36" s="3" t="s">
        <v>9</v>
      </c>
      <c r="I36" s="3">
        <f>SUMIF(Table225[OUTCOME],"Stoploss",Table225[SPOT PTS])</f>
        <v>-936</v>
      </c>
      <c r="K36" s="34">
        <f>(Table225[[#This Row],[SPOT PTS]]/2)*15-65</f>
        <v>1502.5</v>
      </c>
      <c r="L36" s="34">
        <f t="shared" si="1"/>
        <v>14212.5</v>
      </c>
    </row>
    <row r="37" spans="1:12" ht="16.2" customHeight="1" x14ac:dyDescent="0.3">
      <c r="A37" s="38">
        <v>4</v>
      </c>
      <c r="B37" s="39">
        <v>0.39930555555555558</v>
      </c>
      <c r="C37" s="38" t="s">
        <v>48</v>
      </c>
      <c r="D37" s="38">
        <v>-80</v>
      </c>
      <c r="E37" s="38" t="s">
        <v>21</v>
      </c>
      <c r="F37" s="38">
        <v>1</v>
      </c>
      <c r="H37" s="3" t="s">
        <v>10</v>
      </c>
      <c r="I37" s="3">
        <f>SUMIF(Table225[OUTCOME],"Target",Table225[SPOT PTS])</f>
        <v>2112</v>
      </c>
      <c r="K37" s="34">
        <f>(Table225[[#This Row],[SPOT PTS]]/2)*15-65</f>
        <v>-665</v>
      </c>
      <c r="L37" s="34">
        <f t="shared" si="1"/>
        <v>13547.5</v>
      </c>
    </row>
    <row r="38" spans="1:12" ht="16.2" customHeight="1" thickBot="1" x14ac:dyDescent="0.35">
      <c r="A38" s="9">
        <v>4</v>
      </c>
      <c r="B38" s="8">
        <v>0.41319444444444442</v>
      </c>
      <c r="C38" s="9" t="s">
        <v>50</v>
      </c>
      <c r="D38" s="9">
        <v>113</v>
      </c>
      <c r="E38" s="9" t="s">
        <v>21</v>
      </c>
      <c r="F38" s="9">
        <v>1</v>
      </c>
      <c r="H38" s="3" t="s">
        <v>11</v>
      </c>
      <c r="I38" s="5">
        <f>I39/18500</f>
        <v>0.3783783783783784</v>
      </c>
      <c r="K38" s="34">
        <f>(Table225[[#This Row],[SPOT PTS]]/2)*15-65</f>
        <v>782.5</v>
      </c>
      <c r="L38" s="34">
        <f t="shared" si="1"/>
        <v>14330</v>
      </c>
    </row>
    <row r="39" spans="1:12" ht="16.2" customHeight="1" thickBot="1" x14ac:dyDescent="0.35">
      <c r="A39" s="38">
        <v>8</v>
      </c>
      <c r="B39" s="39">
        <v>0.3888888888888889</v>
      </c>
      <c r="C39" s="38" t="s">
        <v>50</v>
      </c>
      <c r="D39" s="38">
        <v>184</v>
      </c>
      <c r="E39" s="38" t="s">
        <v>23</v>
      </c>
      <c r="F39" s="38">
        <v>1</v>
      </c>
      <c r="H39" s="3" t="s">
        <v>12</v>
      </c>
      <c r="I39" s="48">
        <f>((I34/2)*15)-I35</f>
        <v>7000</v>
      </c>
      <c r="K39" s="34">
        <f>(Table225[[#This Row],[SPOT PTS]]/2)*15-65</f>
        <v>1315</v>
      </c>
      <c r="L39" s="34">
        <f t="shared" si="1"/>
        <v>15645</v>
      </c>
    </row>
    <row r="40" spans="1:12" ht="16.2" customHeight="1" thickBot="1" x14ac:dyDescent="0.35">
      <c r="A40" s="12">
        <v>9</v>
      </c>
      <c r="B40" s="11">
        <v>0.41319444444444442</v>
      </c>
      <c r="C40" s="12" t="s">
        <v>50</v>
      </c>
      <c r="D40" s="12">
        <v>174</v>
      </c>
      <c r="E40" s="12" t="s">
        <v>24</v>
      </c>
      <c r="F40" s="12">
        <v>1</v>
      </c>
      <c r="K40" s="34">
        <f>(Table225[[#This Row],[SPOT PTS]]/2)*15-65</f>
        <v>1240</v>
      </c>
      <c r="L40" s="34">
        <f t="shared" si="1"/>
        <v>16885</v>
      </c>
    </row>
    <row r="41" spans="1:12" ht="16.2" customHeight="1" x14ac:dyDescent="0.3">
      <c r="A41" s="38">
        <v>10</v>
      </c>
      <c r="B41" s="39">
        <v>0.42708333333333331</v>
      </c>
      <c r="C41" s="38" t="s">
        <v>48</v>
      </c>
      <c r="D41" s="38">
        <v>-55</v>
      </c>
      <c r="E41" s="38" t="s">
        <v>20</v>
      </c>
      <c r="F41" s="38">
        <v>1</v>
      </c>
      <c r="K41" s="34">
        <f>(Table225[[#This Row],[SPOT PTS]]/2)*15-65</f>
        <v>-477.5</v>
      </c>
      <c r="L41" s="34">
        <f t="shared" si="1"/>
        <v>16407.5</v>
      </c>
    </row>
    <row r="42" spans="1:12" ht="16.2" customHeight="1" thickBot="1" x14ac:dyDescent="0.35">
      <c r="A42" s="9">
        <v>10</v>
      </c>
      <c r="B42" s="8">
        <v>0.46527777777777773</v>
      </c>
      <c r="C42" s="9" t="s">
        <v>50</v>
      </c>
      <c r="D42" s="9">
        <v>103</v>
      </c>
      <c r="E42" s="9" t="s">
        <v>20</v>
      </c>
      <c r="F42" s="9">
        <v>1</v>
      </c>
      <c r="K42" s="34">
        <f>(Table225[[#This Row],[SPOT PTS]]/2)*15-65</f>
        <v>707.5</v>
      </c>
      <c r="L42" s="34">
        <f t="shared" si="1"/>
        <v>17115</v>
      </c>
    </row>
    <row r="43" spans="1:12" ht="16.2" customHeight="1" thickBot="1" x14ac:dyDescent="0.35">
      <c r="A43" s="38">
        <v>11</v>
      </c>
      <c r="B43" s="39">
        <v>0.53472222222222221</v>
      </c>
      <c r="C43" s="38" t="s">
        <v>48</v>
      </c>
      <c r="D43" s="38">
        <v>-63</v>
      </c>
      <c r="E43" s="38" t="s">
        <v>21</v>
      </c>
      <c r="F43" s="38">
        <v>2</v>
      </c>
      <c r="K43" s="34">
        <f>(Table225[[#This Row],[SPOT PTS]]/2)*15-65</f>
        <v>-537.5</v>
      </c>
      <c r="L43" s="34">
        <f t="shared" si="1"/>
        <v>16577.5</v>
      </c>
    </row>
    <row r="44" spans="1:12" ht="16.2" customHeight="1" x14ac:dyDescent="0.3">
      <c r="A44" s="12">
        <v>15</v>
      </c>
      <c r="B44" s="11">
        <v>0.47569444444444442</v>
      </c>
      <c r="C44" s="12" t="s">
        <v>48</v>
      </c>
      <c r="D44" s="12">
        <v>-50</v>
      </c>
      <c r="E44" s="12" t="s">
        <v>23</v>
      </c>
      <c r="F44" s="12">
        <v>1</v>
      </c>
      <c r="K44" s="34">
        <f>(Table225[[#This Row],[SPOT PTS]]/2)*15-65</f>
        <v>-440</v>
      </c>
      <c r="L44" s="34">
        <f t="shared" si="1"/>
        <v>16137.5</v>
      </c>
    </row>
    <row r="45" spans="1:12" ht="16.2" customHeight="1" thickBot="1" x14ac:dyDescent="0.35">
      <c r="A45" s="36">
        <v>15</v>
      </c>
      <c r="B45" s="37">
        <v>0.51736111111111105</v>
      </c>
      <c r="C45" s="36" t="s">
        <v>48</v>
      </c>
      <c r="D45" s="36">
        <v>-70</v>
      </c>
      <c r="E45" s="36" t="s">
        <v>23</v>
      </c>
      <c r="F45" s="36">
        <v>2</v>
      </c>
      <c r="K45" s="34">
        <f>(Table225[[#This Row],[SPOT PTS]]/2)*15-65</f>
        <v>-590</v>
      </c>
      <c r="L45" s="34">
        <f t="shared" si="1"/>
        <v>15547.5</v>
      </c>
    </row>
    <row r="46" spans="1:12" ht="16.2" customHeight="1" thickBot="1" x14ac:dyDescent="0.35">
      <c r="A46" s="12">
        <v>16</v>
      </c>
      <c r="B46" s="11">
        <v>0.3888888888888889</v>
      </c>
      <c r="C46" s="12" t="s">
        <v>50</v>
      </c>
      <c r="D46" s="12">
        <v>240</v>
      </c>
      <c r="E46" s="12" t="s">
        <v>24</v>
      </c>
      <c r="F46" s="12">
        <v>1</v>
      </c>
      <c r="K46" s="34">
        <f>(Table225[[#This Row],[SPOT PTS]]/2)*15-65</f>
        <v>1735</v>
      </c>
      <c r="L46" s="34">
        <f t="shared" si="1"/>
        <v>17282.5</v>
      </c>
    </row>
    <row r="47" spans="1:12" ht="16.2" customHeight="1" thickBot="1" x14ac:dyDescent="0.35">
      <c r="A47" s="38">
        <v>17</v>
      </c>
      <c r="B47" s="39">
        <v>0.3923611111111111</v>
      </c>
      <c r="C47" s="38" t="s">
        <v>50</v>
      </c>
      <c r="D47" s="38">
        <v>193</v>
      </c>
      <c r="E47" s="38" t="s">
        <v>20</v>
      </c>
      <c r="F47" s="38">
        <v>1</v>
      </c>
      <c r="K47" s="34">
        <f>(Table225[[#This Row],[SPOT PTS]]/2)*15-65</f>
        <v>1382.5</v>
      </c>
      <c r="L47" s="34">
        <f t="shared" si="1"/>
        <v>18665</v>
      </c>
    </row>
    <row r="48" spans="1:12" ht="16.2" customHeight="1" thickBot="1" x14ac:dyDescent="0.35">
      <c r="A48" s="12">
        <v>18</v>
      </c>
      <c r="B48" s="11">
        <v>0.4236111111111111</v>
      </c>
      <c r="C48" s="12" t="s">
        <v>48</v>
      </c>
      <c r="D48" s="12">
        <v>-61</v>
      </c>
      <c r="E48" s="12" t="s">
        <v>21</v>
      </c>
      <c r="F48" s="12">
        <v>1</v>
      </c>
      <c r="K48" s="34">
        <f>(Table225[[#This Row],[SPOT PTS]]/2)*15-65</f>
        <v>-522.5</v>
      </c>
      <c r="L48" s="34">
        <f t="shared" si="1"/>
        <v>18142.5</v>
      </c>
    </row>
    <row r="49" spans="1:12" ht="16.2" customHeight="1" thickBot="1" x14ac:dyDescent="0.35">
      <c r="A49" s="38">
        <v>21</v>
      </c>
      <c r="B49" s="39">
        <v>6.25E-2</v>
      </c>
      <c r="C49" s="38" t="s">
        <v>50</v>
      </c>
      <c r="D49" s="38">
        <v>113</v>
      </c>
      <c r="E49" s="38" t="s">
        <v>22</v>
      </c>
      <c r="F49" s="38">
        <v>2</v>
      </c>
      <c r="K49" s="34">
        <f>(Table225[[#This Row],[SPOT PTS]]/2)*15-65</f>
        <v>782.5</v>
      </c>
      <c r="L49" s="34">
        <f t="shared" si="1"/>
        <v>18925</v>
      </c>
    </row>
    <row r="50" spans="1:12" ht="16.2" customHeight="1" x14ac:dyDescent="0.3">
      <c r="A50" s="12">
        <v>22</v>
      </c>
      <c r="B50" s="11">
        <v>0.46527777777777773</v>
      </c>
      <c r="C50" s="12" t="s">
        <v>48</v>
      </c>
      <c r="D50" s="12">
        <v>-55</v>
      </c>
      <c r="E50" s="12" t="s">
        <v>23</v>
      </c>
      <c r="F50" s="12">
        <v>1</v>
      </c>
      <c r="K50" s="34">
        <f>(Table225[[#This Row],[SPOT PTS]]/2)*15-65</f>
        <v>-477.5</v>
      </c>
      <c r="L50" s="34">
        <f t="shared" si="1"/>
        <v>18447.5</v>
      </c>
    </row>
    <row r="51" spans="1:12" ht="16.2" customHeight="1" thickBot="1" x14ac:dyDescent="0.35">
      <c r="A51" s="36">
        <v>22</v>
      </c>
      <c r="B51" s="37">
        <v>5.9027777777777783E-2</v>
      </c>
      <c r="C51" s="36" t="s">
        <v>48</v>
      </c>
      <c r="D51" s="36">
        <v>-28</v>
      </c>
      <c r="E51" s="36" t="s">
        <v>23</v>
      </c>
      <c r="F51" s="36">
        <v>2</v>
      </c>
      <c r="K51" s="34">
        <f>(Table225[[#This Row],[SPOT PTS]]/2)*15-65</f>
        <v>-275</v>
      </c>
      <c r="L51" s="34">
        <f t="shared" si="1"/>
        <v>18172.5</v>
      </c>
    </row>
    <row r="52" spans="1:12" ht="16.2" customHeight="1" thickBot="1" x14ac:dyDescent="0.35">
      <c r="A52" s="12">
        <v>23</v>
      </c>
      <c r="B52" s="11">
        <v>0.40277777777777773</v>
      </c>
      <c r="C52" s="12" t="s">
        <v>50</v>
      </c>
      <c r="D52" s="12">
        <v>131</v>
      </c>
      <c r="E52" s="12" t="s">
        <v>24</v>
      </c>
      <c r="F52" s="12">
        <v>1</v>
      </c>
      <c r="K52" s="34">
        <f>(Table225[[#This Row],[SPOT PTS]]/2)*15-65</f>
        <v>917.5</v>
      </c>
      <c r="L52" s="34">
        <f t="shared" si="1"/>
        <v>19090</v>
      </c>
    </row>
    <row r="53" spans="1:12" ht="16.2" customHeight="1" x14ac:dyDescent="0.3">
      <c r="A53" s="38">
        <v>24</v>
      </c>
      <c r="B53" s="39">
        <v>0.4375</v>
      </c>
      <c r="C53" s="38" t="s">
        <v>48</v>
      </c>
      <c r="D53" s="38">
        <v>-50</v>
      </c>
      <c r="E53" s="38" t="s">
        <v>20</v>
      </c>
      <c r="F53" s="38">
        <v>1</v>
      </c>
      <c r="K53" s="34">
        <f>(Table225[[#This Row],[SPOT PTS]]/2)*15-65</f>
        <v>-440</v>
      </c>
      <c r="L53" s="34">
        <f t="shared" si="1"/>
        <v>18650</v>
      </c>
    </row>
    <row r="54" spans="1:12" ht="16.2" customHeight="1" thickBot="1" x14ac:dyDescent="0.35">
      <c r="A54" s="9">
        <v>24</v>
      </c>
      <c r="B54" s="8">
        <v>0.4861111111111111</v>
      </c>
      <c r="C54" s="9" t="s">
        <v>50</v>
      </c>
      <c r="D54" s="9">
        <v>156</v>
      </c>
      <c r="E54" s="9" t="s">
        <v>20</v>
      </c>
      <c r="F54" s="9">
        <v>1</v>
      </c>
      <c r="K54" s="34">
        <f>(Table225[[#This Row],[SPOT PTS]]/2)*15-65</f>
        <v>1105</v>
      </c>
      <c r="L54" s="34">
        <f t="shared" si="1"/>
        <v>19755</v>
      </c>
    </row>
    <row r="55" spans="1:12" ht="16.2" customHeight="1" x14ac:dyDescent="0.3">
      <c r="A55" s="38">
        <v>25</v>
      </c>
      <c r="B55" s="39">
        <v>0.41319444444444442</v>
      </c>
      <c r="C55" s="38" t="s">
        <v>48</v>
      </c>
      <c r="D55" s="38">
        <v>-80</v>
      </c>
      <c r="E55" s="38" t="s">
        <v>21</v>
      </c>
      <c r="F55" s="38">
        <v>1</v>
      </c>
      <c r="K55" s="34">
        <f>(Table225[[#This Row],[SPOT PTS]]/2)*15-65</f>
        <v>-665</v>
      </c>
      <c r="L55" s="34">
        <f t="shared" si="1"/>
        <v>19090</v>
      </c>
    </row>
    <row r="56" spans="1:12" ht="16.2" customHeight="1" x14ac:dyDescent="0.3">
      <c r="A56" s="9">
        <v>25</v>
      </c>
      <c r="B56" s="8">
        <v>0.4513888888888889</v>
      </c>
      <c r="C56" s="9" t="s">
        <v>48</v>
      </c>
      <c r="D56" s="9">
        <v>-61</v>
      </c>
      <c r="E56" s="9" t="s">
        <v>21</v>
      </c>
      <c r="F56" s="9">
        <v>1</v>
      </c>
      <c r="K56" s="34">
        <f>(Table225[[#This Row],[SPOT PTS]]/2)*15-65</f>
        <v>-522.5</v>
      </c>
      <c r="L56" s="34">
        <f t="shared" si="1"/>
        <v>18567.5</v>
      </c>
    </row>
    <row r="57" spans="1:12" ht="16.2" customHeight="1" thickBot="1" x14ac:dyDescent="0.35">
      <c r="A57" s="36">
        <v>25</v>
      </c>
      <c r="B57" s="37">
        <v>0.52083333333333337</v>
      </c>
      <c r="C57" s="36" t="s">
        <v>50</v>
      </c>
      <c r="D57" s="36">
        <v>140</v>
      </c>
      <c r="E57" s="36" t="s">
        <v>21</v>
      </c>
      <c r="F57" s="36">
        <v>2</v>
      </c>
      <c r="K57" s="34">
        <f>(Table225[[#This Row],[SPOT PTS]]/2)*15-65</f>
        <v>985</v>
      </c>
      <c r="L57" s="34">
        <f t="shared" si="1"/>
        <v>19552.5</v>
      </c>
    </row>
    <row r="58" spans="1:12" ht="16.2" customHeight="1" x14ac:dyDescent="0.3">
      <c r="A58" s="10">
        <v>28</v>
      </c>
      <c r="B58" s="11">
        <v>0.47916666666666669</v>
      </c>
      <c r="C58" s="12" t="s">
        <v>48</v>
      </c>
      <c r="D58" s="12">
        <v>-46</v>
      </c>
      <c r="E58" s="12" t="s">
        <v>22</v>
      </c>
      <c r="F58" s="13">
        <v>1</v>
      </c>
      <c r="K58" s="34">
        <f>(Table225[[#This Row],[SPOT PTS]]/2)*15-65</f>
        <v>-410</v>
      </c>
      <c r="L58" s="34">
        <f t="shared" si="1"/>
        <v>19142.5</v>
      </c>
    </row>
    <row r="59" spans="1:12" ht="16.2" customHeight="1" thickBot="1" x14ac:dyDescent="0.35">
      <c r="A59" s="40">
        <v>28</v>
      </c>
      <c r="B59" s="41">
        <v>0.50694444444444442</v>
      </c>
      <c r="C59" s="42" t="s">
        <v>48</v>
      </c>
      <c r="D59" s="42">
        <v>-77</v>
      </c>
      <c r="E59" s="42" t="s">
        <v>22</v>
      </c>
      <c r="F59" s="43">
        <v>2</v>
      </c>
      <c r="K59" s="34">
        <f>(Table225[[#This Row],[SPOT PTS]]/2)*15-65</f>
        <v>-642.5</v>
      </c>
      <c r="L59" s="34">
        <f t="shared" si="1"/>
        <v>18500</v>
      </c>
    </row>
    <row r="60" spans="1:12" ht="16.2" customHeight="1" thickBot="1" x14ac:dyDescent="0.35">
      <c r="A60" s="57" t="s">
        <v>52</v>
      </c>
      <c r="B60" s="57"/>
      <c r="C60" s="57"/>
      <c r="D60" s="57"/>
      <c r="E60" s="57"/>
      <c r="F60" s="57"/>
    </row>
    <row r="61" spans="1:12" ht="16.2" customHeight="1" thickBot="1" x14ac:dyDescent="0.35">
      <c r="A61" s="20" t="s">
        <v>0</v>
      </c>
      <c r="B61" s="20" t="s">
        <v>1</v>
      </c>
      <c r="C61" s="20" t="s">
        <v>3</v>
      </c>
      <c r="D61" s="20" t="s">
        <v>2</v>
      </c>
      <c r="E61" s="20" t="s">
        <v>4</v>
      </c>
      <c r="F61" s="20" t="s">
        <v>47</v>
      </c>
      <c r="L61" s="34">
        <v>18500</v>
      </c>
    </row>
    <row r="62" spans="1:12" ht="16.2" customHeight="1" x14ac:dyDescent="0.3">
      <c r="A62" s="12">
        <v>2</v>
      </c>
      <c r="B62" s="11">
        <v>0.47916666666666669</v>
      </c>
      <c r="C62" s="12" t="s">
        <v>48</v>
      </c>
      <c r="D62" s="12">
        <v>-28</v>
      </c>
      <c r="E62" s="12" t="s">
        <v>24</v>
      </c>
      <c r="F62" s="12">
        <v>1</v>
      </c>
      <c r="H62" s="3" t="s">
        <v>5</v>
      </c>
      <c r="I62" s="3">
        <f>COUNT(Table314[RANGE])</f>
        <v>35</v>
      </c>
      <c r="K62" s="34">
        <f>((Table314[[#This Row],[SPOT PTS]]/2)*15)-65</f>
        <v>-275</v>
      </c>
      <c r="L62" s="34">
        <f>K62+L61</f>
        <v>18225</v>
      </c>
    </row>
    <row r="63" spans="1:12" ht="16.2" customHeight="1" thickBot="1" x14ac:dyDescent="0.35">
      <c r="A63" s="36">
        <v>2</v>
      </c>
      <c r="B63" s="37">
        <v>4.8611111111111112E-2</v>
      </c>
      <c r="C63" s="36" t="s">
        <v>50</v>
      </c>
      <c r="D63" s="36">
        <v>161</v>
      </c>
      <c r="E63" s="36" t="s">
        <v>24</v>
      </c>
      <c r="F63" s="36">
        <v>2</v>
      </c>
      <c r="H63" s="3" t="s">
        <v>6</v>
      </c>
      <c r="I63" s="5">
        <f>((COUNTIF(Table314[OUTCOME],"Target"))/I62)</f>
        <v>0.45714285714285713</v>
      </c>
      <c r="K63" s="34">
        <f>((Table314[[#This Row],[SPOT PTS]]/2)*15)-65</f>
        <v>1142.5</v>
      </c>
      <c r="L63" s="34">
        <f t="shared" ref="L63:L96" si="2">K63+L62</f>
        <v>19367.5</v>
      </c>
    </row>
    <row r="64" spans="1:12" ht="16.2" customHeight="1" thickBot="1" x14ac:dyDescent="0.35">
      <c r="A64" s="12">
        <v>3</v>
      </c>
      <c r="B64" s="11">
        <v>0.3888888888888889</v>
      </c>
      <c r="C64" s="12" t="s">
        <v>50</v>
      </c>
      <c r="D64" s="12">
        <v>255</v>
      </c>
      <c r="E64" s="12" t="s">
        <v>20</v>
      </c>
      <c r="F64" s="12">
        <v>1</v>
      </c>
      <c r="H64" s="3" t="s">
        <v>7</v>
      </c>
      <c r="I64" s="3">
        <f>SUM(Table314[SPOT PTS])</f>
        <v>1553</v>
      </c>
      <c r="K64" s="34">
        <f>((Table314[[#This Row],[SPOT PTS]]/2)*15)-65</f>
        <v>1847.5</v>
      </c>
      <c r="L64" s="34">
        <f t="shared" si="2"/>
        <v>21215</v>
      </c>
    </row>
    <row r="65" spans="1:12" ht="16.2" customHeight="1" x14ac:dyDescent="0.3">
      <c r="A65" s="38">
        <v>4</v>
      </c>
      <c r="B65" s="39">
        <v>0.4861111111111111</v>
      </c>
      <c r="C65" s="38" t="s">
        <v>48</v>
      </c>
      <c r="D65" s="38">
        <v>-58</v>
      </c>
      <c r="E65" s="38" t="s">
        <v>21</v>
      </c>
      <c r="F65" s="38">
        <v>1</v>
      </c>
      <c r="H65" s="3" t="s">
        <v>8</v>
      </c>
      <c r="I65" s="3">
        <f>65*I62</f>
        <v>2275</v>
      </c>
      <c r="K65" s="34">
        <f>((Table314[[#This Row],[SPOT PTS]]/2)*15)-65</f>
        <v>-500</v>
      </c>
      <c r="L65" s="34">
        <f t="shared" si="2"/>
        <v>20715</v>
      </c>
    </row>
    <row r="66" spans="1:12" ht="16.2" customHeight="1" thickBot="1" x14ac:dyDescent="0.35">
      <c r="A66" s="9">
        <v>4</v>
      </c>
      <c r="B66" s="8">
        <v>4.8611111111111112E-2</v>
      </c>
      <c r="C66" s="9" t="s">
        <v>48</v>
      </c>
      <c r="D66" s="9">
        <v>-80</v>
      </c>
      <c r="E66" s="9" t="s">
        <v>21</v>
      </c>
      <c r="F66" s="9">
        <v>2</v>
      </c>
      <c r="H66" s="3" t="s">
        <v>9</v>
      </c>
      <c r="I66" s="3">
        <f>SUMIF(Table314[OUTCOME],"Stoploss",Table314[SPOT PTS])</f>
        <v>-1079</v>
      </c>
      <c r="K66" s="34">
        <f>((Table314[[#This Row],[SPOT PTS]]/2)*15)-65</f>
        <v>-665</v>
      </c>
      <c r="L66" s="34">
        <f t="shared" si="2"/>
        <v>20050</v>
      </c>
    </row>
    <row r="67" spans="1:12" ht="16.2" customHeight="1" thickBot="1" x14ac:dyDescent="0.35">
      <c r="A67" s="38">
        <v>7</v>
      </c>
      <c r="B67" s="39">
        <v>0.45833333333333331</v>
      </c>
      <c r="C67" s="38" t="s">
        <v>50</v>
      </c>
      <c r="D67" s="38">
        <v>239</v>
      </c>
      <c r="E67" s="38" t="s">
        <v>22</v>
      </c>
      <c r="F67" s="38">
        <v>1</v>
      </c>
      <c r="H67" s="3" t="s">
        <v>10</v>
      </c>
      <c r="I67" s="3">
        <f>SUMIF(Table314[OUTCOME],"Target",Table314[SPOT PTS])</f>
        <v>2632</v>
      </c>
      <c r="K67" s="34">
        <f>((Table314[[#This Row],[SPOT PTS]]/2)*15)-65</f>
        <v>1727.5</v>
      </c>
      <c r="L67" s="34">
        <f t="shared" si="2"/>
        <v>21777.5</v>
      </c>
    </row>
    <row r="68" spans="1:12" ht="16.2" customHeight="1" thickBot="1" x14ac:dyDescent="0.35">
      <c r="A68" s="12">
        <v>8</v>
      </c>
      <c r="B68" s="11">
        <v>0.4375</v>
      </c>
      <c r="C68" s="12" t="s">
        <v>50</v>
      </c>
      <c r="D68" s="12">
        <v>144</v>
      </c>
      <c r="E68" s="12" t="s">
        <v>23</v>
      </c>
      <c r="F68" s="12">
        <v>1</v>
      </c>
      <c r="H68" s="3" t="s">
        <v>11</v>
      </c>
      <c r="I68" s="50">
        <f>I69/27872</f>
        <v>0.33626937428243397</v>
      </c>
      <c r="K68" s="34">
        <f>((Table314[[#This Row],[SPOT PTS]]/2)*15)-65</f>
        <v>1015</v>
      </c>
      <c r="L68" s="34">
        <f t="shared" si="2"/>
        <v>22792.5</v>
      </c>
    </row>
    <row r="69" spans="1:12" ht="16.2" customHeight="1" x14ac:dyDescent="0.3">
      <c r="A69" s="38">
        <v>9</v>
      </c>
      <c r="B69" s="39">
        <v>0.40277777777777773</v>
      </c>
      <c r="C69" s="38" t="s">
        <v>48</v>
      </c>
      <c r="D69" s="38">
        <v>-80</v>
      </c>
      <c r="E69" s="38" t="s">
        <v>24</v>
      </c>
      <c r="F69" s="38">
        <v>1</v>
      </c>
      <c r="H69" s="3" t="s">
        <v>12</v>
      </c>
      <c r="I69" s="49">
        <f>((I64/2)*15)-I65</f>
        <v>9372.5</v>
      </c>
      <c r="K69" s="34">
        <f>((Table314[[#This Row],[SPOT PTS]]/2)*15)-65</f>
        <v>-665</v>
      </c>
      <c r="L69" s="34">
        <f t="shared" si="2"/>
        <v>22127.5</v>
      </c>
    </row>
    <row r="70" spans="1:12" ht="16.2" customHeight="1" x14ac:dyDescent="0.3">
      <c r="A70" s="9">
        <v>9</v>
      </c>
      <c r="B70" s="8">
        <v>0.50347222222222221</v>
      </c>
      <c r="C70" s="9" t="s">
        <v>48</v>
      </c>
      <c r="D70" s="9">
        <v>-47</v>
      </c>
      <c r="E70" s="9" t="s">
        <v>24</v>
      </c>
      <c r="F70" s="9">
        <v>2</v>
      </c>
      <c r="K70" s="34">
        <f>((Table314[[#This Row],[SPOT PTS]]/2)*15)-65</f>
        <v>-417.5</v>
      </c>
      <c r="L70" s="34">
        <f t="shared" si="2"/>
        <v>21710</v>
      </c>
    </row>
    <row r="71" spans="1:12" ht="16.2" customHeight="1" thickBot="1" x14ac:dyDescent="0.35">
      <c r="A71" s="36">
        <v>9</v>
      </c>
      <c r="B71" s="37">
        <v>4.5138888888888888E-2</v>
      </c>
      <c r="C71" s="36" t="s">
        <v>50</v>
      </c>
      <c r="D71" s="36">
        <v>177</v>
      </c>
      <c r="E71" s="36" t="s">
        <v>24</v>
      </c>
      <c r="F71" s="36">
        <v>2</v>
      </c>
      <c r="K71" s="34">
        <f>((Table314[[#This Row],[SPOT PTS]]/2)*15)-65</f>
        <v>1262.5</v>
      </c>
      <c r="L71" s="34">
        <f t="shared" si="2"/>
        <v>22972.5</v>
      </c>
    </row>
    <row r="72" spans="1:12" ht="16.2" customHeight="1" thickBot="1" x14ac:dyDescent="0.35">
      <c r="A72" s="12">
        <v>10</v>
      </c>
      <c r="B72" s="11">
        <v>0.4375</v>
      </c>
      <c r="C72" s="12" t="s">
        <v>50</v>
      </c>
      <c r="D72" s="12">
        <v>162</v>
      </c>
      <c r="E72" s="12" t="s">
        <v>20</v>
      </c>
      <c r="F72" s="12">
        <v>1</v>
      </c>
      <c r="K72" s="34">
        <f>((Table314[[#This Row],[SPOT PTS]]/2)*15)-65</f>
        <v>1150</v>
      </c>
      <c r="L72" s="34">
        <f t="shared" si="2"/>
        <v>24122.5</v>
      </c>
    </row>
    <row r="73" spans="1:12" ht="16.2" customHeight="1" x14ac:dyDescent="0.3">
      <c r="A73" s="38">
        <v>11</v>
      </c>
      <c r="B73" s="39">
        <v>0.40625</v>
      </c>
      <c r="C73" s="38" t="s">
        <v>48</v>
      </c>
      <c r="D73" s="38">
        <v>-80</v>
      </c>
      <c r="E73" s="38" t="s">
        <v>21</v>
      </c>
      <c r="F73" s="38">
        <v>1</v>
      </c>
      <c r="K73" s="34">
        <f>((Table314[[#This Row],[SPOT PTS]]/2)*15)-65</f>
        <v>-665</v>
      </c>
      <c r="L73" s="34">
        <f t="shared" si="2"/>
        <v>23457.5</v>
      </c>
    </row>
    <row r="74" spans="1:12" ht="16.2" customHeight="1" thickBot="1" x14ac:dyDescent="0.35">
      <c r="A74" s="9">
        <v>11</v>
      </c>
      <c r="B74" s="8">
        <v>0.4236111111111111</v>
      </c>
      <c r="C74" s="9" t="s">
        <v>50</v>
      </c>
      <c r="D74" s="9">
        <v>143</v>
      </c>
      <c r="E74" s="9" t="s">
        <v>21</v>
      </c>
      <c r="F74" s="9">
        <v>1</v>
      </c>
      <c r="K74" s="34">
        <f>((Table314[[#This Row],[SPOT PTS]]/2)*15)-65</f>
        <v>1007.5</v>
      </c>
      <c r="L74" s="34">
        <f t="shared" si="2"/>
        <v>24465</v>
      </c>
    </row>
    <row r="75" spans="1:12" ht="16.2" customHeight="1" x14ac:dyDescent="0.3">
      <c r="A75" s="38">
        <v>14</v>
      </c>
      <c r="B75" s="39">
        <v>0.39583333333333331</v>
      </c>
      <c r="C75" s="38" t="s">
        <v>48</v>
      </c>
      <c r="D75" s="38">
        <v>-80</v>
      </c>
      <c r="E75" s="38" t="s">
        <v>22</v>
      </c>
      <c r="F75" s="38">
        <v>1</v>
      </c>
      <c r="K75" s="34">
        <f>((Table314[[#This Row],[SPOT PTS]]/2)*15)-65</f>
        <v>-665</v>
      </c>
      <c r="L75" s="34">
        <f t="shared" si="2"/>
        <v>23800</v>
      </c>
    </row>
    <row r="76" spans="1:12" ht="16.2" customHeight="1" thickBot="1" x14ac:dyDescent="0.35">
      <c r="A76" s="9">
        <v>14</v>
      </c>
      <c r="B76" s="8">
        <v>0.4236111111111111</v>
      </c>
      <c r="C76" s="9" t="s">
        <v>48</v>
      </c>
      <c r="D76" s="9">
        <v>-80</v>
      </c>
      <c r="E76" s="9" t="s">
        <v>22</v>
      </c>
      <c r="F76" s="9">
        <v>1</v>
      </c>
      <c r="K76" s="34">
        <f>((Table314[[#This Row],[SPOT PTS]]/2)*15)-65</f>
        <v>-665</v>
      </c>
      <c r="L76" s="34">
        <f t="shared" si="2"/>
        <v>23135</v>
      </c>
    </row>
    <row r="77" spans="1:12" ht="16.2" customHeight="1" thickBot="1" x14ac:dyDescent="0.35">
      <c r="A77" s="38">
        <v>15</v>
      </c>
      <c r="B77" s="39">
        <v>0.50694444444444442</v>
      </c>
      <c r="C77" s="38" t="s">
        <v>50</v>
      </c>
      <c r="D77" s="38">
        <v>141</v>
      </c>
      <c r="E77" s="38" t="s">
        <v>23</v>
      </c>
      <c r="F77" s="38">
        <v>2</v>
      </c>
      <c r="K77" s="34">
        <f>((Table314[[#This Row],[SPOT PTS]]/2)*15)-65</f>
        <v>992.5</v>
      </c>
      <c r="L77" s="34">
        <f t="shared" si="2"/>
        <v>24127.5</v>
      </c>
    </row>
    <row r="78" spans="1:12" ht="16.2" customHeight="1" thickBot="1" x14ac:dyDescent="0.35">
      <c r="A78" s="12">
        <v>16</v>
      </c>
      <c r="B78" s="11">
        <v>0.39930555555555558</v>
      </c>
      <c r="C78" s="12" t="s">
        <v>50</v>
      </c>
      <c r="D78" s="12">
        <v>175</v>
      </c>
      <c r="E78" s="12" t="s">
        <v>24</v>
      </c>
      <c r="F78" s="12">
        <v>1</v>
      </c>
      <c r="K78" s="34">
        <f>((Table314[[#This Row],[SPOT PTS]]/2)*15)-65</f>
        <v>1247.5</v>
      </c>
      <c r="L78" s="34">
        <f t="shared" si="2"/>
        <v>25375</v>
      </c>
    </row>
    <row r="79" spans="1:12" ht="16.2" customHeight="1" x14ac:dyDescent="0.3">
      <c r="A79" s="38">
        <v>17</v>
      </c>
      <c r="B79" s="39">
        <v>0.3923611111111111</v>
      </c>
      <c r="C79" s="38" t="s">
        <v>48</v>
      </c>
      <c r="D79" s="38">
        <v>-60</v>
      </c>
      <c r="E79" s="38" t="s">
        <v>20</v>
      </c>
      <c r="F79" s="38">
        <v>1</v>
      </c>
      <c r="K79" s="34">
        <f>((Table314[[#This Row],[SPOT PTS]]/2)*15)-65</f>
        <v>-515</v>
      </c>
      <c r="L79" s="34">
        <f t="shared" si="2"/>
        <v>24860</v>
      </c>
    </row>
    <row r="80" spans="1:12" ht="16.2" customHeight="1" x14ac:dyDescent="0.3">
      <c r="A80" s="9">
        <v>17</v>
      </c>
      <c r="B80" s="8">
        <v>0.4513888888888889</v>
      </c>
      <c r="C80" s="9" t="s">
        <v>48</v>
      </c>
      <c r="D80" s="9">
        <v>-29</v>
      </c>
      <c r="E80" s="9" t="s">
        <v>20</v>
      </c>
      <c r="F80" s="9">
        <v>1</v>
      </c>
      <c r="K80" s="34">
        <f>((Table314[[#This Row],[SPOT PTS]]/2)*15)-65</f>
        <v>-282.5</v>
      </c>
      <c r="L80" s="34">
        <f t="shared" si="2"/>
        <v>24577.5</v>
      </c>
    </row>
    <row r="81" spans="1:12" ht="16.2" customHeight="1" thickBot="1" x14ac:dyDescent="0.35">
      <c r="A81" s="36">
        <v>17</v>
      </c>
      <c r="B81" s="37">
        <v>0.49652777777777773</v>
      </c>
      <c r="C81" s="36" t="s">
        <v>50</v>
      </c>
      <c r="D81" s="36">
        <v>65</v>
      </c>
      <c r="E81" s="36" t="s">
        <v>20</v>
      </c>
      <c r="F81" s="36">
        <v>1</v>
      </c>
      <c r="K81" s="34">
        <f>((Table314[[#This Row],[SPOT PTS]]/2)*15)-65</f>
        <v>422.5</v>
      </c>
      <c r="L81" s="34">
        <f t="shared" si="2"/>
        <v>25000</v>
      </c>
    </row>
    <row r="82" spans="1:12" ht="16.2" customHeight="1" x14ac:dyDescent="0.3">
      <c r="A82" s="12">
        <v>21</v>
      </c>
      <c r="B82" s="11">
        <v>0.4236111111111111</v>
      </c>
      <c r="C82" s="12" t="s">
        <v>48</v>
      </c>
      <c r="D82" s="12">
        <v>-30</v>
      </c>
      <c r="E82" s="12" t="s">
        <v>22</v>
      </c>
      <c r="F82" s="12">
        <v>1</v>
      </c>
      <c r="K82" s="34">
        <f>((Table314[[#This Row],[SPOT PTS]]/2)*15)-65</f>
        <v>-290</v>
      </c>
      <c r="L82" s="34">
        <f t="shared" si="2"/>
        <v>24710</v>
      </c>
    </row>
    <row r="83" spans="1:12" ht="16.2" customHeight="1" thickBot="1" x14ac:dyDescent="0.35">
      <c r="A83" s="36">
        <v>21</v>
      </c>
      <c r="B83" s="37">
        <v>9.375E-2</v>
      </c>
      <c r="C83" s="36" t="s">
        <v>50</v>
      </c>
      <c r="D83" s="36">
        <v>144</v>
      </c>
      <c r="E83" s="36" t="s">
        <v>22</v>
      </c>
      <c r="F83" s="36">
        <v>2</v>
      </c>
      <c r="K83" s="34">
        <f>((Table314[[#This Row],[SPOT PTS]]/2)*15)-65</f>
        <v>1015</v>
      </c>
      <c r="L83" s="34">
        <f t="shared" si="2"/>
        <v>25725</v>
      </c>
    </row>
    <row r="84" spans="1:12" ht="16.2" customHeight="1" x14ac:dyDescent="0.3">
      <c r="A84" s="12">
        <v>22</v>
      </c>
      <c r="B84" s="11">
        <v>6.9444444444444434E-2</v>
      </c>
      <c r="C84" s="12" t="s">
        <v>48</v>
      </c>
      <c r="D84" s="12">
        <v>-41</v>
      </c>
      <c r="E84" s="12" t="s">
        <v>23</v>
      </c>
      <c r="F84" s="12">
        <v>2</v>
      </c>
      <c r="K84" s="34">
        <f>((Table314[[#This Row],[SPOT PTS]]/2)*15)-65</f>
        <v>-372.5</v>
      </c>
      <c r="L84" s="34">
        <f t="shared" si="2"/>
        <v>25352.5</v>
      </c>
    </row>
    <row r="85" spans="1:12" ht="16.2" customHeight="1" thickBot="1" x14ac:dyDescent="0.35">
      <c r="A85" s="36">
        <v>22</v>
      </c>
      <c r="B85" s="37">
        <v>8.6805555555555566E-2</v>
      </c>
      <c r="C85" s="36" t="s">
        <v>48</v>
      </c>
      <c r="D85" s="36">
        <v>-64</v>
      </c>
      <c r="E85" s="36" t="s">
        <v>23</v>
      </c>
      <c r="F85" s="36">
        <v>2</v>
      </c>
      <c r="K85" s="34">
        <f>((Table314[[#This Row],[SPOT PTS]]/2)*15)-65</f>
        <v>-545</v>
      </c>
      <c r="L85" s="34">
        <f t="shared" si="2"/>
        <v>24807.5</v>
      </c>
    </row>
    <row r="86" spans="1:12" ht="16.2" customHeight="1" thickBot="1" x14ac:dyDescent="0.35">
      <c r="A86" s="12">
        <v>23</v>
      </c>
      <c r="B86" s="11">
        <v>0.3923611111111111</v>
      </c>
      <c r="C86" s="12" t="s">
        <v>50</v>
      </c>
      <c r="D86" s="12">
        <v>240</v>
      </c>
      <c r="E86" s="12" t="s">
        <v>24</v>
      </c>
      <c r="F86" s="12">
        <v>1</v>
      </c>
      <c r="K86" s="34">
        <f>((Table314[[#This Row],[SPOT PTS]]/2)*15)-65</f>
        <v>1735</v>
      </c>
      <c r="L86" s="34">
        <f t="shared" si="2"/>
        <v>26542.5</v>
      </c>
    </row>
    <row r="87" spans="1:12" ht="16.2" customHeight="1" x14ac:dyDescent="0.3">
      <c r="A87" s="38">
        <v>24</v>
      </c>
      <c r="B87" s="39">
        <v>0.4201388888888889</v>
      </c>
      <c r="C87" s="38" t="s">
        <v>48</v>
      </c>
      <c r="D87" s="38">
        <v>-51</v>
      </c>
      <c r="E87" s="38" t="s">
        <v>20</v>
      </c>
      <c r="F87" s="38">
        <v>1</v>
      </c>
      <c r="K87" s="34">
        <f>((Table314[[#This Row],[SPOT PTS]]/2)*15)-65</f>
        <v>-447.5</v>
      </c>
      <c r="L87" s="34">
        <f t="shared" si="2"/>
        <v>26095</v>
      </c>
    </row>
    <row r="88" spans="1:12" ht="16.2" customHeight="1" thickBot="1" x14ac:dyDescent="0.35">
      <c r="A88" s="9">
        <v>24</v>
      </c>
      <c r="B88" s="8">
        <v>0.47916666666666669</v>
      </c>
      <c r="C88" s="9" t="s">
        <v>50</v>
      </c>
      <c r="D88" s="9">
        <v>141</v>
      </c>
      <c r="E88" s="9" t="s">
        <v>20</v>
      </c>
      <c r="F88" s="9">
        <v>1</v>
      </c>
      <c r="K88" s="34">
        <f>((Table314[[#This Row],[SPOT PTS]]/2)*15)-65</f>
        <v>992.5</v>
      </c>
      <c r="L88" s="34">
        <f t="shared" si="2"/>
        <v>27087.5</v>
      </c>
    </row>
    <row r="89" spans="1:12" ht="16.2" customHeight="1" thickBot="1" x14ac:dyDescent="0.35">
      <c r="A89" s="38">
        <v>25</v>
      </c>
      <c r="B89" s="39">
        <v>0.41666666666666669</v>
      </c>
      <c r="C89" s="38" t="s">
        <v>48</v>
      </c>
      <c r="D89" s="38">
        <v>-41</v>
      </c>
      <c r="E89" s="38" t="s">
        <v>21</v>
      </c>
      <c r="F89" s="38">
        <v>1</v>
      </c>
      <c r="K89" s="34">
        <f>((Table314[[#This Row],[SPOT PTS]]/2)*15)-65</f>
        <v>-372.5</v>
      </c>
      <c r="L89" s="34">
        <f t="shared" si="2"/>
        <v>26715</v>
      </c>
    </row>
    <row r="90" spans="1:12" ht="16.2" customHeight="1" x14ac:dyDescent="0.3">
      <c r="A90" s="12">
        <v>28</v>
      </c>
      <c r="B90" s="11">
        <v>0.45833333333333331</v>
      </c>
      <c r="C90" s="12" t="s">
        <v>48</v>
      </c>
      <c r="D90" s="12">
        <v>-31</v>
      </c>
      <c r="E90" s="12" t="s">
        <v>22</v>
      </c>
      <c r="F90" s="12">
        <v>1</v>
      </c>
      <c r="K90" s="34">
        <f>((Table314[[#This Row],[SPOT PTS]]/2)*15)-65</f>
        <v>-297.5</v>
      </c>
      <c r="L90" s="34">
        <f t="shared" si="2"/>
        <v>26417.5</v>
      </c>
    </row>
    <row r="91" spans="1:12" ht="16.2" customHeight="1" x14ac:dyDescent="0.3">
      <c r="A91" s="36">
        <v>28</v>
      </c>
      <c r="B91" s="37">
        <v>0.47916666666666669</v>
      </c>
      <c r="C91" s="36" t="s">
        <v>48</v>
      </c>
      <c r="D91" s="36">
        <v>-42</v>
      </c>
      <c r="E91" s="36" t="s">
        <v>22</v>
      </c>
      <c r="F91" s="36">
        <v>1</v>
      </c>
      <c r="K91" s="34">
        <f>((Table314[[#This Row],[SPOT PTS]]/2)*15)-65</f>
        <v>-380</v>
      </c>
      <c r="L91" s="34">
        <f t="shared" si="2"/>
        <v>26037.5</v>
      </c>
    </row>
    <row r="92" spans="1:12" ht="16.2" customHeight="1" thickBot="1" x14ac:dyDescent="0.35">
      <c r="A92" s="9">
        <v>28</v>
      </c>
      <c r="B92" s="8">
        <v>0.52777777777777779</v>
      </c>
      <c r="C92" s="9" t="s">
        <v>48</v>
      </c>
      <c r="D92" s="9">
        <v>-77</v>
      </c>
      <c r="E92" s="9" t="s">
        <v>22</v>
      </c>
      <c r="F92" s="9">
        <v>2</v>
      </c>
      <c r="K92" s="34">
        <f>((Table314[[#This Row],[SPOT PTS]]/2)*15)-65</f>
        <v>-642.5</v>
      </c>
      <c r="L92" s="34">
        <f t="shared" si="2"/>
        <v>25395</v>
      </c>
    </row>
    <row r="93" spans="1:12" ht="16.2" customHeight="1" x14ac:dyDescent="0.3">
      <c r="A93" s="38">
        <v>29</v>
      </c>
      <c r="B93" s="39">
        <v>0.3888888888888889</v>
      </c>
      <c r="C93" s="38" t="s">
        <v>48</v>
      </c>
      <c r="D93" s="38">
        <v>-80</v>
      </c>
      <c r="E93" s="38" t="s">
        <v>23</v>
      </c>
      <c r="F93" s="38">
        <v>1</v>
      </c>
      <c r="K93" s="34">
        <f>((Table314[[#This Row],[SPOT PTS]]/2)*15)-65</f>
        <v>-665</v>
      </c>
      <c r="L93" s="34">
        <f t="shared" si="2"/>
        <v>24730</v>
      </c>
    </row>
    <row r="94" spans="1:12" ht="16.2" customHeight="1" thickBot="1" x14ac:dyDescent="0.35">
      <c r="A94" s="9">
        <v>29</v>
      </c>
      <c r="B94" s="8">
        <v>0.46180555555555558</v>
      </c>
      <c r="C94" s="9" t="s">
        <v>50</v>
      </c>
      <c r="D94" s="9">
        <v>173</v>
      </c>
      <c r="E94" s="9" t="s">
        <v>23</v>
      </c>
      <c r="F94" s="9">
        <v>1</v>
      </c>
      <c r="K94" s="34">
        <f>((Table314[[#This Row],[SPOT PTS]]/2)*15)-65</f>
        <v>1232.5</v>
      </c>
      <c r="L94" s="34">
        <f t="shared" si="2"/>
        <v>25962.5</v>
      </c>
    </row>
    <row r="95" spans="1:12" ht="16.2" customHeight="1" thickBot="1" x14ac:dyDescent="0.35">
      <c r="A95" s="38">
        <v>30</v>
      </c>
      <c r="B95" s="39">
        <v>0.44791666666666669</v>
      </c>
      <c r="C95" s="38" t="s">
        <v>50</v>
      </c>
      <c r="D95" s="38">
        <v>184</v>
      </c>
      <c r="E95" s="38" t="s">
        <v>24</v>
      </c>
      <c r="F95" s="38">
        <v>1</v>
      </c>
      <c r="K95" s="34">
        <f>((Table314[[#This Row],[SPOT PTS]]/2)*15)-65</f>
        <v>1315</v>
      </c>
      <c r="L95" s="34">
        <f t="shared" si="2"/>
        <v>27277.5</v>
      </c>
    </row>
    <row r="96" spans="1:12" ht="16.2" customHeight="1" thickBot="1" x14ac:dyDescent="0.35">
      <c r="A96" s="16">
        <v>31</v>
      </c>
      <c r="B96" s="17">
        <v>0.41319444444444442</v>
      </c>
      <c r="C96" s="18" t="s">
        <v>50</v>
      </c>
      <c r="D96" s="18">
        <v>88</v>
      </c>
      <c r="E96" s="18" t="s">
        <v>20</v>
      </c>
      <c r="F96" s="19">
        <v>1</v>
      </c>
      <c r="K96" s="34">
        <f>((Table314[[#This Row],[SPOT PTS]]/2)*15)-65</f>
        <v>595</v>
      </c>
      <c r="L96" s="34">
        <f t="shared" si="2"/>
        <v>27872.5</v>
      </c>
    </row>
    <row r="97" spans="1:12" ht="16.2" customHeight="1" thickBot="1" x14ac:dyDescent="0.35">
      <c r="A97" s="57" t="s">
        <v>53</v>
      </c>
      <c r="B97" s="57"/>
      <c r="C97" s="57"/>
      <c r="D97" s="57"/>
      <c r="E97" s="57"/>
      <c r="F97" s="57"/>
    </row>
    <row r="98" spans="1:12" ht="16.2" customHeight="1" thickBot="1" x14ac:dyDescent="0.35">
      <c r="A98" s="20" t="s">
        <v>0</v>
      </c>
      <c r="B98" s="20" t="s">
        <v>1</v>
      </c>
      <c r="C98" s="20" t="s">
        <v>3</v>
      </c>
      <c r="D98" s="20" t="s">
        <v>2</v>
      </c>
      <c r="E98" s="20" t="s">
        <v>4</v>
      </c>
      <c r="F98" s="20" t="s">
        <v>47</v>
      </c>
      <c r="L98" s="34">
        <v>27872.5</v>
      </c>
    </row>
    <row r="99" spans="1:12" ht="16.2" customHeight="1" x14ac:dyDescent="0.3">
      <c r="A99" s="15">
        <v>1</v>
      </c>
      <c r="B99" s="14">
        <v>0.3923611111111111</v>
      </c>
      <c r="C99" s="15" t="s">
        <v>48</v>
      </c>
      <c r="D99" s="15">
        <v>-80</v>
      </c>
      <c r="E99" s="15" t="s">
        <v>21</v>
      </c>
      <c r="F99" s="15">
        <v>1</v>
      </c>
      <c r="H99" s="3" t="s">
        <v>5</v>
      </c>
      <c r="I99" s="3">
        <f>COUNT(Table415[RANGE])</f>
        <v>33</v>
      </c>
      <c r="K99" s="34">
        <f>((Table415[[#This Row],[SPOT PTS]]/2)*15)-65</f>
        <v>-665</v>
      </c>
      <c r="L99" s="34">
        <f>K99+L98</f>
        <v>27207.5</v>
      </c>
    </row>
    <row r="100" spans="1:12" ht="16.2" customHeight="1" x14ac:dyDescent="0.3">
      <c r="A100" s="9">
        <v>1</v>
      </c>
      <c r="B100" s="8">
        <v>0.42708333333333331</v>
      </c>
      <c r="C100" s="9" t="s">
        <v>48</v>
      </c>
      <c r="D100" s="9">
        <v>-26</v>
      </c>
      <c r="E100" s="9" t="s">
        <v>21</v>
      </c>
      <c r="F100" s="9">
        <v>1</v>
      </c>
      <c r="H100" s="3" t="s">
        <v>6</v>
      </c>
      <c r="I100" s="5">
        <f>((COUNTIF(Table415[OUTCOME],"Target"))/I99)</f>
        <v>0.45454545454545453</v>
      </c>
      <c r="K100" s="34">
        <f>((Table415[[#This Row],[SPOT PTS]]/2)*15)-65</f>
        <v>-260</v>
      </c>
      <c r="L100" s="34">
        <f t="shared" ref="L100:L131" si="3">K100+L99</f>
        <v>26947.5</v>
      </c>
    </row>
    <row r="101" spans="1:12" ht="16.2" customHeight="1" thickBot="1" x14ac:dyDescent="0.35">
      <c r="A101" s="7">
        <v>1</v>
      </c>
      <c r="B101" s="6">
        <v>0.46875</v>
      </c>
      <c r="C101" s="7" t="s">
        <v>50</v>
      </c>
      <c r="D101" s="7">
        <v>70</v>
      </c>
      <c r="E101" s="7" t="s">
        <v>21</v>
      </c>
      <c r="F101" s="7">
        <v>1</v>
      </c>
      <c r="H101" s="3" t="s">
        <v>7</v>
      </c>
      <c r="I101" s="3">
        <f>SUM(Table415[SPOT PTS])</f>
        <v>1135</v>
      </c>
      <c r="K101" s="34">
        <f>((Table415[[#This Row],[SPOT PTS]]/2)*15)-65</f>
        <v>460</v>
      </c>
      <c r="L101" s="34">
        <f t="shared" si="3"/>
        <v>27407.5</v>
      </c>
    </row>
    <row r="102" spans="1:12" ht="16.2" customHeight="1" x14ac:dyDescent="0.3">
      <c r="A102" s="12">
        <v>4</v>
      </c>
      <c r="B102" s="11">
        <v>0.40277777777777773</v>
      </c>
      <c r="C102" s="12" t="s">
        <v>48</v>
      </c>
      <c r="D102" s="12">
        <v>-80</v>
      </c>
      <c r="E102" s="12" t="s">
        <v>22</v>
      </c>
      <c r="F102" s="12">
        <v>1</v>
      </c>
      <c r="H102" s="3" t="s">
        <v>8</v>
      </c>
      <c r="I102" s="3">
        <f>65*I99</f>
        <v>2145</v>
      </c>
      <c r="K102" s="34">
        <f>((Table415[[#This Row],[SPOT PTS]]/2)*15)-65</f>
        <v>-665</v>
      </c>
      <c r="L102" s="34">
        <f t="shared" si="3"/>
        <v>26742.5</v>
      </c>
    </row>
    <row r="103" spans="1:12" ht="16.2" customHeight="1" thickBot="1" x14ac:dyDescent="0.35">
      <c r="A103" s="7">
        <v>4</v>
      </c>
      <c r="B103" s="6">
        <v>0.43055555555555558</v>
      </c>
      <c r="C103" s="7" t="s">
        <v>50</v>
      </c>
      <c r="D103" s="7">
        <v>234</v>
      </c>
      <c r="E103" s="7" t="s">
        <v>22</v>
      </c>
      <c r="F103" s="7">
        <v>1</v>
      </c>
      <c r="H103" s="3" t="s">
        <v>9</v>
      </c>
      <c r="I103" s="3">
        <f>SUMIF(Table415[OUTCOME],"Stoploss",Table415[SPOT PTS])</f>
        <v>-983</v>
      </c>
      <c r="K103" s="34">
        <f>((Table415[[#This Row],[SPOT PTS]]/2)*15)-65</f>
        <v>1690</v>
      </c>
      <c r="L103" s="34">
        <f t="shared" si="3"/>
        <v>28432.5</v>
      </c>
    </row>
    <row r="104" spans="1:12" ht="16.2" customHeight="1" thickBot="1" x14ac:dyDescent="0.35">
      <c r="A104" s="12">
        <v>5</v>
      </c>
      <c r="B104" s="11">
        <v>0.44097222222222227</v>
      </c>
      <c r="C104" s="12" t="s">
        <v>50</v>
      </c>
      <c r="D104" s="12">
        <v>102</v>
      </c>
      <c r="E104" s="12" t="s">
        <v>23</v>
      </c>
      <c r="F104" s="12">
        <v>1</v>
      </c>
      <c r="H104" s="3" t="s">
        <v>10</v>
      </c>
      <c r="I104" s="3">
        <f>SUMIF(Table415[OUTCOME],"Target",Table415[SPOT PTS])</f>
        <v>2118</v>
      </c>
      <c r="K104" s="34">
        <f>((Table415[[#This Row],[SPOT PTS]]/2)*15)-65</f>
        <v>700</v>
      </c>
      <c r="L104" s="34">
        <f t="shared" si="3"/>
        <v>29132.5</v>
      </c>
    </row>
    <row r="105" spans="1:12" ht="16.2" customHeight="1" x14ac:dyDescent="0.3">
      <c r="A105" s="15">
        <v>6</v>
      </c>
      <c r="B105" s="14">
        <v>0.51736111111111105</v>
      </c>
      <c r="C105" s="15" t="s">
        <v>48</v>
      </c>
      <c r="D105" s="15">
        <v>-54</v>
      </c>
      <c r="E105" s="15" t="s">
        <v>24</v>
      </c>
      <c r="F105" s="15">
        <v>2</v>
      </c>
      <c r="H105" s="3" t="s">
        <v>11</v>
      </c>
      <c r="I105" s="5">
        <f>I106/34240</f>
        <v>0.18596670560747663</v>
      </c>
      <c r="K105" s="34">
        <f>((Table415[[#This Row],[SPOT PTS]]/2)*15)-65</f>
        <v>-470</v>
      </c>
      <c r="L105" s="34">
        <f t="shared" si="3"/>
        <v>28662.5</v>
      </c>
    </row>
    <row r="106" spans="1:12" ht="16.2" customHeight="1" thickBot="1" x14ac:dyDescent="0.35">
      <c r="A106" s="9">
        <v>6</v>
      </c>
      <c r="B106" s="8">
        <v>0.53125</v>
      </c>
      <c r="C106" s="9" t="s">
        <v>50</v>
      </c>
      <c r="D106" s="9">
        <v>190</v>
      </c>
      <c r="E106" s="9" t="s">
        <v>24</v>
      </c>
      <c r="F106" s="9">
        <v>2</v>
      </c>
      <c r="H106" s="3" t="s">
        <v>12</v>
      </c>
      <c r="I106" s="49">
        <f>((I101/2)*15)-I102</f>
        <v>6367.5</v>
      </c>
      <c r="K106" s="34">
        <f>((Table415[[#This Row],[SPOT PTS]]/2)*15)-65</f>
        <v>1360</v>
      </c>
      <c r="L106" s="34">
        <f t="shared" si="3"/>
        <v>30022.5</v>
      </c>
    </row>
    <row r="107" spans="1:12" ht="16.2" customHeight="1" x14ac:dyDescent="0.3">
      <c r="A107" s="15">
        <v>7</v>
      </c>
      <c r="B107" s="14">
        <v>0.46875</v>
      </c>
      <c r="C107" s="15" t="s">
        <v>48</v>
      </c>
      <c r="D107" s="15">
        <v>-65</v>
      </c>
      <c r="E107" s="15" t="s">
        <v>20</v>
      </c>
      <c r="F107" s="15">
        <v>1</v>
      </c>
      <c r="K107" s="34">
        <f>((Table415[[#This Row],[SPOT PTS]]/2)*15)-65</f>
        <v>-552.5</v>
      </c>
      <c r="L107" s="34">
        <f t="shared" si="3"/>
        <v>29470</v>
      </c>
    </row>
    <row r="108" spans="1:12" ht="16.2" customHeight="1" thickBot="1" x14ac:dyDescent="0.35">
      <c r="A108" s="9">
        <v>7</v>
      </c>
      <c r="B108" s="8">
        <v>0.50347222222222221</v>
      </c>
      <c r="C108" s="9" t="s">
        <v>50</v>
      </c>
      <c r="D108" s="9">
        <v>216</v>
      </c>
      <c r="E108" s="9" t="s">
        <v>20</v>
      </c>
      <c r="F108" s="9">
        <v>2</v>
      </c>
      <c r="K108" s="34">
        <f>((Table415[[#This Row],[SPOT PTS]]/2)*15)-65</f>
        <v>1555</v>
      </c>
      <c r="L108" s="34">
        <f t="shared" si="3"/>
        <v>31025</v>
      </c>
    </row>
    <row r="109" spans="1:12" ht="16.2" customHeight="1" x14ac:dyDescent="0.3">
      <c r="A109" s="15">
        <v>8</v>
      </c>
      <c r="B109" s="14">
        <v>0.42708333333333331</v>
      </c>
      <c r="C109" s="15" t="s">
        <v>48</v>
      </c>
      <c r="D109" s="15">
        <v>-80</v>
      </c>
      <c r="E109" s="15" t="s">
        <v>21</v>
      </c>
      <c r="F109" s="15">
        <v>1</v>
      </c>
      <c r="K109" s="34">
        <f>((Table415[[#This Row],[SPOT PTS]]/2)*15)-65</f>
        <v>-665</v>
      </c>
      <c r="L109" s="34">
        <f t="shared" si="3"/>
        <v>30360</v>
      </c>
    </row>
    <row r="110" spans="1:12" ht="16.2" customHeight="1" x14ac:dyDescent="0.3">
      <c r="A110" s="9">
        <v>8</v>
      </c>
      <c r="B110" s="8">
        <v>0.51736111111111105</v>
      </c>
      <c r="C110" s="9" t="s">
        <v>48</v>
      </c>
      <c r="D110" s="9">
        <v>-35</v>
      </c>
      <c r="E110" s="9" t="s">
        <v>21</v>
      </c>
      <c r="F110" s="9">
        <v>2</v>
      </c>
      <c r="K110" s="34">
        <f>((Table415[[#This Row],[SPOT PTS]]/2)*15)-65</f>
        <v>-327.5</v>
      </c>
      <c r="L110" s="34">
        <f t="shared" si="3"/>
        <v>30032.5</v>
      </c>
    </row>
    <row r="111" spans="1:12" ht="16.2" customHeight="1" thickBot="1" x14ac:dyDescent="0.35">
      <c r="A111" s="7">
        <v>8</v>
      </c>
      <c r="B111" s="6">
        <v>0.53125</v>
      </c>
      <c r="C111" s="7" t="s">
        <v>48</v>
      </c>
      <c r="D111" s="7">
        <v>-50</v>
      </c>
      <c r="E111" s="7" t="s">
        <v>21</v>
      </c>
      <c r="F111" s="7">
        <v>2</v>
      </c>
      <c r="K111" s="34">
        <f>((Table415[[#This Row],[SPOT PTS]]/2)*15)-65</f>
        <v>-440</v>
      </c>
      <c r="L111" s="34">
        <f t="shared" si="3"/>
        <v>29592.5</v>
      </c>
    </row>
    <row r="112" spans="1:12" ht="16.2" customHeight="1" x14ac:dyDescent="0.3">
      <c r="A112" s="12">
        <v>11</v>
      </c>
      <c r="B112" s="11">
        <v>0.4375</v>
      </c>
      <c r="C112" s="12" t="s">
        <v>48</v>
      </c>
      <c r="D112" s="12">
        <v>-60</v>
      </c>
      <c r="E112" s="12" t="s">
        <v>22</v>
      </c>
      <c r="F112" s="12">
        <v>1</v>
      </c>
      <c r="K112" s="34">
        <f>((Table415[[#This Row],[SPOT PTS]]/2)*15)-65</f>
        <v>-515</v>
      </c>
      <c r="L112" s="34">
        <f t="shared" si="3"/>
        <v>29077.5</v>
      </c>
    </row>
    <row r="113" spans="1:12" ht="16.2" customHeight="1" thickBot="1" x14ac:dyDescent="0.35">
      <c r="A113" s="7">
        <v>11</v>
      </c>
      <c r="B113" s="6">
        <v>4.5138888888888888E-2</v>
      </c>
      <c r="C113" s="7" t="s">
        <v>50</v>
      </c>
      <c r="D113" s="7">
        <v>202</v>
      </c>
      <c r="E113" s="7" t="s">
        <v>22</v>
      </c>
      <c r="F113" s="7">
        <v>2</v>
      </c>
      <c r="K113" s="34">
        <f>((Table415[[#This Row],[SPOT PTS]]/2)*15)-65</f>
        <v>1450</v>
      </c>
      <c r="L113" s="34">
        <f t="shared" si="3"/>
        <v>30527.5</v>
      </c>
    </row>
    <row r="114" spans="1:12" ht="16.2" customHeight="1" x14ac:dyDescent="0.3">
      <c r="A114" s="12">
        <v>12</v>
      </c>
      <c r="B114" s="11">
        <v>0.44791666666666669</v>
      </c>
      <c r="C114" s="12" t="s">
        <v>48</v>
      </c>
      <c r="D114" s="12">
        <v>-47</v>
      </c>
      <c r="E114" s="12" t="s">
        <v>23</v>
      </c>
      <c r="F114" s="12">
        <v>1</v>
      </c>
      <c r="K114" s="34">
        <f>((Table415[[#This Row],[SPOT PTS]]/2)*15)-65</f>
        <v>-417.5</v>
      </c>
      <c r="L114" s="34">
        <f t="shared" si="3"/>
        <v>30110</v>
      </c>
    </row>
    <row r="115" spans="1:12" ht="16.2" customHeight="1" thickBot="1" x14ac:dyDescent="0.35">
      <c r="A115" s="7">
        <v>12</v>
      </c>
      <c r="B115" s="6">
        <v>4.1666666666666664E-2</v>
      </c>
      <c r="C115" s="7" t="s">
        <v>50</v>
      </c>
      <c r="D115" s="7">
        <v>100</v>
      </c>
      <c r="E115" s="7" t="s">
        <v>23</v>
      </c>
      <c r="F115" s="7">
        <v>2</v>
      </c>
      <c r="K115" s="34">
        <f>((Table415[[#This Row],[SPOT PTS]]/2)*15)-65</f>
        <v>685</v>
      </c>
      <c r="L115" s="34">
        <f t="shared" si="3"/>
        <v>30795</v>
      </c>
    </row>
    <row r="116" spans="1:12" ht="16.2" customHeight="1" thickBot="1" x14ac:dyDescent="0.35">
      <c r="A116" s="12">
        <v>13</v>
      </c>
      <c r="B116" s="11">
        <v>0.39930555555555558</v>
      </c>
      <c r="C116" s="12" t="s">
        <v>50</v>
      </c>
      <c r="D116" s="12">
        <v>176</v>
      </c>
      <c r="E116" s="12" t="s">
        <v>24</v>
      </c>
      <c r="F116" s="12">
        <v>1</v>
      </c>
      <c r="K116" s="34">
        <f>((Table415[[#This Row],[SPOT PTS]]/2)*15)-65</f>
        <v>1255</v>
      </c>
      <c r="L116" s="34">
        <f t="shared" si="3"/>
        <v>32050</v>
      </c>
    </row>
    <row r="117" spans="1:12" ht="16.2" customHeight="1" x14ac:dyDescent="0.3">
      <c r="A117" s="15">
        <v>18</v>
      </c>
      <c r="B117" s="14">
        <v>0.47916666666666669</v>
      </c>
      <c r="C117" s="15" t="s">
        <v>48</v>
      </c>
      <c r="D117" s="15">
        <v>-38</v>
      </c>
      <c r="E117" s="15" t="s">
        <v>22</v>
      </c>
      <c r="F117" s="15">
        <v>1</v>
      </c>
      <c r="K117" s="34">
        <f>((Table415[[#This Row],[SPOT PTS]]/2)*15)-65</f>
        <v>-350</v>
      </c>
      <c r="L117" s="34">
        <f t="shared" si="3"/>
        <v>31700</v>
      </c>
    </row>
    <row r="118" spans="1:12" ht="16.2" customHeight="1" thickBot="1" x14ac:dyDescent="0.35">
      <c r="A118" s="9">
        <v>18</v>
      </c>
      <c r="B118" s="8">
        <v>0.11805555555555557</v>
      </c>
      <c r="C118" s="9" t="s">
        <v>48</v>
      </c>
      <c r="D118" s="9">
        <v>-48</v>
      </c>
      <c r="E118" s="9" t="s">
        <v>22</v>
      </c>
      <c r="F118" s="9">
        <v>1</v>
      </c>
      <c r="K118" s="34">
        <f>((Table415[[#This Row],[SPOT PTS]]/2)*15)-65</f>
        <v>-425</v>
      </c>
      <c r="L118" s="34">
        <f t="shared" si="3"/>
        <v>31275</v>
      </c>
    </row>
    <row r="119" spans="1:12" ht="16.2" customHeight="1" thickBot="1" x14ac:dyDescent="0.35">
      <c r="A119" s="15">
        <v>19</v>
      </c>
      <c r="B119" s="14">
        <v>0.51736111111111105</v>
      </c>
      <c r="C119" s="15" t="s">
        <v>50</v>
      </c>
      <c r="D119" s="15">
        <v>115</v>
      </c>
      <c r="E119" s="15" t="s">
        <v>23</v>
      </c>
      <c r="F119" s="15">
        <v>1</v>
      </c>
      <c r="K119" s="34">
        <f>((Table415[[#This Row],[SPOT PTS]]/2)*15)-65</f>
        <v>797.5</v>
      </c>
      <c r="L119" s="34">
        <f t="shared" si="3"/>
        <v>32072.5</v>
      </c>
    </row>
    <row r="120" spans="1:12" ht="16.2" customHeight="1" thickBot="1" x14ac:dyDescent="0.35">
      <c r="A120" s="12">
        <v>20</v>
      </c>
      <c r="B120" s="11">
        <v>0.40625</v>
      </c>
      <c r="C120" s="12" t="s">
        <v>50</v>
      </c>
      <c r="D120" s="12">
        <v>169</v>
      </c>
      <c r="E120" s="12" t="s">
        <v>24</v>
      </c>
      <c r="F120" s="12">
        <v>1</v>
      </c>
      <c r="K120" s="34">
        <f>((Table415[[#This Row],[SPOT PTS]]/2)*15)-65</f>
        <v>1202.5</v>
      </c>
      <c r="L120" s="34">
        <f t="shared" si="3"/>
        <v>33275</v>
      </c>
    </row>
    <row r="121" spans="1:12" ht="16.2" customHeight="1" thickBot="1" x14ac:dyDescent="0.35">
      <c r="A121" s="15">
        <v>21</v>
      </c>
      <c r="B121" s="14">
        <v>0.3923611111111111</v>
      </c>
      <c r="C121" s="15" t="s">
        <v>50</v>
      </c>
      <c r="D121" s="15">
        <v>162</v>
      </c>
      <c r="E121" s="15" t="s">
        <v>20</v>
      </c>
      <c r="F121" s="15">
        <v>1</v>
      </c>
      <c r="K121" s="34">
        <f>((Table415[[#This Row],[SPOT PTS]]/2)*15)-65</f>
        <v>1150</v>
      </c>
      <c r="L121" s="34">
        <f t="shared" si="3"/>
        <v>34425</v>
      </c>
    </row>
    <row r="122" spans="1:12" ht="16.2" customHeight="1" thickBot="1" x14ac:dyDescent="0.35">
      <c r="A122" s="12">
        <v>22</v>
      </c>
      <c r="B122" s="11">
        <v>0.46875</v>
      </c>
      <c r="C122" s="12" t="s">
        <v>50</v>
      </c>
      <c r="D122" s="12">
        <v>118</v>
      </c>
      <c r="E122" s="12" t="s">
        <v>21</v>
      </c>
      <c r="F122" s="12">
        <v>1</v>
      </c>
      <c r="K122" s="34">
        <f>((Table415[[#This Row],[SPOT PTS]]/2)*15)-65</f>
        <v>820</v>
      </c>
      <c r="L122" s="34">
        <f t="shared" si="3"/>
        <v>35245</v>
      </c>
    </row>
    <row r="123" spans="1:12" ht="16.2" customHeight="1" thickBot="1" x14ac:dyDescent="0.35">
      <c r="A123" s="15">
        <v>25</v>
      </c>
      <c r="B123" s="14">
        <v>0.42708333333333331</v>
      </c>
      <c r="C123" s="15" t="s">
        <v>48</v>
      </c>
      <c r="D123" s="15">
        <v>-80</v>
      </c>
      <c r="E123" s="15" t="s">
        <v>22</v>
      </c>
      <c r="F123" s="15">
        <v>1</v>
      </c>
      <c r="K123" s="34">
        <f>((Table415[[#This Row],[SPOT PTS]]/2)*15)-65</f>
        <v>-665</v>
      </c>
      <c r="L123" s="34">
        <f t="shared" si="3"/>
        <v>34580</v>
      </c>
    </row>
    <row r="124" spans="1:12" ht="16.2" customHeight="1" x14ac:dyDescent="0.3">
      <c r="A124" s="12">
        <v>26</v>
      </c>
      <c r="B124" s="11">
        <v>0.40277777777777773</v>
      </c>
      <c r="C124" s="12" t="s">
        <v>48</v>
      </c>
      <c r="D124" s="12">
        <v>-50</v>
      </c>
      <c r="E124" s="12" t="s">
        <v>23</v>
      </c>
      <c r="F124" s="12">
        <v>1</v>
      </c>
      <c r="K124" s="34">
        <f>((Table415[[#This Row],[SPOT PTS]]/2)*15)-65</f>
        <v>-440</v>
      </c>
      <c r="L124" s="34">
        <f t="shared" si="3"/>
        <v>34140</v>
      </c>
    </row>
    <row r="125" spans="1:12" ht="16.2" customHeight="1" x14ac:dyDescent="0.3">
      <c r="A125" s="7">
        <v>26</v>
      </c>
      <c r="B125" s="6">
        <v>0.4861111111111111</v>
      </c>
      <c r="C125" s="7" t="s">
        <v>48</v>
      </c>
      <c r="D125" s="7">
        <v>-20</v>
      </c>
      <c r="E125" s="7" t="s">
        <v>23</v>
      </c>
      <c r="F125" s="7">
        <v>1</v>
      </c>
      <c r="K125" s="34">
        <f>((Table415[[#This Row],[SPOT PTS]]/2)*15)-65</f>
        <v>-215</v>
      </c>
      <c r="L125" s="34">
        <f t="shared" si="3"/>
        <v>33925</v>
      </c>
    </row>
    <row r="126" spans="1:12" ht="16.2" customHeight="1" thickBot="1" x14ac:dyDescent="0.35">
      <c r="A126" s="9">
        <v>26</v>
      </c>
      <c r="B126" s="8">
        <v>7.9861111111111105E-2</v>
      </c>
      <c r="C126" s="9" t="s">
        <v>50</v>
      </c>
      <c r="D126" s="9">
        <v>81</v>
      </c>
      <c r="E126" s="9" t="s">
        <v>23</v>
      </c>
      <c r="F126" s="9">
        <v>2</v>
      </c>
      <c r="K126" s="34">
        <f>((Table415[[#This Row],[SPOT PTS]]/2)*15)-65</f>
        <v>542.5</v>
      </c>
      <c r="L126" s="34">
        <f t="shared" si="3"/>
        <v>34467.5</v>
      </c>
    </row>
    <row r="127" spans="1:12" ht="16.2" customHeight="1" thickBot="1" x14ac:dyDescent="0.35">
      <c r="A127" s="15">
        <v>27</v>
      </c>
      <c r="B127" s="14">
        <v>0.46875</v>
      </c>
      <c r="C127" s="15" t="s">
        <v>50</v>
      </c>
      <c r="D127" s="15">
        <v>69</v>
      </c>
      <c r="E127" s="15" t="s">
        <v>24</v>
      </c>
      <c r="F127" s="15">
        <v>1</v>
      </c>
      <c r="K127" s="34">
        <f>((Table415[[#This Row],[SPOT PTS]]/2)*15)-65</f>
        <v>452.5</v>
      </c>
      <c r="L127" s="34">
        <f t="shared" si="3"/>
        <v>34920</v>
      </c>
    </row>
    <row r="128" spans="1:12" ht="16.2" customHeight="1" x14ac:dyDescent="0.3">
      <c r="A128" s="12">
        <v>28</v>
      </c>
      <c r="B128" s="11">
        <v>0.3888888888888889</v>
      </c>
      <c r="C128" s="12" t="s">
        <v>48</v>
      </c>
      <c r="D128" s="12">
        <v>-80</v>
      </c>
      <c r="E128" s="12" t="s">
        <v>20</v>
      </c>
      <c r="F128" s="12">
        <v>1</v>
      </c>
      <c r="K128" s="34">
        <f>((Table415[[#This Row],[SPOT PTS]]/2)*15)-65</f>
        <v>-665</v>
      </c>
      <c r="L128" s="34">
        <f t="shared" si="3"/>
        <v>34255</v>
      </c>
    </row>
    <row r="129" spans="1:12" ht="16.2" customHeight="1" thickBot="1" x14ac:dyDescent="0.35">
      <c r="A129" s="7">
        <v>28</v>
      </c>
      <c r="B129" s="6">
        <v>7.6388888888888895E-2</v>
      </c>
      <c r="C129" s="7" t="s">
        <v>48</v>
      </c>
      <c r="D129" s="7">
        <v>-33</v>
      </c>
      <c r="E129" s="7" t="s">
        <v>20</v>
      </c>
      <c r="F129" s="7">
        <v>1</v>
      </c>
      <c r="K129" s="34">
        <f>((Table415[[#This Row],[SPOT PTS]]/2)*15)-65</f>
        <v>-312.5</v>
      </c>
      <c r="L129" s="34">
        <f t="shared" si="3"/>
        <v>33942.5</v>
      </c>
    </row>
    <row r="130" spans="1:12" ht="16.2" customHeight="1" x14ac:dyDescent="0.3">
      <c r="A130" s="10">
        <v>29</v>
      </c>
      <c r="B130" s="11">
        <v>0.3923611111111111</v>
      </c>
      <c r="C130" s="12" t="s">
        <v>48</v>
      </c>
      <c r="D130" s="12">
        <v>-57</v>
      </c>
      <c r="E130" s="12" t="s">
        <v>21</v>
      </c>
      <c r="F130" s="13">
        <v>1</v>
      </c>
      <c r="K130" s="34">
        <f>((Table415[[#This Row],[SPOT PTS]]/2)*15)-65</f>
        <v>-492.5</v>
      </c>
      <c r="L130" s="34">
        <f t="shared" si="3"/>
        <v>33450</v>
      </c>
    </row>
    <row r="131" spans="1:12" ht="16.2" customHeight="1" thickBot="1" x14ac:dyDescent="0.35">
      <c r="A131" s="21">
        <v>29</v>
      </c>
      <c r="B131" s="22">
        <v>0.40277777777777773</v>
      </c>
      <c r="C131" s="23" t="s">
        <v>50</v>
      </c>
      <c r="D131" s="23">
        <v>114</v>
      </c>
      <c r="E131" s="23" t="s">
        <v>21</v>
      </c>
      <c r="F131" s="24">
        <v>1</v>
      </c>
      <c r="K131" s="34">
        <f>((Table415[[#This Row],[SPOT PTS]]/2)*15)-65</f>
        <v>790</v>
      </c>
      <c r="L131" s="34">
        <f t="shared" si="3"/>
        <v>34240</v>
      </c>
    </row>
    <row r="132" spans="1:12" ht="16.2" customHeight="1" thickBot="1" x14ac:dyDescent="0.35">
      <c r="A132" s="57" t="s">
        <v>36</v>
      </c>
      <c r="B132" s="57"/>
      <c r="C132" s="57"/>
      <c r="D132" s="57"/>
      <c r="E132" s="57"/>
      <c r="F132" s="57"/>
    </row>
    <row r="133" spans="1:12" ht="16.2" customHeight="1" thickBot="1" x14ac:dyDescent="0.35">
      <c r="A133" s="20" t="s">
        <v>0</v>
      </c>
      <c r="B133" s="20" t="s">
        <v>1</v>
      </c>
      <c r="C133" s="20" t="s">
        <v>3</v>
      </c>
      <c r="D133" s="20" t="s">
        <v>2</v>
      </c>
      <c r="E133" s="20" t="s">
        <v>4</v>
      </c>
      <c r="F133" s="20" t="s">
        <v>47</v>
      </c>
      <c r="L133" s="34">
        <v>34240</v>
      </c>
    </row>
    <row r="134" spans="1:12" ht="16.2" customHeight="1" thickBot="1" x14ac:dyDescent="0.35">
      <c r="A134" s="12">
        <v>2</v>
      </c>
      <c r="B134" s="11">
        <v>0.52777777777777779</v>
      </c>
      <c r="C134" s="12" t="s">
        <v>50</v>
      </c>
      <c r="D134" s="12">
        <v>64</v>
      </c>
      <c r="E134" s="12" t="s">
        <v>22</v>
      </c>
      <c r="F134" s="12">
        <v>2</v>
      </c>
      <c r="H134" s="3" t="s">
        <v>5</v>
      </c>
      <c r="I134" s="3">
        <f>COUNT(Table516[RANGE])</f>
        <v>40</v>
      </c>
      <c r="K134" s="34">
        <f>((Table516[[#This Row],[SPOT PTS]]/2)*15)-65</f>
        <v>415</v>
      </c>
      <c r="L134" s="34">
        <f>K134+L133</f>
        <v>34655</v>
      </c>
    </row>
    <row r="135" spans="1:12" ht="16.2" customHeight="1" thickBot="1" x14ac:dyDescent="0.35">
      <c r="A135" s="38">
        <v>3</v>
      </c>
      <c r="B135" s="39">
        <v>0.47916666666666669</v>
      </c>
      <c r="C135" s="38" t="s">
        <v>50</v>
      </c>
      <c r="D135" s="38">
        <v>123</v>
      </c>
      <c r="E135" s="38" t="s">
        <v>23</v>
      </c>
      <c r="F135" s="38">
        <v>1</v>
      </c>
      <c r="H135" s="3" t="s">
        <v>6</v>
      </c>
      <c r="I135" s="5">
        <f>((COUNTIF(Table516[OUTCOME],"Target"))/I134)</f>
        <v>0.47499999999999998</v>
      </c>
      <c r="K135" s="34">
        <f>((Table516[[#This Row],[SPOT PTS]]/2)*15)-65</f>
        <v>857.5</v>
      </c>
      <c r="L135" s="34">
        <f t="shared" ref="L135:L173" si="4">K135+L134</f>
        <v>35512.5</v>
      </c>
    </row>
    <row r="136" spans="1:12" ht="16.2" customHeight="1" thickBot="1" x14ac:dyDescent="0.35">
      <c r="A136" s="12">
        <v>4</v>
      </c>
      <c r="B136" s="11">
        <v>6.5972222222222224E-2</v>
      </c>
      <c r="C136" s="12" t="s">
        <v>48</v>
      </c>
      <c r="D136" s="12">
        <v>-74</v>
      </c>
      <c r="E136" s="12" t="s">
        <v>24</v>
      </c>
      <c r="F136" s="12">
        <v>1</v>
      </c>
      <c r="H136" s="3" t="s">
        <v>7</v>
      </c>
      <c r="I136" s="3">
        <f>SUM(Table516[SPOT PTS])</f>
        <v>1385</v>
      </c>
      <c r="K136" s="34">
        <f>((Table516[[#This Row],[SPOT PTS]]/2)*15)-65</f>
        <v>-620</v>
      </c>
      <c r="L136" s="34">
        <f t="shared" si="4"/>
        <v>34892.5</v>
      </c>
    </row>
    <row r="137" spans="1:12" ht="16.2" customHeight="1" x14ac:dyDescent="0.3">
      <c r="A137" s="38">
        <v>5</v>
      </c>
      <c r="B137" s="39">
        <v>0.41319444444444442</v>
      </c>
      <c r="C137" s="38" t="s">
        <v>48</v>
      </c>
      <c r="D137" s="38">
        <v>-25</v>
      </c>
      <c r="E137" s="38" t="s">
        <v>20</v>
      </c>
      <c r="F137" s="38">
        <v>1</v>
      </c>
      <c r="H137" s="3" t="s">
        <v>8</v>
      </c>
      <c r="I137" s="3">
        <f>65*I134</f>
        <v>2600</v>
      </c>
      <c r="K137" s="34">
        <f>((Table516[[#This Row],[SPOT PTS]]/2)*15)-65</f>
        <v>-252.5</v>
      </c>
      <c r="L137" s="34">
        <f t="shared" si="4"/>
        <v>34640</v>
      </c>
    </row>
    <row r="138" spans="1:12" ht="16.2" customHeight="1" x14ac:dyDescent="0.3">
      <c r="A138" s="9">
        <v>5</v>
      </c>
      <c r="B138" s="8">
        <v>0.43055555555555558</v>
      </c>
      <c r="C138" s="9" t="s">
        <v>48</v>
      </c>
      <c r="D138" s="9">
        <v>-54</v>
      </c>
      <c r="E138" s="9" t="s">
        <v>20</v>
      </c>
      <c r="F138" s="9">
        <v>1</v>
      </c>
      <c r="H138" s="3" t="s">
        <v>9</v>
      </c>
      <c r="I138" s="3">
        <f>SUMIF(Table516[OUTCOME],"Stoploss",Table516[SPOT PTS])</f>
        <v>-1191</v>
      </c>
      <c r="K138" s="34">
        <f>((Table516[[#This Row],[SPOT PTS]]/2)*15)-65</f>
        <v>-470</v>
      </c>
      <c r="L138" s="34">
        <f t="shared" si="4"/>
        <v>34170</v>
      </c>
    </row>
    <row r="139" spans="1:12" ht="16.2" customHeight="1" thickBot="1" x14ac:dyDescent="0.35">
      <c r="A139" s="36">
        <v>5</v>
      </c>
      <c r="B139" s="37">
        <v>0.46875</v>
      </c>
      <c r="C139" s="36" t="s">
        <v>50</v>
      </c>
      <c r="D139" s="36">
        <v>100</v>
      </c>
      <c r="E139" s="36" t="s">
        <v>20</v>
      </c>
      <c r="F139" s="36">
        <v>1</v>
      </c>
      <c r="H139" s="3" t="s">
        <v>10</v>
      </c>
      <c r="I139" s="3">
        <f>SUMIF(Table516[OUTCOME],"Target",Table516[SPOT PTS])</f>
        <v>2576</v>
      </c>
      <c r="K139" s="34">
        <f>((Table516[[#This Row],[SPOT PTS]]/2)*15)-65</f>
        <v>685</v>
      </c>
      <c r="L139" s="34">
        <f t="shared" si="4"/>
        <v>34855</v>
      </c>
    </row>
    <row r="140" spans="1:12" ht="16.2" customHeight="1" x14ac:dyDescent="0.3">
      <c r="A140" s="12">
        <v>6</v>
      </c>
      <c r="B140" s="11">
        <v>0.48958333333333331</v>
      </c>
      <c r="C140" s="12" t="s">
        <v>48</v>
      </c>
      <c r="D140" s="12">
        <v>-74</v>
      </c>
      <c r="E140" s="12" t="s">
        <v>21</v>
      </c>
      <c r="F140" s="12">
        <v>1</v>
      </c>
      <c r="H140" s="3" t="s">
        <v>11</v>
      </c>
      <c r="I140" s="5">
        <f>I141/42027</f>
        <v>0.18529754681514266</v>
      </c>
      <c r="K140" s="34">
        <f>((Table516[[#This Row],[SPOT PTS]]/2)*15)-65</f>
        <v>-620</v>
      </c>
      <c r="L140" s="34">
        <f t="shared" si="4"/>
        <v>34235</v>
      </c>
    </row>
    <row r="141" spans="1:12" ht="16.2" customHeight="1" thickBot="1" x14ac:dyDescent="0.35">
      <c r="A141" s="36">
        <v>6</v>
      </c>
      <c r="B141" s="37">
        <v>6.9444444444444434E-2</v>
      </c>
      <c r="C141" s="36" t="s">
        <v>50</v>
      </c>
      <c r="D141" s="36">
        <v>144</v>
      </c>
      <c r="E141" s="36" t="s">
        <v>21</v>
      </c>
      <c r="F141" s="36">
        <v>2</v>
      </c>
      <c r="H141" s="3" t="s">
        <v>12</v>
      </c>
      <c r="I141" s="49">
        <f>((I136/2)*15)-I137</f>
        <v>7787.5</v>
      </c>
      <c r="K141" s="34">
        <f>((Table516[[#This Row],[SPOT PTS]]/2)*15)-65</f>
        <v>1015</v>
      </c>
      <c r="L141" s="34">
        <f t="shared" si="4"/>
        <v>35250</v>
      </c>
    </row>
    <row r="142" spans="1:12" ht="16.2" customHeight="1" x14ac:dyDescent="0.3">
      <c r="A142" s="12">
        <v>9</v>
      </c>
      <c r="B142" s="11">
        <v>0.5</v>
      </c>
      <c r="C142" s="12" t="s">
        <v>48</v>
      </c>
      <c r="D142" s="12">
        <v>-60</v>
      </c>
      <c r="E142" s="12" t="s">
        <v>22</v>
      </c>
      <c r="F142" s="12">
        <v>1</v>
      </c>
      <c r="K142" s="34">
        <f>((Table516[[#This Row],[SPOT PTS]]/2)*15)-65</f>
        <v>-515</v>
      </c>
      <c r="L142" s="34">
        <f t="shared" si="4"/>
        <v>34735</v>
      </c>
    </row>
    <row r="143" spans="1:12" ht="16.2" customHeight="1" thickBot="1" x14ac:dyDescent="0.35">
      <c r="A143" s="36">
        <v>9</v>
      </c>
      <c r="B143" s="37">
        <v>0.53472222222222221</v>
      </c>
      <c r="C143" s="36" t="s">
        <v>50</v>
      </c>
      <c r="D143" s="36">
        <v>239</v>
      </c>
      <c r="E143" s="36" t="s">
        <v>22</v>
      </c>
      <c r="F143" s="36">
        <v>2</v>
      </c>
      <c r="K143" s="34">
        <f>((Table516[[#This Row],[SPOT PTS]]/2)*15)-65</f>
        <v>1727.5</v>
      </c>
      <c r="L143" s="34">
        <f t="shared" si="4"/>
        <v>36462.5</v>
      </c>
    </row>
    <row r="144" spans="1:12" ht="16.2" customHeight="1" thickBot="1" x14ac:dyDescent="0.35">
      <c r="A144" s="12">
        <v>10</v>
      </c>
      <c r="B144" s="11">
        <v>0.4513888888888889</v>
      </c>
      <c r="C144" s="12" t="s">
        <v>50</v>
      </c>
      <c r="D144" s="12">
        <v>81</v>
      </c>
      <c r="E144" s="12" t="s">
        <v>23</v>
      </c>
      <c r="F144" s="12">
        <v>1</v>
      </c>
      <c r="K144" s="34">
        <f>((Table516[[#This Row],[SPOT PTS]]/2)*15)-65</f>
        <v>542.5</v>
      </c>
      <c r="L144" s="34">
        <f t="shared" si="4"/>
        <v>37005</v>
      </c>
    </row>
    <row r="145" spans="1:12" ht="16.2" customHeight="1" x14ac:dyDescent="0.3">
      <c r="A145" s="38">
        <v>11</v>
      </c>
      <c r="B145" s="39">
        <v>0.3888888888888889</v>
      </c>
      <c r="C145" s="38" t="s">
        <v>48</v>
      </c>
      <c r="D145" s="38">
        <v>-80</v>
      </c>
      <c r="E145" s="38" t="s">
        <v>24</v>
      </c>
      <c r="F145" s="38">
        <v>1</v>
      </c>
      <c r="K145" s="34">
        <f>((Table516[[#This Row],[SPOT PTS]]/2)*15)-65</f>
        <v>-665</v>
      </c>
      <c r="L145" s="34">
        <f t="shared" si="4"/>
        <v>36340</v>
      </c>
    </row>
    <row r="146" spans="1:12" ht="16.2" customHeight="1" thickBot="1" x14ac:dyDescent="0.35">
      <c r="A146" s="9">
        <v>11</v>
      </c>
      <c r="B146" s="8">
        <v>0.39930555555555558</v>
      </c>
      <c r="C146" s="9" t="s">
        <v>50</v>
      </c>
      <c r="D146" s="9">
        <v>135</v>
      </c>
      <c r="E146" s="9" t="s">
        <v>24</v>
      </c>
      <c r="F146" s="9">
        <v>1</v>
      </c>
      <c r="K146" s="34">
        <f>((Table516[[#This Row],[SPOT PTS]]/2)*15)-65</f>
        <v>947.5</v>
      </c>
      <c r="L146" s="34">
        <f t="shared" si="4"/>
        <v>37287.5</v>
      </c>
    </row>
    <row r="147" spans="1:12" ht="16.2" customHeight="1" thickBot="1" x14ac:dyDescent="0.35">
      <c r="A147" s="38">
        <v>12</v>
      </c>
      <c r="B147" s="39">
        <v>5.9027777777777783E-2</v>
      </c>
      <c r="C147" s="38" t="s">
        <v>50</v>
      </c>
      <c r="D147" s="38">
        <v>218</v>
      </c>
      <c r="E147" s="38" t="s">
        <v>20</v>
      </c>
      <c r="F147" s="38">
        <v>2</v>
      </c>
      <c r="K147" s="34">
        <f>((Table516[[#This Row],[SPOT PTS]]/2)*15)-65</f>
        <v>1570</v>
      </c>
      <c r="L147" s="34">
        <f t="shared" si="4"/>
        <v>38857.5</v>
      </c>
    </row>
    <row r="148" spans="1:12" ht="16.2" customHeight="1" x14ac:dyDescent="0.3">
      <c r="A148" s="12">
        <v>13</v>
      </c>
      <c r="B148" s="11">
        <v>0.3888888888888889</v>
      </c>
      <c r="C148" s="12" t="s">
        <v>48</v>
      </c>
      <c r="D148" s="12">
        <v>-80</v>
      </c>
      <c r="E148" s="12" t="s">
        <v>21</v>
      </c>
      <c r="F148" s="12">
        <v>1</v>
      </c>
      <c r="K148" s="34">
        <f>((Table516[[#This Row],[SPOT PTS]]/2)*15)-65</f>
        <v>-665</v>
      </c>
      <c r="L148" s="34">
        <f t="shared" si="4"/>
        <v>38192.5</v>
      </c>
    </row>
    <row r="149" spans="1:12" ht="16.2" customHeight="1" thickBot="1" x14ac:dyDescent="0.35">
      <c r="A149" s="36">
        <v>13</v>
      </c>
      <c r="B149" s="37">
        <v>0.39930555555555558</v>
      </c>
      <c r="C149" s="36" t="s">
        <v>50</v>
      </c>
      <c r="D149" s="36">
        <v>203</v>
      </c>
      <c r="E149" s="36" t="s">
        <v>21</v>
      </c>
      <c r="F149" s="36">
        <v>1</v>
      </c>
      <c r="K149" s="34">
        <f>((Table516[[#This Row],[SPOT PTS]]/2)*15)-65</f>
        <v>1457.5</v>
      </c>
      <c r="L149" s="34">
        <f t="shared" si="4"/>
        <v>39650</v>
      </c>
    </row>
    <row r="150" spans="1:12" ht="16.2" customHeight="1" x14ac:dyDescent="0.3">
      <c r="A150" s="12">
        <v>16</v>
      </c>
      <c r="B150" s="11">
        <v>0.41319444444444442</v>
      </c>
      <c r="C150" s="12" t="s">
        <v>48</v>
      </c>
      <c r="D150" s="12">
        <v>-71</v>
      </c>
      <c r="E150" s="12" t="s">
        <v>22</v>
      </c>
      <c r="F150" s="12">
        <v>1</v>
      </c>
      <c r="K150" s="34">
        <f>((Table516[[#This Row],[SPOT PTS]]/2)*15)-65</f>
        <v>-597.5</v>
      </c>
      <c r="L150" s="34">
        <f t="shared" si="4"/>
        <v>39052.5</v>
      </c>
    </row>
    <row r="151" spans="1:12" ht="16.2" customHeight="1" x14ac:dyDescent="0.3">
      <c r="A151" s="36">
        <v>16</v>
      </c>
      <c r="B151" s="37">
        <v>0.42708333333333331</v>
      </c>
      <c r="C151" s="36" t="s">
        <v>48</v>
      </c>
      <c r="D151" s="36">
        <v>-55</v>
      </c>
      <c r="E151" s="36" t="s">
        <v>22</v>
      </c>
      <c r="F151" s="36">
        <v>1</v>
      </c>
      <c r="K151" s="34">
        <f>((Table516[[#This Row],[SPOT PTS]]/2)*15)-65</f>
        <v>-477.5</v>
      </c>
      <c r="L151" s="34">
        <f t="shared" si="4"/>
        <v>38575</v>
      </c>
    </row>
    <row r="152" spans="1:12" ht="16.2" customHeight="1" thickBot="1" x14ac:dyDescent="0.35">
      <c r="A152" s="9">
        <v>16</v>
      </c>
      <c r="B152" s="8">
        <v>0.44791666666666669</v>
      </c>
      <c r="C152" s="9" t="s">
        <v>50</v>
      </c>
      <c r="D152" s="9">
        <v>212</v>
      </c>
      <c r="E152" s="9" t="s">
        <v>22</v>
      </c>
      <c r="F152" s="9">
        <v>1</v>
      </c>
      <c r="K152" s="34">
        <f>((Table516[[#This Row],[SPOT PTS]]/2)*15)-65</f>
        <v>1525</v>
      </c>
      <c r="L152" s="34">
        <f t="shared" si="4"/>
        <v>40100</v>
      </c>
    </row>
    <row r="153" spans="1:12" ht="16.2" customHeight="1" x14ac:dyDescent="0.3">
      <c r="A153" s="38">
        <v>17</v>
      </c>
      <c r="B153" s="39">
        <v>0.39583333333333331</v>
      </c>
      <c r="C153" s="38" t="s">
        <v>48</v>
      </c>
      <c r="D153" s="38">
        <v>-80</v>
      </c>
      <c r="E153" s="38" t="s">
        <v>23</v>
      </c>
      <c r="F153" s="38">
        <v>1</v>
      </c>
      <c r="K153" s="34">
        <f>((Table516[[#This Row],[SPOT PTS]]/2)*15)-65</f>
        <v>-665</v>
      </c>
      <c r="L153" s="34">
        <f t="shared" si="4"/>
        <v>39435</v>
      </c>
    </row>
    <row r="154" spans="1:12" ht="16.2" customHeight="1" x14ac:dyDescent="0.3">
      <c r="A154" s="9">
        <v>17</v>
      </c>
      <c r="B154" s="8">
        <v>0.46180555555555558</v>
      </c>
      <c r="C154" s="9" t="s">
        <v>48</v>
      </c>
      <c r="D154" s="9">
        <v>-66</v>
      </c>
      <c r="E154" s="9" t="s">
        <v>23</v>
      </c>
      <c r="F154" s="9">
        <v>1</v>
      </c>
      <c r="K154" s="34">
        <f>((Table516[[#This Row],[SPOT PTS]]/2)*15)-65</f>
        <v>-560</v>
      </c>
      <c r="L154" s="34">
        <f t="shared" si="4"/>
        <v>38875</v>
      </c>
    </row>
    <row r="155" spans="1:12" ht="16.2" customHeight="1" thickBot="1" x14ac:dyDescent="0.35">
      <c r="A155" s="36">
        <v>17</v>
      </c>
      <c r="B155" s="37">
        <v>0.48958333333333331</v>
      </c>
      <c r="C155" s="36" t="s">
        <v>48</v>
      </c>
      <c r="D155" s="36">
        <v>-46</v>
      </c>
      <c r="E155" s="36" t="s">
        <v>23</v>
      </c>
      <c r="F155" s="36">
        <v>1</v>
      </c>
      <c r="K155" s="34">
        <f>((Table516[[#This Row],[SPOT PTS]]/2)*15)-65</f>
        <v>-410</v>
      </c>
      <c r="L155" s="34">
        <f t="shared" si="4"/>
        <v>38465</v>
      </c>
    </row>
    <row r="156" spans="1:12" ht="16.2" customHeight="1" x14ac:dyDescent="0.3">
      <c r="A156" s="12">
        <v>18</v>
      </c>
      <c r="B156" s="11">
        <v>0.39583333333333331</v>
      </c>
      <c r="C156" s="12" t="s">
        <v>48</v>
      </c>
      <c r="D156" s="12">
        <v>-53</v>
      </c>
      <c r="E156" s="12" t="s">
        <v>24</v>
      </c>
      <c r="F156" s="12">
        <v>1</v>
      </c>
      <c r="K156" s="34">
        <f>((Table516[[#This Row],[SPOT PTS]]/2)*15)-65</f>
        <v>-462.5</v>
      </c>
      <c r="L156" s="34">
        <f t="shared" si="4"/>
        <v>38002.5</v>
      </c>
    </row>
    <row r="157" spans="1:12" ht="16.2" customHeight="1" thickBot="1" x14ac:dyDescent="0.35">
      <c r="A157" s="36">
        <v>18</v>
      </c>
      <c r="B157" s="37">
        <v>0.41319444444444442</v>
      </c>
      <c r="C157" s="36" t="s">
        <v>50</v>
      </c>
      <c r="D157" s="36">
        <v>86</v>
      </c>
      <c r="E157" s="36" t="s">
        <v>24</v>
      </c>
      <c r="F157" s="36">
        <v>1</v>
      </c>
      <c r="K157" s="34">
        <f>((Table516[[#This Row],[SPOT PTS]]/2)*15)-65</f>
        <v>580</v>
      </c>
      <c r="L157" s="34">
        <f t="shared" si="4"/>
        <v>38582.5</v>
      </c>
    </row>
    <row r="158" spans="1:12" ht="16.2" customHeight="1" thickBot="1" x14ac:dyDescent="0.35">
      <c r="A158" s="12">
        <v>19</v>
      </c>
      <c r="B158" s="11">
        <v>0.46180555555555558</v>
      </c>
      <c r="C158" s="12" t="s">
        <v>50</v>
      </c>
      <c r="D158" s="12">
        <v>161</v>
      </c>
      <c r="E158" s="12" t="s">
        <v>20</v>
      </c>
      <c r="F158" s="12">
        <v>1</v>
      </c>
      <c r="K158" s="34">
        <f>((Table516[[#This Row],[SPOT PTS]]/2)*15)-65</f>
        <v>1142.5</v>
      </c>
      <c r="L158" s="34">
        <f t="shared" si="4"/>
        <v>39725</v>
      </c>
    </row>
    <row r="159" spans="1:12" ht="16.2" customHeight="1" x14ac:dyDescent="0.3">
      <c r="A159" s="38">
        <v>20</v>
      </c>
      <c r="B159" s="39">
        <v>0.46527777777777773</v>
      </c>
      <c r="C159" s="38" t="s">
        <v>48</v>
      </c>
      <c r="D159" s="38">
        <v>-33</v>
      </c>
      <c r="E159" s="38" t="s">
        <v>21</v>
      </c>
      <c r="F159" s="38">
        <v>1</v>
      </c>
      <c r="K159" s="34">
        <f>((Table516[[#This Row],[SPOT PTS]]/2)*15)-65</f>
        <v>-312.5</v>
      </c>
      <c r="L159" s="34">
        <f t="shared" si="4"/>
        <v>39412.5</v>
      </c>
    </row>
    <row r="160" spans="1:12" ht="16.2" customHeight="1" thickBot="1" x14ac:dyDescent="0.35">
      <c r="A160" s="9">
        <v>20</v>
      </c>
      <c r="B160" s="8">
        <v>5.9027777777777783E-2</v>
      </c>
      <c r="C160" s="9" t="s">
        <v>48</v>
      </c>
      <c r="D160" s="9">
        <v>-34</v>
      </c>
      <c r="E160" s="9" t="s">
        <v>21</v>
      </c>
      <c r="F160" s="9">
        <v>2</v>
      </c>
      <c r="K160" s="34">
        <f>((Table516[[#This Row],[SPOT PTS]]/2)*15)-65</f>
        <v>-320</v>
      </c>
      <c r="L160" s="34">
        <f t="shared" si="4"/>
        <v>39092.5</v>
      </c>
    </row>
    <row r="161" spans="1:12" ht="16.2" customHeight="1" x14ac:dyDescent="0.3">
      <c r="A161" s="38">
        <v>23</v>
      </c>
      <c r="B161" s="39">
        <v>0.43055555555555558</v>
      </c>
      <c r="C161" s="38" t="s">
        <v>48</v>
      </c>
      <c r="D161" s="38">
        <v>-63</v>
      </c>
      <c r="E161" s="38" t="s">
        <v>22</v>
      </c>
      <c r="F161" s="38">
        <v>1</v>
      </c>
      <c r="K161" s="34">
        <f>((Table516[[#This Row],[SPOT PTS]]/2)*15)-65</f>
        <v>-537.5</v>
      </c>
      <c r="L161" s="34">
        <f t="shared" si="4"/>
        <v>38555</v>
      </c>
    </row>
    <row r="162" spans="1:12" ht="16.2" customHeight="1" x14ac:dyDescent="0.3">
      <c r="A162" s="9">
        <v>23</v>
      </c>
      <c r="B162" s="8">
        <v>0.4861111111111111</v>
      </c>
      <c r="C162" s="9" t="s">
        <v>48</v>
      </c>
      <c r="D162" s="9">
        <v>-27</v>
      </c>
      <c r="E162" s="9" t="s">
        <v>22</v>
      </c>
      <c r="F162" s="9">
        <v>1</v>
      </c>
      <c r="K162" s="34">
        <f>((Table516[[#This Row],[SPOT PTS]]/2)*15)-65</f>
        <v>-267.5</v>
      </c>
      <c r="L162" s="34">
        <f t="shared" si="4"/>
        <v>38287.5</v>
      </c>
    </row>
    <row r="163" spans="1:12" ht="16.2" customHeight="1" thickBot="1" x14ac:dyDescent="0.35">
      <c r="A163" s="36">
        <v>23</v>
      </c>
      <c r="B163" s="37">
        <v>6.5972222222222224E-2</v>
      </c>
      <c r="C163" s="36" t="s">
        <v>50</v>
      </c>
      <c r="D163" s="36">
        <v>157</v>
      </c>
      <c r="E163" s="36" t="s">
        <v>22</v>
      </c>
      <c r="F163" s="36">
        <v>2</v>
      </c>
      <c r="K163" s="34">
        <f>((Table516[[#This Row],[SPOT PTS]]/2)*15)-65</f>
        <v>1112.5</v>
      </c>
      <c r="L163" s="34">
        <f t="shared" si="4"/>
        <v>39400</v>
      </c>
    </row>
    <row r="164" spans="1:12" ht="16.2" customHeight="1" x14ac:dyDescent="0.3">
      <c r="A164" s="12">
        <v>24</v>
      </c>
      <c r="B164" s="11">
        <v>0.39583333333333331</v>
      </c>
      <c r="C164" s="12" t="s">
        <v>48</v>
      </c>
      <c r="D164" s="12">
        <v>-80</v>
      </c>
      <c r="E164" s="12" t="s">
        <v>23</v>
      </c>
      <c r="F164" s="12">
        <v>1</v>
      </c>
      <c r="K164" s="34">
        <f>((Table516[[#This Row],[SPOT PTS]]/2)*15)-65</f>
        <v>-665</v>
      </c>
      <c r="L164" s="34">
        <f t="shared" si="4"/>
        <v>38735</v>
      </c>
    </row>
    <row r="165" spans="1:12" ht="16.2" customHeight="1" thickBot="1" x14ac:dyDescent="0.35">
      <c r="A165" s="36">
        <v>24</v>
      </c>
      <c r="B165" s="37">
        <v>0.5</v>
      </c>
      <c r="C165" s="36" t="s">
        <v>50</v>
      </c>
      <c r="D165" s="36">
        <v>63</v>
      </c>
      <c r="E165" s="36" t="s">
        <v>23</v>
      </c>
      <c r="F165" s="36">
        <v>1</v>
      </c>
      <c r="K165" s="34">
        <f>((Table516[[#This Row],[SPOT PTS]]/2)*15)-65</f>
        <v>407.5</v>
      </c>
      <c r="L165" s="34">
        <f t="shared" si="4"/>
        <v>39142.5</v>
      </c>
    </row>
    <row r="166" spans="1:12" ht="16.2" customHeight="1" x14ac:dyDescent="0.3">
      <c r="A166" s="12">
        <v>25</v>
      </c>
      <c r="B166" s="11">
        <v>0.39930555555555558</v>
      </c>
      <c r="C166" s="12" t="s">
        <v>48</v>
      </c>
      <c r="D166" s="12">
        <v>-51</v>
      </c>
      <c r="E166" s="12" t="s">
        <v>24</v>
      </c>
      <c r="F166" s="12">
        <v>1</v>
      </c>
      <c r="K166" s="34">
        <f>((Table516[[#This Row],[SPOT PTS]]/2)*15)-65</f>
        <v>-447.5</v>
      </c>
      <c r="L166" s="34">
        <f t="shared" si="4"/>
        <v>38695</v>
      </c>
    </row>
    <row r="167" spans="1:12" ht="16.2" customHeight="1" thickBot="1" x14ac:dyDescent="0.35">
      <c r="A167" s="36">
        <v>25</v>
      </c>
      <c r="B167" s="37">
        <v>0.10069444444444443</v>
      </c>
      <c r="C167" s="36" t="s">
        <v>50</v>
      </c>
      <c r="D167" s="36">
        <v>142</v>
      </c>
      <c r="E167" s="36" t="s">
        <v>24</v>
      </c>
      <c r="F167" s="36">
        <v>1</v>
      </c>
      <c r="K167" s="34">
        <f>((Table516[[#This Row],[SPOT PTS]]/2)*15)-65</f>
        <v>1000</v>
      </c>
      <c r="L167" s="34">
        <f t="shared" si="4"/>
        <v>39695</v>
      </c>
    </row>
    <row r="168" spans="1:12" ht="16.2" customHeight="1" thickBot="1" x14ac:dyDescent="0.35">
      <c r="A168" s="12">
        <v>26</v>
      </c>
      <c r="B168" s="11">
        <v>0.39583333333333331</v>
      </c>
      <c r="C168" s="12" t="s">
        <v>50</v>
      </c>
      <c r="D168" s="12">
        <v>128</v>
      </c>
      <c r="E168" s="12" t="s">
        <v>20</v>
      </c>
      <c r="F168" s="12">
        <v>1</v>
      </c>
      <c r="K168" s="34">
        <f>((Table516[[#This Row],[SPOT PTS]]/2)*15)-65</f>
        <v>895</v>
      </c>
      <c r="L168" s="34">
        <f t="shared" si="4"/>
        <v>40590</v>
      </c>
    </row>
    <row r="169" spans="1:12" ht="16.2" customHeight="1" thickBot="1" x14ac:dyDescent="0.35">
      <c r="A169" s="38">
        <v>27</v>
      </c>
      <c r="B169" s="39">
        <v>0.4548611111111111</v>
      </c>
      <c r="C169" s="38" t="s">
        <v>50</v>
      </c>
      <c r="D169" s="38">
        <v>120</v>
      </c>
      <c r="E169" s="38" t="s">
        <v>21</v>
      </c>
      <c r="F169" s="38">
        <v>1</v>
      </c>
      <c r="K169" s="34">
        <f>((Table516[[#This Row],[SPOT PTS]]/2)*15)-65</f>
        <v>835</v>
      </c>
      <c r="L169" s="34">
        <f t="shared" si="4"/>
        <v>41425</v>
      </c>
    </row>
    <row r="170" spans="1:12" ht="16.2" customHeight="1" x14ac:dyDescent="0.3">
      <c r="A170" s="12">
        <v>30</v>
      </c>
      <c r="B170" s="11">
        <v>0.39583333333333331</v>
      </c>
      <c r="C170" s="12" t="s">
        <v>48</v>
      </c>
      <c r="D170" s="12">
        <v>-52</v>
      </c>
      <c r="E170" s="12" t="s">
        <v>22</v>
      </c>
      <c r="F170" s="12">
        <v>1</v>
      </c>
      <c r="K170" s="34">
        <f>((Table516[[#This Row],[SPOT PTS]]/2)*15)-65</f>
        <v>-455</v>
      </c>
      <c r="L170" s="34">
        <f t="shared" si="4"/>
        <v>40970</v>
      </c>
    </row>
    <row r="171" spans="1:12" ht="16.2" customHeight="1" thickBot="1" x14ac:dyDescent="0.35">
      <c r="A171" s="36">
        <v>30</v>
      </c>
      <c r="B171" s="37">
        <v>5.2083333333333336E-2</v>
      </c>
      <c r="C171" s="36" t="s">
        <v>50</v>
      </c>
      <c r="D171" s="36">
        <v>96</v>
      </c>
      <c r="E171" s="36" t="s">
        <v>22</v>
      </c>
      <c r="F171" s="36">
        <v>2</v>
      </c>
      <c r="K171" s="34">
        <f>((Table516[[#This Row],[SPOT PTS]]/2)*15)-65</f>
        <v>655</v>
      </c>
      <c r="L171" s="34">
        <f t="shared" si="4"/>
        <v>41625</v>
      </c>
    </row>
    <row r="172" spans="1:12" ht="16.2" customHeight="1" x14ac:dyDescent="0.3">
      <c r="A172" s="10">
        <v>31</v>
      </c>
      <c r="B172" s="11">
        <v>0.4513888888888889</v>
      </c>
      <c r="C172" s="12" t="s">
        <v>48</v>
      </c>
      <c r="D172" s="12">
        <v>-33</v>
      </c>
      <c r="E172" s="12" t="s">
        <v>23</v>
      </c>
      <c r="F172" s="13">
        <v>1</v>
      </c>
      <c r="K172" s="34">
        <f>((Table516[[#This Row],[SPOT PTS]]/2)*15)-65</f>
        <v>-312.5</v>
      </c>
      <c r="L172" s="34">
        <f t="shared" si="4"/>
        <v>41312.5</v>
      </c>
    </row>
    <row r="173" spans="1:12" ht="16.2" customHeight="1" thickBot="1" x14ac:dyDescent="0.35">
      <c r="A173" s="40">
        <v>31</v>
      </c>
      <c r="B173" s="41">
        <v>0.46180555555555558</v>
      </c>
      <c r="C173" s="42" t="s">
        <v>50</v>
      </c>
      <c r="D173" s="42">
        <v>104</v>
      </c>
      <c r="E173" s="42" t="s">
        <v>23</v>
      </c>
      <c r="F173" s="43">
        <v>1</v>
      </c>
      <c r="K173" s="34">
        <f>((Table516[[#This Row],[SPOT PTS]]/2)*15)-65</f>
        <v>715</v>
      </c>
      <c r="L173" s="34">
        <f t="shared" si="4"/>
        <v>42027.5</v>
      </c>
    </row>
    <row r="174" spans="1:12" ht="16.2" customHeight="1" thickBot="1" x14ac:dyDescent="0.35">
      <c r="A174" s="57" t="s">
        <v>54</v>
      </c>
      <c r="B174" s="57"/>
      <c r="C174" s="57"/>
      <c r="D174" s="57"/>
      <c r="E174" s="57"/>
      <c r="F174" s="57"/>
    </row>
    <row r="175" spans="1:12" ht="16.2" customHeight="1" thickBot="1" x14ac:dyDescent="0.35">
      <c r="A175" s="20" t="s">
        <v>0</v>
      </c>
      <c r="B175" s="20" t="s">
        <v>1</v>
      </c>
      <c r="C175" s="20" t="s">
        <v>3</v>
      </c>
      <c r="D175" s="20" t="s">
        <v>2</v>
      </c>
      <c r="E175" s="20" t="s">
        <v>4</v>
      </c>
      <c r="F175" s="20" t="s">
        <v>47</v>
      </c>
      <c r="L175" s="34">
        <v>42027</v>
      </c>
    </row>
    <row r="176" spans="1:12" ht="16.2" customHeight="1" x14ac:dyDescent="0.3">
      <c r="A176" s="12">
        <v>1</v>
      </c>
      <c r="B176" s="11">
        <v>0.40277777777777773</v>
      </c>
      <c r="C176" s="12" t="s">
        <v>48</v>
      </c>
      <c r="D176" s="12">
        <v>-51</v>
      </c>
      <c r="E176" s="12" t="s">
        <v>24</v>
      </c>
      <c r="F176" s="12">
        <v>1</v>
      </c>
      <c r="H176" s="3" t="s">
        <v>5</v>
      </c>
      <c r="I176" s="3">
        <f>COUNT(Table617[RANGE])</f>
        <v>32</v>
      </c>
      <c r="K176" s="34">
        <f>((Table617[[#This Row],[SPOT PTS]]/2)*15)-65</f>
        <v>-447.5</v>
      </c>
      <c r="L176" s="34">
        <f>L175+K176</f>
        <v>41579.5</v>
      </c>
    </row>
    <row r="177" spans="1:12" ht="16.2" customHeight="1" thickBot="1" x14ac:dyDescent="0.35">
      <c r="A177" s="36">
        <v>1</v>
      </c>
      <c r="B177" s="37">
        <v>0.4513888888888889</v>
      </c>
      <c r="C177" s="36" t="s">
        <v>48</v>
      </c>
      <c r="D177" s="36">
        <v>-27</v>
      </c>
      <c r="E177" s="36" t="s">
        <v>24</v>
      </c>
      <c r="F177" s="36">
        <v>1</v>
      </c>
      <c r="H177" s="3" t="s">
        <v>6</v>
      </c>
      <c r="I177" s="5">
        <f>((COUNTIF(Table617[OUTCOME],"Target"))/I176)</f>
        <v>0.40625</v>
      </c>
      <c r="K177" s="34">
        <f>((Table617[[#This Row],[SPOT PTS]]/2)*15)-65</f>
        <v>-267.5</v>
      </c>
      <c r="L177" s="34">
        <f t="shared" ref="L177:L207" si="5">L176+K177</f>
        <v>41312</v>
      </c>
    </row>
    <row r="178" spans="1:12" ht="16.2" customHeight="1" thickBot="1" x14ac:dyDescent="0.35">
      <c r="A178" s="12">
        <v>2</v>
      </c>
      <c r="B178" s="11">
        <v>0.41666666666666669</v>
      </c>
      <c r="C178" s="12" t="s">
        <v>48</v>
      </c>
      <c r="D178" s="12">
        <v>-67</v>
      </c>
      <c r="E178" s="12" t="s">
        <v>20</v>
      </c>
      <c r="F178" s="12">
        <v>1</v>
      </c>
      <c r="H178" s="3" t="s">
        <v>7</v>
      </c>
      <c r="I178" s="3">
        <f>SUM(Table617[SPOT PTS])</f>
        <v>996</v>
      </c>
      <c r="K178" s="34">
        <f>((Table617[[#This Row],[SPOT PTS]]/2)*15)-65</f>
        <v>-567.5</v>
      </c>
      <c r="L178" s="34">
        <f t="shared" si="5"/>
        <v>40744.5</v>
      </c>
    </row>
    <row r="179" spans="1:12" ht="16.2" customHeight="1" thickBot="1" x14ac:dyDescent="0.35">
      <c r="A179" s="38">
        <v>3</v>
      </c>
      <c r="B179" s="39">
        <v>0.3888888888888889</v>
      </c>
      <c r="C179" s="38" t="s">
        <v>50</v>
      </c>
      <c r="D179" s="38">
        <v>242</v>
      </c>
      <c r="E179" s="38" t="s">
        <v>21</v>
      </c>
      <c r="F179" s="38">
        <v>1</v>
      </c>
      <c r="H179" s="3" t="s">
        <v>8</v>
      </c>
      <c r="I179" s="3">
        <f>65*I176</f>
        <v>2080</v>
      </c>
      <c r="K179" s="34">
        <f>((Table617[[#This Row],[SPOT PTS]]/2)*15)-65</f>
        <v>1750</v>
      </c>
      <c r="L179" s="34">
        <f t="shared" si="5"/>
        <v>42494.5</v>
      </c>
    </row>
    <row r="180" spans="1:12" ht="16.2" customHeight="1" x14ac:dyDescent="0.3">
      <c r="A180" s="12">
        <v>8</v>
      </c>
      <c r="B180" s="11">
        <v>0.3888888888888889</v>
      </c>
      <c r="C180" s="12" t="s">
        <v>48</v>
      </c>
      <c r="D180" s="12">
        <v>-80</v>
      </c>
      <c r="E180" s="12" t="s">
        <v>24</v>
      </c>
      <c r="F180" s="12">
        <v>1</v>
      </c>
      <c r="H180" s="3" t="s">
        <v>9</v>
      </c>
      <c r="I180" s="3">
        <f>SUMIF(Table617[OUTCOME],"Stoploss",Table617[SPOT PTS])</f>
        <v>-975</v>
      </c>
      <c r="K180" s="34">
        <f>((Table617[[#This Row],[SPOT PTS]]/2)*15)-65</f>
        <v>-665</v>
      </c>
      <c r="L180" s="34">
        <f t="shared" si="5"/>
        <v>41829.5</v>
      </c>
    </row>
    <row r="181" spans="1:12" ht="16.2" customHeight="1" thickBot="1" x14ac:dyDescent="0.35">
      <c r="A181" s="36">
        <v>8</v>
      </c>
      <c r="B181" s="37">
        <v>0.4513888888888889</v>
      </c>
      <c r="C181" s="36" t="s">
        <v>50</v>
      </c>
      <c r="D181" s="36">
        <v>241</v>
      </c>
      <c r="E181" s="36" t="s">
        <v>24</v>
      </c>
      <c r="F181" s="36">
        <v>1</v>
      </c>
      <c r="H181" s="3" t="s">
        <v>10</v>
      </c>
      <c r="I181" s="3">
        <f>SUMIF(Table617[OUTCOME],"Target",Table617[SPOT PTS])</f>
        <v>1971</v>
      </c>
      <c r="K181" s="34">
        <f>((Table617[[#This Row],[SPOT PTS]]/2)*15)-65</f>
        <v>1742.5</v>
      </c>
      <c r="L181" s="34">
        <f t="shared" si="5"/>
        <v>43572</v>
      </c>
    </row>
    <row r="182" spans="1:12" ht="16.2" customHeight="1" x14ac:dyDescent="0.3">
      <c r="A182" s="12">
        <v>9</v>
      </c>
      <c r="B182" s="11">
        <v>0.46180555555555558</v>
      </c>
      <c r="C182" s="12" t="s">
        <v>48</v>
      </c>
      <c r="D182" s="12">
        <v>-48</v>
      </c>
      <c r="E182" s="12" t="s">
        <v>20</v>
      </c>
      <c r="F182" s="12">
        <v>1</v>
      </c>
      <c r="H182" s="3" t="s">
        <v>11</v>
      </c>
      <c r="I182" s="5">
        <f>I183/47417</f>
        <v>0.11367231161819601</v>
      </c>
      <c r="K182" s="34">
        <f>((Table617[[#This Row],[SPOT PTS]]/2)*15)-65</f>
        <v>-425</v>
      </c>
      <c r="L182" s="34">
        <f t="shared" si="5"/>
        <v>43147</v>
      </c>
    </row>
    <row r="183" spans="1:12" ht="16.2" customHeight="1" thickBot="1" x14ac:dyDescent="0.35">
      <c r="A183" s="36">
        <v>9</v>
      </c>
      <c r="B183" s="37">
        <v>0.53125</v>
      </c>
      <c r="C183" s="36" t="s">
        <v>50</v>
      </c>
      <c r="D183" s="36">
        <v>101</v>
      </c>
      <c r="E183" s="36" t="s">
        <v>20</v>
      </c>
      <c r="F183" s="36">
        <v>2</v>
      </c>
      <c r="H183" s="3" t="s">
        <v>12</v>
      </c>
      <c r="I183" s="49">
        <f>((I178/2)*15)-I179</f>
        <v>5390</v>
      </c>
      <c r="K183" s="34">
        <f>((Table617[[#This Row],[SPOT PTS]]/2)*15)-65</f>
        <v>692.5</v>
      </c>
      <c r="L183" s="34">
        <f t="shared" si="5"/>
        <v>43839.5</v>
      </c>
    </row>
    <row r="184" spans="1:12" ht="16.2" customHeight="1" thickBot="1" x14ac:dyDescent="0.35">
      <c r="A184" s="12">
        <v>10</v>
      </c>
      <c r="B184" s="11">
        <v>7.6388888888888895E-2</v>
      </c>
      <c r="C184" s="12" t="s">
        <v>50</v>
      </c>
      <c r="D184" s="12">
        <v>67</v>
      </c>
      <c r="E184" s="12" t="s">
        <v>21</v>
      </c>
      <c r="F184" s="12">
        <v>2</v>
      </c>
      <c r="K184" s="34">
        <f>((Table617[[#This Row],[SPOT PTS]]/2)*15)-65</f>
        <v>437.5</v>
      </c>
      <c r="L184" s="34">
        <f t="shared" si="5"/>
        <v>44277</v>
      </c>
    </row>
    <row r="185" spans="1:12" ht="16.2" customHeight="1" thickBot="1" x14ac:dyDescent="0.35">
      <c r="A185" s="38">
        <v>13</v>
      </c>
      <c r="B185" s="39">
        <v>0.1111111111111111</v>
      </c>
      <c r="C185" s="38" t="s">
        <v>48</v>
      </c>
      <c r="D185" s="38">
        <v>-33</v>
      </c>
      <c r="E185" s="38" t="s">
        <v>22</v>
      </c>
      <c r="F185" s="38">
        <v>2</v>
      </c>
      <c r="K185" s="34">
        <f>((Table617[[#This Row],[SPOT PTS]]/2)*15)-65</f>
        <v>-312.5</v>
      </c>
      <c r="L185" s="34">
        <f t="shared" si="5"/>
        <v>43964.5</v>
      </c>
    </row>
    <row r="186" spans="1:12" ht="16.2" customHeight="1" x14ac:dyDescent="0.3">
      <c r="A186" s="12">
        <v>14</v>
      </c>
      <c r="B186" s="11">
        <v>0.4236111111111111</v>
      </c>
      <c r="C186" s="12" t="s">
        <v>48</v>
      </c>
      <c r="D186" s="12">
        <v>-23</v>
      </c>
      <c r="E186" s="12" t="s">
        <v>23</v>
      </c>
      <c r="F186" s="12">
        <v>1</v>
      </c>
      <c r="K186" s="34">
        <f>((Table617[[#This Row],[SPOT PTS]]/2)*15)-65</f>
        <v>-237.5</v>
      </c>
      <c r="L186" s="34">
        <f t="shared" si="5"/>
        <v>43727</v>
      </c>
    </row>
    <row r="187" spans="1:12" ht="16.2" customHeight="1" x14ac:dyDescent="0.3">
      <c r="A187" s="36">
        <v>14</v>
      </c>
      <c r="B187" s="37">
        <v>0.47569444444444442</v>
      </c>
      <c r="C187" s="36" t="s">
        <v>48</v>
      </c>
      <c r="D187" s="36">
        <v>-27</v>
      </c>
      <c r="E187" s="36" t="s">
        <v>23</v>
      </c>
      <c r="F187" s="36">
        <v>1</v>
      </c>
      <c r="K187" s="34">
        <f>((Table617[[#This Row],[SPOT PTS]]/2)*15)-65</f>
        <v>-267.5</v>
      </c>
      <c r="L187" s="34">
        <f t="shared" si="5"/>
        <v>43459.5</v>
      </c>
    </row>
    <row r="188" spans="1:12" ht="16.2" customHeight="1" thickBot="1" x14ac:dyDescent="0.35">
      <c r="A188" s="9">
        <v>14</v>
      </c>
      <c r="B188" s="8">
        <v>6.25E-2</v>
      </c>
      <c r="C188" s="9" t="s">
        <v>50</v>
      </c>
      <c r="D188" s="9">
        <v>162</v>
      </c>
      <c r="E188" s="9" t="s">
        <v>23</v>
      </c>
      <c r="F188" s="9">
        <v>2</v>
      </c>
      <c r="K188" s="34">
        <f>((Table617[[#This Row],[SPOT PTS]]/2)*15)-65</f>
        <v>1150</v>
      </c>
      <c r="L188" s="34">
        <f t="shared" si="5"/>
        <v>44609.5</v>
      </c>
    </row>
    <row r="189" spans="1:12" ht="16.2" customHeight="1" thickBot="1" x14ac:dyDescent="0.35">
      <c r="A189" s="38">
        <v>15</v>
      </c>
      <c r="B189" s="39">
        <v>0.4375</v>
      </c>
      <c r="C189" s="38" t="s">
        <v>50</v>
      </c>
      <c r="D189" s="38">
        <v>110</v>
      </c>
      <c r="E189" s="38" t="s">
        <v>24</v>
      </c>
      <c r="F189" s="38">
        <v>1</v>
      </c>
      <c r="K189" s="34">
        <f>((Table617[[#This Row],[SPOT PTS]]/2)*15)-65</f>
        <v>760</v>
      </c>
      <c r="L189" s="34">
        <f t="shared" si="5"/>
        <v>45369.5</v>
      </c>
    </row>
    <row r="190" spans="1:12" ht="16.2" customHeight="1" thickBot="1" x14ac:dyDescent="0.35">
      <c r="A190" s="12">
        <v>16</v>
      </c>
      <c r="B190" s="11">
        <v>0.3923611111111111</v>
      </c>
      <c r="C190" s="12" t="s">
        <v>48</v>
      </c>
      <c r="D190" s="12">
        <v>-52</v>
      </c>
      <c r="E190" s="12" t="s">
        <v>20</v>
      </c>
      <c r="F190" s="12">
        <v>1</v>
      </c>
      <c r="K190" s="34">
        <f>((Table617[[#This Row],[SPOT PTS]]/2)*15)-65</f>
        <v>-455</v>
      </c>
      <c r="L190" s="34">
        <f t="shared" si="5"/>
        <v>44914.5</v>
      </c>
    </row>
    <row r="191" spans="1:12" ht="16.2" customHeight="1" x14ac:dyDescent="0.3">
      <c r="A191" s="38">
        <v>17</v>
      </c>
      <c r="B191" s="39">
        <v>0.40972222222222227</v>
      </c>
      <c r="C191" s="38" t="s">
        <v>48</v>
      </c>
      <c r="D191" s="38">
        <v>-80</v>
      </c>
      <c r="E191" s="38" t="s">
        <v>21</v>
      </c>
      <c r="F191" s="38">
        <v>1</v>
      </c>
      <c r="K191" s="34">
        <f>((Table617[[#This Row],[SPOT PTS]]/2)*15)-65</f>
        <v>-665</v>
      </c>
      <c r="L191" s="34">
        <f t="shared" si="5"/>
        <v>44249.5</v>
      </c>
    </row>
    <row r="192" spans="1:12" ht="16.2" customHeight="1" thickBot="1" x14ac:dyDescent="0.35">
      <c r="A192" s="9">
        <v>17</v>
      </c>
      <c r="B192" s="8">
        <v>0.52430555555555558</v>
      </c>
      <c r="C192" s="9" t="s">
        <v>48</v>
      </c>
      <c r="D192" s="9">
        <v>-80</v>
      </c>
      <c r="E192" s="9" t="s">
        <v>21</v>
      </c>
      <c r="F192" s="9">
        <v>2</v>
      </c>
      <c r="K192" s="34">
        <f>((Table617[[#This Row],[SPOT PTS]]/2)*15)-65</f>
        <v>-665</v>
      </c>
      <c r="L192" s="34">
        <f t="shared" si="5"/>
        <v>43584.5</v>
      </c>
    </row>
    <row r="193" spans="1:12" ht="16.2" customHeight="1" x14ac:dyDescent="0.3">
      <c r="A193" s="38">
        <v>20</v>
      </c>
      <c r="B193" s="39">
        <v>0.4236111111111111</v>
      </c>
      <c r="C193" s="38" t="s">
        <v>48</v>
      </c>
      <c r="D193" s="38">
        <v>-61</v>
      </c>
      <c r="E193" s="38" t="s">
        <v>22</v>
      </c>
      <c r="F193" s="38">
        <v>1</v>
      </c>
      <c r="K193" s="34">
        <f>((Table617[[#This Row],[SPOT PTS]]/2)*15)-65</f>
        <v>-522.5</v>
      </c>
      <c r="L193" s="34">
        <f t="shared" si="5"/>
        <v>43062</v>
      </c>
    </row>
    <row r="194" spans="1:12" ht="16.2" customHeight="1" thickBot="1" x14ac:dyDescent="0.35">
      <c r="A194" s="9">
        <v>20</v>
      </c>
      <c r="B194" s="8">
        <v>0.52083333333333337</v>
      </c>
      <c r="C194" s="9" t="s">
        <v>50</v>
      </c>
      <c r="D194" s="9">
        <v>171</v>
      </c>
      <c r="E194" s="9" t="s">
        <v>22</v>
      </c>
      <c r="F194" s="9">
        <v>2</v>
      </c>
      <c r="K194" s="34">
        <f>((Table617[[#This Row],[SPOT PTS]]/2)*15)-65</f>
        <v>1217.5</v>
      </c>
      <c r="L194" s="34">
        <f t="shared" si="5"/>
        <v>44279.5</v>
      </c>
    </row>
    <row r="195" spans="1:12" ht="16.2" customHeight="1" x14ac:dyDescent="0.3">
      <c r="A195" s="38">
        <v>21</v>
      </c>
      <c r="B195" s="39">
        <v>0.3923611111111111</v>
      </c>
      <c r="C195" s="38" t="s">
        <v>48</v>
      </c>
      <c r="D195" s="38">
        <v>-67</v>
      </c>
      <c r="E195" s="38" t="s">
        <v>23</v>
      </c>
      <c r="F195" s="38">
        <v>1</v>
      </c>
      <c r="K195" s="34">
        <f>((Table617[[#This Row],[SPOT PTS]]/2)*15)-65</f>
        <v>-567.5</v>
      </c>
      <c r="L195" s="34">
        <f t="shared" si="5"/>
        <v>43712</v>
      </c>
    </row>
    <row r="196" spans="1:12" ht="16.2" customHeight="1" thickBot="1" x14ac:dyDescent="0.35">
      <c r="A196" s="9">
        <v>21</v>
      </c>
      <c r="B196" s="8">
        <v>0.49305555555555558</v>
      </c>
      <c r="C196" s="9" t="s">
        <v>48</v>
      </c>
      <c r="D196" s="9">
        <v>-26</v>
      </c>
      <c r="E196" s="9" t="s">
        <v>23</v>
      </c>
      <c r="F196" s="9">
        <v>1</v>
      </c>
      <c r="K196" s="34">
        <f>((Table617[[#This Row],[SPOT PTS]]/2)*15)-65</f>
        <v>-260</v>
      </c>
      <c r="L196" s="34">
        <f t="shared" si="5"/>
        <v>43452</v>
      </c>
    </row>
    <row r="197" spans="1:12" ht="16.2" customHeight="1" x14ac:dyDescent="0.3">
      <c r="A197" s="38">
        <v>22</v>
      </c>
      <c r="B197" s="39">
        <v>0.44444444444444442</v>
      </c>
      <c r="C197" s="38" t="s">
        <v>48</v>
      </c>
      <c r="D197" s="38">
        <v>-38</v>
      </c>
      <c r="E197" s="38" t="s">
        <v>24</v>
      </c>
      <c r="F197" s="38">
        <v>1</v>
      </c>
      <c r="K197" s="34">
        <f>((Table617[[#This Row],[SPOT PTS]]/2)*15)-65</f>
        <v>-350</v>
      </c>
      <c r="L197" s="34">
        <f t="shared" si="5"/>
        <v>43102</v>
      </c>
    </row>
    <row r="198" spans="1:12" ht="16.2" customHeight="1" thickBot="1" x14ac:dyDescent="0.35">
      <c r="A198" s="9">
        <v>22</v>
      </c>
      <c r="B198" s="8">
        <v>0.46180555555555558</v>
      </c>
      <c r="C198" s="9" t="s">
        <v>50</v>
      </c>
      <c r="D198" s="9">
        <v>191</v>
      </c>
      <c r="E198" s="9" t="s">
        <v>24</v>
      </c>
      <c r="F198" s="9">
        <v>1</v>
      </c>
      <c r="K198" s="34">
        <f>((Table617[[#This Row],[SPOT PTS]]/2)*15)-65</f>
        <v>1367.5</v>
      </c>
      <c r="L198" s="34">
        <f t="shared" si="5"/>
        <v>44469.5</v>
      </c>
    </row>
    <row r="199" spans="1:12" ht="16.2" customHeight="1" x14ac:dyDescent="0.3">
      <c r="A199" s="38">
        <v>23</v>
      </c>
      <c r="B199" s="39">
        <v>0.43055555555555558</v>
      </c>
      <c r="C199" s="38" t="s">
        <v>48</v>
      </c>
      <c r="D199" s="38">
        <v>-26</v>
      </c>
      <c r="E199" s="38" t="s">
        <v>20</v>
      </c>
      <c r="F199" s="38">
        <v>1</v>
      </c>
      <c r="K199" s="34">
        <f>((Table617[[#This Row],[SPOT PTS]]/2)*15)-65</f>
        <v>-260</v>
      </c>
      <c r="L199" s="34">
        <f t="shared" si="5"/>
        <v>44209.5</v>
      </c>
    </row>
    <row r="200" spans="1:12" ht="16.2" customHeight="1" thickBot="1" x14ac:dyDescent="0.35">
      <c r="A200" s="9">
        <v>23</v>
      </c>
      <c r="B200" s="8">
        <v>8.3333333333333329E-2</v>
      </c>
      <c r="C200" s="9" t="s">
        <v>48</v>
      </c>
      <c r="D200" s="9">
        <v>-80</v>
      </c>
      <c r="E200" s="9" t="s">
        <v>20</v>
      </c>
      <c r="F200" s="9">
        <v>2</v>
      </c>
      <c r="K200" s="34">
        <f>((Table617[[#This Row],[SPOT PTS]]/2)*15)-65</f>
        <v>-665</v>
      </c>
      <c r="L200" s="34">
        <f t="shared" si="5"/>
        <v>43544.5</v>
      </c>
    </row>
    <row r="201" spans="1:12" ht="16.2" customHeight="1" x14ac:dyDescent="0.3">
      <c r="A201" s="38">
        <v>24</v>
      </c>
      <c r="B201" s="39">
        <v>0.3923611111111111</v>
      </c>
      <c r="C201" s="38" t="s">
        <v>48</v>
      </c>
      <c r="D201" s="38">
        <v>-80</v>
      </c>
      <c r="E201" s="38" t="s">
        <v>21</v>
      </c>
      <c r="F201" s="38">
        <v>1</v>
      </c>
      <c r="K201" s="34">
        <f>((Table617[[#This Row],[SPOT PTS]]/2)*15)-65</f>
        <v>-665</v>
      </c>
      <c r="L201" s="34">
        <f t="shared" si="5"/>
        <v>42879.5</v>
      </c>
    </row>
    <row r="202" spans="1:12" ht="16.2" customHeight="1" thickBot="1" x14ac:dyDescent="0.35">
      <c r="A202" s="9">
        <v>24</v>
      </c>
      <c r="B202" s="8">
        <v>4.8611111111111112E-2</v>
      </c>
      <c r="C202" s="9" t="s">
        <v>50</v>
      </c>
      <c r="D202" s="9">
        <v>97</v>
      </c>
      <c r="E202" s="9" t="s">
        <v>21</v>
      </c>
      <c r="F202" s="9">
        <v>2</v>
      </c>
      <c r="K202" s="34">
        <f>((Table617[[#This Row],[SPOT PTS]]/2)*15)-65</f>
        <v>662.5</v>
      </c>
      <c r="L202" s="34">
        <f t="shared" si="5"/>
        <v>43542</v>
      </c>
    </row>
    <row r="203" spans="1:12" ht="16.2" customHeight="1" thickBot="1" x14ac:dyDescent="0.35">
      <c r="A203" s="38">
        <v>27</v>
      </c>
      <c r="B203" s="39">
        <v>0.39583333333333331</v>
      </c>
      <c r="C203" s="38" t="s">
        <v>50</v>
      </c>
      <c r="D203" s="38">
        <v>187</v>
      </c>
      <c r="E203" s="38" t="s">
        <v>22</v>
      </c>
      <c r="F203" s="38">
        <v>1</v>
      </c>
      <c r="K203" s="34">
        <f>((Table617[[#This Row],[SPOT PTS]]/2)*15)-65</f>
        <v>1337.5</v>
      </c>
      <c r="L203" s="34">
        <f t="shared" si="5"/>
        <v>44879.5</v>
      </c>
    </row>
    <row r="204" spans="1:12" ht="16.2" customHeight="1" thickBot="1" x14ac:dyDescent="0.35">
      <c r="A204" s="12">
        <v>28</v>
      </c>
      <c r="B204" s="11">
        <v>0.53125</v>
      </c>
      <c r="C204" s="12" t="s">
        <v>50</v>
      </c>
      <c r="D204" s="12">
        <v>91</v>
      </c>
      <c r="E204" s="12" t="s">
        <v>23</v>
      </c>
      <c r="F204" s="12">
        <v>2</v>
      </c>
      <c r="K204" s="34">
        <f>((Table617[[#This Row],[SPOT PTS]]/2)*15)-65</f>
        <v>617.5</v>
      </c>
      <c r="L204" s="34">
        <f t="shared" si="5"/>
        <v>45497</v>
      </c>
    </row>
    <row r="205" spans="1:12" ht="16.2" customHeight="1" x14ac:dyDescent="0.3">
      <c r="A205" s="38">
        <v>29</v>
      </c>
      <c r="B205" s="39">
        <v>0.43402777777777773</v>
      </c>
      <c r="C205" s="38" t="s">
        <v>48</v>
      </c>
      <c r="D205" s="38">
        <v>-29</v>
      </c>
      <c r="E205" s="38" t="s">
        <v>24</v>
      </c>
      <c r="F205" s="38">
        <v>1</v>
      </c>
      <c r="K205" s="34">
        <f>((Table617[[#This Row],[SPOT PTS]]/2)*15)-65</f>
        <v>-282.5</v>
      </c>
      <c r="L205" s="34">
        <f t="shared" si="5"/>
        <v>45214.5</v>
      </c>
    </row>
    <row r="206" spans="1:12" ht="16.2" customHeight="1" thickBot="1" x14ac:dyDescent="0.35">
      <c r="A206" s="9">
        <v>29</v>
      </c>
      <c r="B206" s="8">
        <v>5.2083333333333336E-2</v>
      </c>
      <c r="C206" s="9" t="s">
        <v>50</v>
      </c>
      <c r="D206" s="9">
        <v>98</v>
      </c>
      <c r="E206" s="9" t="s">
        <v>24</v>
      </c>
      <c r="F206" s="9">
        <v>2</v>
      </c>
      <c r="K206" s="34">
        <f>((Table617[[#This Row],[SPOT PTS]]/2)*15)-65</f>
        <v>670</v>
      </c>
      <c r="L206" s="34">
        <f t="shared" si="5"/>
        <v>45884.5</v>
      </c>
    </row>
    <row r="207" spans="1:12" ht="16.2" customHeight="1" thickBot="1" x14ac:dyDescent="0.35">
      <c r="A207" s="44">
        <v>30</v>
      </c>
      <c r="B207" s="45">
        <v>0.40972222222222227</v>
      </c>
      <c r="C207" s="46" t="s">
        <v>50</v>
      </c>
      <c r="D207" s="46">
        <v>213</v>
      </c>
      <c r="E207" s="46" t="s">
        <v>20</v>
      </c>
      <c r="F207" s="47">
        <v>1</v>
      </c>
      <c r="K207" s="34">
        <f>((Table617[[#This Row],[SPOT PTS]]/2)*15)-65</f>
        <v>1532.5</v>
      </c>
      <c r="L207" s="34">
        <f t="shared" si="5"/>
        <v>47417</v>
      </c>
    </row>
    <row r="208" spans="1:12" ht="16.2" customHeight="1" thickBot="1" x14ac:dyDescent="0.35">
      <c r="A208" s="57" t="s">
        <v>55</v>
      </c>
      <c r="B208" s="57"/>
      <c r="C208" s="57"/>
      <c r="D208" s="57"/>
      <c r="E208" s="57"/>
      <c r="F208" s="57"/>
    </row>
    <row r="209" spans="1:12" ht="16.2" customHeight="1" thickBot="1" x14ac:dyDescent="0.35">
      <c r="A209" s="20" t="s">
        <v>0</v>
      </c>
      <c r="B209" s="20" t="s">
        <v>1</v>
      </c>
      <c r="C209" s="20" t="s">
        <v>3</v>
      </c>
      <c r="D209" s="20" t="s">
        <v>2</v>
      </c>
      <c r="E209" s="20" t="s">
        <v>4</v>
      </c>
      <c r="F209" s="20" t="s">
        <v>47</v>
      </c>
      <c r="L209" s="34">
        <v>47417</v>
      </c>
    </row>
    <row r="210" spans="1:12" ht="16.2" customHeight="1" x14ac:dyDescent="0.3">
      <c r="A210" s="12">
        <v>1</v>
      </c>
      <c r="B210" s="11">
        <v>0.44791666666666669</v>
      </c>
      <c r="C210" s="12" t="s">
        <v>48</v>
      </c>
      <c r="D210" s="12">
        <v>-35</v>
      </c>
      <c r="E210" s="12" t="s">
        <v>21</v>
      </c>
      <c r="F210" s="12">
        <v>1</v>
      </c>
      <c r="H210" s="3" t="s">
        <v>5</v>
      </c>
      <c r="I210" s="3">
        <f>COUNT(Table718[RANGE])</f>
        <v>45</v>
      </c>
      <c r="K210" s="34">
        <f>((Table718[[#This Row],[SPOT PTS]]/2)*15)-65</f>
        <v>-327.5</v>
      </c>
      <c r="L210" s="34">
        <f>K210+L209</f>
        <v>47089.5</v>
      </c>
    </row>
    <row r="211" spans="1:12" ht="16.2" customHeight="1" thickBot="1" x14ac:dyDescent="0.35">
      <c r="A211" s="36">
        <v>1</v>
      </c>
      <c r="B211" s="37">
        <v>0.4826388888888889</v>
      </c>
      <c r="C211" s="36" t="s">
        <v>50</v>
      </c>
      <c r="D211" s="36">
        <v>69</v>
      </c>
      <c r="E211" s="36" t="s">
        <v>21</v>
      </c>
      <c r="F211" s="36">
        <v>1</v>
      </c>
      <c r="H211" s="3" t="s">
        <v>6</v>
      </c>
      <c r="I211" s="5">
        <f>((COUNTIF(Table718[OUTCOME],"Target"))/I210)</f>
        <v>0.26666666666666666</v>
      </c>
      <c r="K211" s="34">
        <f>((Table718[[#This Row],[SPOT PTS]]/2)*15)-65</f>
        <v>452.5</v>
      </c>
      <c r="L211" s="34">
        <f t="shared" ref="L211:L254" si="6">K211+L210</f>
        <v>47542</v>
      </c>
    </row>
    <row r="212" spans="1:12" ht="16.2" customHeight="1" x14ac:dyDescent="0.3">
      <c r="A212" s="12">
        <v>4</v>
      </c>
      <c r="B212" s="11">
        <v>0.39583333333333331</v>
      </c>
      <c r="C212" s="12" t="s">
        <v>48</v>
      </c>
      <c r="D212" s="12">
        <v>-46</v>
      </c>
      <c r="E212" s="12" t="s">
        <v>22</v>
      </c>
      <c r="F212" s="12">
        <v>1</v>
      </c>
      <c r="H212" s="3" t="s">
        <v>7</v>
      </c>
      <c r="I212" s="3">
        <f>SUM(Table718[SPOT PTS])</f>
        <v>-238</v>
      </c>
      <c r="K212" s="34">
        <f>((Table718[[#This Row],[SPOT PTS]]/2)*15)-65</f>
        <v>-410</v>
      </c>
      <c r="L212" s="34">
        <f t="shared" si="6"/>
        <v>47132</v>
      </c>
    </row>
    <row r="213" spans="1:12" ht="16.2" customHeight="1" x14ac:dyDescent="0.3">
      <c r="A213" s="36">
        <v>4</v>
      </c>
      <c r="B213" s="37">
        <v>0.46180555555555558</v>
      </c>
      <c r="C213" s="36" t="s">
        <v>48</v>
      </c>
      <c r="D213" s="36">
        <v>-41</v>
      </c>
      <c r="E213" s="36" t="s">
        <v>22</v>
      </c>
      <c r="F213" s="36">
        <v>1</v>
      </c>
      <c r="H213" s="3" t="s">
        <v>8</v>
      </c>
      <c r="I213" s="3">
        <f>65*I210</f>
        <v>2925</v>
      </c>
      <c r="K213" s="34">
        <f>((Table718[[#This Row],[SPOT PTS]]/2)*15)-65</f>
        <v>-372.5</v>
      </c>
      <c r="L213" s="34">
        <f t="shared" si="6"/>
        <v>46759.5</v>
      </c>
    </row>
    <row r="214" spans="1:12" ht="16.2" customHeight="1" thickBot="1" x14ac:dyDescent="0.35">
      <c r="A214" s="9">
        <v>4</v>
      </c>
      <c r="B214" s="8">
        <v>0.51736111111111105</v>
      </c>
      <c r="C214" s="9" t="s">
        <v>50</v>
      </c>
      <c r="D214" s="9">
        <v>37</v>
      </c>
      <c r="E214" s="9" t="s">
        <v>22</v>
      </c>
      <c r="F214" s="9">
        <v>2</v>
      </c>
      <c r="H214" s="3" t="s">
        <v>9</v>
      </c>
      <c r="I214" s="3">
        <f>SUMIF(Table718[OUTCOME],"Stoploss",Table718[SPOT PTS])</f>
        <v>-1309</v>
      </c>
      <c r="K214" s="34">
        <f>((Table718[[#This Row],[SPOT PTS]]/2)*15)-65</f>
        <v>212.5</v>
      </c>
      <c r="L214" s="34">
        <f t="shared" si="6"/>
        <v>46972</v>
      </c>
    </row>
    <row r="215" spans="1:12" ht="16.2" customHeight="1" x14ac:dyDescent="0.3">
      <c r="A215" s="38">
        <v>5</v>
      </c>
      <c r="B215" s="39">
        <v>0.3923611111111111</v>
      </c>
      <c r="C215" s="38" t="s">
        <v>48</v>
      </c>
      <c r="D215" s="38">
        <v>-45</v>
      </c>
      <c r="E215" s="38" t="s">
        <v>23</v>
      </c>
      <c r="F215" s="38">
        <v>1</v>
      </c>
      <c r="H215" s="3" t="s">
        <v>10</v>
      </c>
      <c r="I215" s="3">
        <f>SUMIF(Table718[OUTCOME],"Target",Table718[SPOT PTS])</f>
        <v>1071</v>
      </c>
      <c r="K215" s="34">
        <f>((Table718[[#This Row],[SPOT PTS]]/2)*15)-65</f>
        <v>-402.5</v>
      </c>
      <c r="L215" s="34">
        <f t="shared" si="6"/>
        <v>46569.5</v>
      </c>
    </row>
    <row r="216" spans="1:12" ht="16.2" customHeight="1" thickBot="1" x14ac:dyDescent="0.35">
      <c r="A216" s="9">
        <v>5</v>
      </c>
      <c r="B216" s="8">
        <v>0.4201388888888889</v>
      </c>
      <c r="C216" s="9" t="s">
        <v>48</v>
      </c>
      <c r="D216" s="9">
        <v>-27</v>
      </c>
      <c r="E216" s="9" t="s">
        <v>23</v>
      </c>
      <c r="F216" s="9">
        <v>1</v>
      </c>
      <c r="H216" s="3" t="s">
        <v>11</v>
      </c>
      <c r="I216" s="5">
        <f>I217/42707</f>
        <v>-0.11028636991593883</v>
      </c>
      <c r="K216" s="34">
        <f>((Table718[[#This Row],[SPOT PTS]]/2)*15)-65</f>
        <v>-267.5</v>
      </c>
      <c r="L216" s="34">
        <f t="shared" si="6"/>
        <v>46302</v>
      </c>
    </row>
    <row r="217" spans="1:12" ht="16.2" customHeight="1" x14ac:dyDescent="0.3">
      <c r="A217" s="38">
        <v>6</v>
      </c>
      <c r="B217" s="39">
        <v>0.39583333333333331</v>
      </c>
      <c r="C217" s="38" t="s">
        <v>48</v>
      </c>
      <c r="D217" s="38">
        <v>-50</v>
      </c>
      <c r="E217" s="38" t="s">
        <v>24</v>
      </c>
      <c r="F217" s="38">
        <v>1</v>
      </c>
      <c r="H217" s="3" t="s">
        <v>12</v>
      </c>
      <c r="I217" s="49">
        <f>((I212/2)*15)-I213</f>
        <v>-4710</v>
      </c>
      <c r="K217" s="34">
        <f>((Table718[[#This Row],[SPOT PTS]]/2)*15)-65</f>
        <v>-440</v>
      </c>
      <c r="L217" s="34">
        <f t="shared" si="6"/>
        <v>45862</v>
      </c>
    </row>
    <row r="218" spans="1:12" ht="16.2" customHeight="1" thickBot="1" x14ac:dyDescent="0.35">
      <c r="A218" s="9">
        <v>6</v>
      </c>
      <c r="B218" s="8">
        <v>0.4548611111111111</v>
      </c>
      <c r="C218" s="9" t="s">
        <v>50</v>
      </c>
      <c r="D218" s="9">
        <v>135</v>
      </c>
      <c r="E218" s="9" t="s">
        <v>24</v>
      </c>
      <c r="F218" s="9">
        <v>1</v>
      </c>
      <c r="K218" s="34">
        <f>((Table718[[#This Row],[SPOT PTS]]/2)*15)-65</f>
        <v>947.5</v>
      </c>
      <c r="L218" s="34">
        <f t="shared" si="6"/>
        <v>46809.5</v>
      </c>
    </row>
    <row r="219" spans="1:12" ht="16.2" customHeight="1" x14ac:dyDescent="0.3">
      <c r="A219" s="38">
        <v>7</v>
      </c>
      <c r="B219" s="39">
        <v>0.3923611111111111</v>
      </c>
      <c r="C219" s="38" t="s">
        <v>48</v>
      </c>
      <c r="D219" s="38">
        <v>-51</v>
      </c>
      <c r="E219" s="38" t="s">
        <v>20</v>
      </c>
      <c r="F219" s="38">
        <v>1</v>
      </c>
      <c r="K219" s="34">
        <f>((Table718[[#This Row],[SPOT PTS]]/2)*15)-65</f>
        <v>-447.5</v>
      </c>
      <c r="L219" s="34">
        <f t="shared" si="6"/>
        <v>46362</v>
      </c>
    </row>
    <row r="220" spans="1:12" ht="16.2" customHeight="1" x14ac:dyDescent="0.3">
      <c r="A220" s="9">
        <v>7</v>
      </c>
      <c r="B220" s="8">
        <v>0.50347222222222221</v>
      </c>
      <c r="C220" s="9" t="s">
        <v>48</v>
      </c>
      <c r="D220" s="9">
        <v>-25</v>
      </c>
      <c r="E220" s="9" t="s">
        <v>20</v>
      </c>
      <c r="F220" s="9">
        <v>2</v>
      </c>
      <c r="K220" s="34">
        <f>((Table718[[#This Row],[SPOT PTS]]/2)*15)-65</f>
        <v>-252.5</v>
      </c>
      <c r="L220" s="34">
        <f t="shared" si="6"/>
        <v>46109.5</v>
      </c>
    </row>
    <row r="221" spans="1:12" ht="16.2" customHeight="1" thickBot="1" x14ac:dyDescent="0.35">
      <c r="A221" s="36">
        <v>7</v>
      </c>
      <c r="B221" s="37">
        <v>6.25E-2</v>
      </c>
      <c r="C221" s="36" t="s">
        <v>50</v>
      </c>
      <c r="D221" s="36">
        <v>145</v>
      </c>
      <c r="E221" s="36" t="s">
        <v>20</v>
      </c>
      <c r="F221" s="36">
        <v>2</v>
      </c>
      <c r="K221" s="34">
        <f>((Table718[[#This Row],[SPOT PTS]]/2)*15)-65</f>
        <v>1022.5</v>
      </c>
      <c r="L221" s="34">
        <f t="shared" si="6"/>
        <v>47132</v>
      </c>
    </row>
    <row r="222" spans="1:12" ht="16.2" customHeight="1" x14ac:dyDescent="0.3">
      <c r="A222" s="12">
        <v>8</v>
      </c>
      <c r="B222" s="11">
        <v>0.3923611111111111</v>
      </c>
      <c r="C222" s="12" t="s">
        <v>48</v>
      </c>
      <c r="D222" s="12">
        <v>-61</v>
      </c>
      <c r="E222" s="12" t="s">
        <v>21</v>
      </c>
      <c r="F222" s="12">
        <v>1</v>
      </c>
      <c r="K222" s="34">
        <f>((Table718[[#This Row],[SPOT PTS]]/2)*15)-65</f>
        <v>-522.5</v>
      </c>
      <c r="L222" s="34">
        <f t="shared" si="6"/>
        <v>46609.5</v>
      </c>
    </row>
    <row r="223" spans="1:12" ht="16.2" customHeight="1" thickBot="1" x14ac:dyDescent="0.35">
      <c r="A223" s="36">
        <v>8</v>
      </c>
      <c r="B223" s="37">
        <v>0.40972222222222227</v>
      </c>
      <c r="C223" s="36" t="s">
        <v>50</v>
      </c>
      <c r="D223" s="36">
        <v>120</v>
      </c>
      <c r="E223" s="36" t="s">
        <v>21</v>
      </c>
      <c r="F223" s="36">
        <v>1</v>
      </c>
      <c r="K223" s="34">
        <f>((Table718[[#This Row],[SPOT PTS]]/2)*15)-65</f>
        <v>835</v>
      </c>
      <c r="L223" s="34">
        <f t="shared" si="6"/>
        <v>47444.5</v>
      </c>
    </row>
    <row r="224" spans="1:12" ht="16.2" customHeight="1" x14ac:dyDescent="0.3">
      <c r="A224" s="12">
        <v>11</v>
      </c>
      <c r="B224" s="11">
        <v>0.39583333333333331</v>
      </c>
      <c r="C224" s="12" t="s">
        <v>48</v>
      </c>
      <c r="D224" s="12">
        <v>-80</v>
      </c>
      <c r="E224" s="12" t="s">
        <v>22</v>
      </c>
      <c r="F224" s="12">
        <v>1</v>
      </c>
      <c r="K224" s="34">
        <f>((Table718[[#This Row],[SPOT PTS]]/2)*15)-65</f>
        <v>-665</v>
      </c>
      <c r="L224" s="34">
        <f t="shared" si="6"/>
        <v>46779.5</v>
      </c>
    </row>
    <row r="225" spans="1:12" ht="16.2" customHeight="1" x14ac:dyDescent="0.3">
      <c r="A225" s="36">
        <v>11</v>
      </c>
      <c r="B225" s="37">
        <v>0.42708333333333331</v>
      </c>
      <c r="C225" s="36" t="s">
        <v>48</v>
      </c>
      <c r="D225" s="36">
        <v>-37</v>
      </c>
      <c r="E225" s="36" t="s">
        <v>22</v>
      </c>
      <c r="F225" s="36">
        <v>1</v>
      </c>
      <c r="K225" s="34">
        <f>((Table718[[#This Row],[SPOT PTS]]/2)*15)-65</f>
        <v>-342.5</v>
      </c>
      <c r="L225" s="34">
        <f t="shared" si="6"/>
        <v>46437</v>
      </c>
    </row>
    <row r="226" spans="1:12" ht="16.2" customHeight="1" thickBot="1" x14ac:dyDescent="0.35">
      <c r="A226" s="9">
        <v>11</v>
      </c>
      <c r="B226" s="8">
        <v>0.50694444444444442</v>
      </c>
      <c r="C226" s="9" t="s">
        <v>48</v>
      </c>
      <c r="D226" s="9">
        <v>-21</v>
      </c>
      <c r="E226" s="9" t="s">
        <v>22</v>
      </c>
      <c r="F226" s="9">
        <v>2</v>
      </c>
      <c r="K226" s="34">
        <f>((Table718[[#This Row],[SPOT PTS]]/2)*15)-65</f>
        <v>-222.5</v>
      </c>
      <c r="L226" s="34">
        <f t="shared" si="6"/>
        <v>46214.5</v>
      </c>
    </row>
    <row r="227" spans="1:12" ht="16.2" customHeight="1" x14ac:dyDescent="0.3">
      <c r="A227" s="38">
        <v>12</v>
      </c>
      <c r="B227" s="39">
        <v>0.4375</v>
      </c>
      <c r="C227" s="38" t="s">
        <v>48</v>
      </c>
      <c r="D227" s="38">
        <v>-17</v>
      </c>
      <c r="E227" s="38" t="s">
        <v>23</v>
      </c>
      <c r="F227" s="38">
        <v>1</v>
      </c>
      <c r="K227" s="34">
        <f>((Table718[[#This Row],[SPOT PTS]]/2)*15)-65</f>
        <v>-192.5</v>
      </c>
      <c r="L227" s="34">
        <f t="shared" si="6"/>
        <v>46022</v>
      </c>
    </row>
    <row r="228" spans="1:12" ht="16.2" customHeight="1" x14ac:dyDescent="0.3">
      <c r="A228" s="9">
        <v>12</v>
      </c>
      <c r="B228" s="8">
        <v>9.7222222222222224E-2</v>
      </c>
      <c r="C228" s="9" t="s">
        <v>48</v>
      </c>
      <c r="D228" s="9">
        <v>-27</v>
      </c>
      <c r="E228" s="9" t="s">
        <v>23</v>
      </c>
      <c r="F228" s="9">
        <v>2</v>
      </c>
      <c r="K228" s="34">
        <f>((Table718[[#This Row],[SPOT PTS]]/2)*15)-65</f>
        <v>-267.5</v>
      </c>
      <c r="L228" s="34">
        <f t="shared" si="6"/>
        <v>45754.5</v>
      </c>
    </row>
    <row r="229" spans="1:12" ht="16.2" customHeight="1" thickBot="1" x14ac:dyDescent="0.35">
      <c r="A229" s="36">
        <v>12</v>
      </c>
      <c r="B229" s="37">
        <v>0.1076388888888889</v>
      </c>
      <c r="C229" s="36" t="s">
        <v>50</v>
      </c>
      <c r="D229" s="36">
        <v>102</v>
      </c>
      <c r="E229" s="36" t="s">
        <v>23</v>
      </c>
      <c r="F229" s="36">
        <v>2</v>
      </c>
      <c r="K229" s="34">
        <f>((Table718[[#This Row],[SPOT PTS]]/2)*15)-65</f>
        <v>700</v>
      </c>
      <c r="L229" s="34">
        <f t="shared" si="6"/>
        <v>46454.5</v>
      </c>
    </row>
    <row r="230" spans="1:12" ht="16.2" customHeight="1" thickBot="1" x14ac:dyDescent="0.35">
      <c r="A230" s="12">
        <v>13</v>
      </c>
      <c r="B230" s="11">
        <v>0.42708333333333331</v>
      </c>
      <c r="C230" s="12" t="s">
        <v>50</v>
      </c>
      <c r="D230" s="12">
        <v>89</v>
      </c>
      <c r="E230" s="12" t="s">
        <v>24</v>
      </c>
      <c r="F230" s="12">
        <v>1</v>
      </c>
      <c r="K230" s="34">
        <f>((Table718[[#This Row],[SPOT PTS]]/2)*15)-65</f>
        <v>602.5</v>
      </c>
      <c r="L230" s="34">
        <f t="shared" si="6"/>
        <v>47057</v>
      </c>
    </row>
    <row r="231" spans="1:12" ht="16.2" customHeight="1" thickBot="1" x14ac:dyDescent="0.35">
      <c r="A231" s="38">
        <v>15</v>
      </c>
      <c r="B231" s="39">
        <v>0.4861111111111111</v>
      </c>
      <c r="C231" s="38" t="s">
        <v>48</v>
      </c>
      <c r="D231" s="38">
        <v>-30</v>
      </c>
      <c r="E231" s="38" t="s">
        <v>21</v>
      </c>
      <c r="F231" s="38">
        <v>1</v>
      </c>
      <c r="K231" s="34">
        <f>((Table718[[#This Row],[SPOT PTS]]/2)*15)-65</f>
        <v>-290</v>
      </c>
      <c r="L231" s="34">
        <f t="shared" si="6"/>
        <v>46767</v>
      </c>
    </row>
    <row r="232" spans="1:12" ht="16.2" customHeight="1" x14ac:dyDescent="0.3">
      <c r="A232" s="12">
        <v>18</v>
      </c>
      <c r="B232" s="11">
        <v>0.39583333333333331</v>
      </c>
      <c r="C232" s="12" t="s">
        <v>48</v>
      </c>
      <c r="D232" s="12">
        <v>-42</v>
      </c>
      <c r="E232" s="12" t="s">
        <v>22</v>
      </c>
      <c r="F232" s="12">
        <v>1</v>
      </c>
      <c r="K232" s="34">
        <f>((Table718[[#This Row],[SPOT PTS]]/2)*15)-65</f>
        <v>-380</v>
      </c>
      <c r="L232" s="34">
        <f t="shared" si="6"/>
        <v>46387</v>
      </c>
    </row>
    <row r="233" spans="1:12" ht="16.2" customHeight="1" x14ac:dyDescent="0.3">
      <c r="A233" s="36">
        <v>18</v>
      </c>
      <c r="B233" s="37">
        <v>0.48958333333333331</v>
      </c>
      <c r="C233" s="36" t="s">
        <v>48</v>
      </c>
      <c r="D233" s="36">
        <v>-27</v>
      </c>
      <c r="E233" s="36" t="s">
        <v>22</v>
      </c>
      <c r="F233" s="36">
        <v>1</v>
      </c>
      <c r="K233" s="34">
        <f>((Table718[[#This Row],[SPOT PTS]]/2)*15)-65</f>
        <v>-267.5</v>
      </c>
      <c r="L233" s="34">
        <f t="shared" si="6"/>
        <v>46119.5</v>
      </c>
    </row>
    <row r="234" spans="1:12" ht="16.2" customHeight="1" thickBot="1" x14ac:dyDescent="0.35">
      <c r="A234" s="9">
        <v>18</v>
      </c>
      <c r="B234" s="8">
        <v>4.5138888888888888E-2</v>
      </c>
      <c r="C234" s="9" t="s">
        <v>48</v>
      </c>
      <c r="D234" s="9">
        <v>-19</v>
      </c>
      <c r="E234" s="9" t="s">
        <v>22</v>
      </c>
      <c r="F234" s="9">
        <v>2</v>
      </c>
      <c r="K234" s="34">
        <f>((Table718[[#This Row],[SPOT PTS]]/2)*15)-65</f>
        <v>-207.5</v>
      </c>
      <c r="L234" s="34">
        <f t="shared" si="6"/>
        <v>45912</v>
      </c>
    </row>
    <row r="235" spans="1:12" ht="16.2" customHeight="1" x14ac:dyDescent="0.3">
      <c r="A235" s="38">
        <v>19</v>
      </c>
      <c r="B235" s="39">
        <v>0.4201388888888889</v>
      </c>
      <c r="C235" s="38" t="s">
        <v>48</v>
      </c>
      <c r="D235" s="38">
        <v>-24</v>
      </c>
      <c r="E235" s="38" t="s">
        <v>23</v>
      </c>
      <c r="F235" s="38">
        <v>1</v>
      </c>
      <c r="K235" s="34">
        <f>((Table718[[#This Row],[SPOT PTS]]/2)*15)-65</f>
        <v>-245</v>
      </c>
      <c r="L235" s="34">
        <f t="shared" si="6"/>
        <v>45667</v>
      </c>
    </row>
    <row r="236" spans="1:12" ht="16.2" customHeight="1" x14ac:dyDescent="0.3">
      <c r="A236" s="9">
        <v>19</v>
      </c>
      <c r="B236" s="8">
        <v>0.42708333333333331</v>
      </c>
      <c r="C236" s="9" t="s">
        <v>48</v>
      </c>
      <c r="D236" s="9">
        <v>-35</v>
      </c>
      <c r="E236" s="9" t="s">
        <v>23</v>
      </c>
      <c r="F236" s="9">
        <v>1</v>
      </c>
      <c r="K236" s="34">
        <f>((Table718[[#This Row],[SPOT PTS]]/2)*15)-65</f>
        <v>-327.5</v>
      </c>
      <c r="L236" s="34">
        <f t="shared" si="6"/>
        <v>45339.5</v>
      </c>
    </row>
    <row r="237" spans="1:12" ht="16.2" customHeight="1" thickBot="1" x14ac:dyDescent="0.35">
      <c r="A237" s="36">
        <v>19</v>
      </c>
      <c r="B237" s="37">
        <v>0.46875</v>
      </c>
      <c r="C237" s="36" t="s">
        <v>50</v>
      </c>
      <c r="D237" s="36">
        <v>152</v>
      </c>
      <c r="E237" s="36" t="s">
        <v>23</v>
      </c>
      <c r="F237" s="36">
        <v>1</v>
      </c>
      <c r="K237" s="34">
        <f>((Table718[[#This Row],[SPOT PTS]]/2)*15)-65</f>
        <v>1075</v>
      </c>
      <c r="L237" s="34">
        <f t="shared" si="6"/>
        <v>46414.5</v>
      </c>
    </row>
    <row r="238" spans="1:12" ht="16.2" customHeight="1" x14ac:dyDescent="0.3">
      <c r="A238" s="12">
        <v>20</v>
      </c>
      <c r="B238" s="11">
        <v>0.3888888888888889</v>
      </c>
      <c r="C238" s="12" t="s">
        <v>48</v>
      </c>
      <c r="D238" s="12">
        <v>-80</v>
      </c>
      <c r="E238" s="12" t="s">
        <v>24</v>
      </c>
      <c r="F238" s="12">
        <v>1</v>
      </c>
      <c r="K238" s="34">
        <f>((Table718[[#This Row],[SPOT PTS]]/2)*15)-65</f>
        <v>-665</v>
      </c>
      <c r="L238" s="34">
        <f t="shared" si="6"/>
        <v>45749.5</v>
      </c>
    </row>
    <row r="239" spans="1:12" ht="16.2" customHeight="1" x14ac:dyDescent="0.3">
      <c r="A239" s="36">
        <v>20</v>
      </c>
      <c r="B239" s="37">
        <v>0.40972222222222227</v>
      </c>
      <c r="C239" s="36" t="s">
        <v>48</v>
      </c>
      <c r="D239" s="36">
        <v>-63</v>
      </c>
      <c r="E239" s="36" t="s">
        <v>24</v>
      </c>
      <c r="F239" s="36">
        <v>1</v>
      </c>
      <c r="K239" s="34">
        <f>((Table718[[#This Row],[SPOT PTS]]/2)*15)-65</f>
        <v>-537.5</v>
      </c>
      <c r="L239" s="34">
        <f t="shared" si="6"/>
        <v>45212</v>
      </c>
    </row>
    <row r="240" spans="1:12" ht="16.2" customHeight="1" thickBot="1" x14ac:dyDescent="0.35">
      <c r="A240" s="9">
        <v>20</v>
      </c>
      <c r="B240" s="8">
        <v>0.46875</v>
      </c>
      <c r="C240" s="9" t="s">
        <v>50</v>
      </c>
      <c r="D240" s="9">
        <v>53</v>
      </c>
      <c r="E240" s="9" t="s">
        <v>24</v>
      </c>
      <c r="F240" s="9">
        <v>1</v>
      </c>
      <c r="K240" s="34">
        <f>((Table718[[#This Row],[SPOT PTS]]/2)*15)-65</f>
        <v>332.5</v>
      </c>
      <c r="L240" s="34">
        <f t="shared" si="6"/>
        <v>45544.5</v>
      </c>
    </row>
    <row r="241" spans="1:12" ht="16.2" customHeight="1" x14ac:dyDescent="0.3">
      <c r="A241" s="38">
        <v>21</v>
      </c>
      <c r="B241" s="39">
        <v>0.41666666666666669</v>
      </c>
      <c r="C241" s="38" t="s">
        <v>48</v>
      </c>
      <c r="D241" s="38">
        <v>-23</v>
      </c>
      <c r="E241" s="38" t="s">
        <v>20</v>
      </c>
      <c r="F241" s="38">
        <v>1</v>
      </c>
      <c r="K241" s="34">
        <f>((Table718[[#This Row],[SPOT PTS]]/2)*15)-65</f>
        <v>-237.5</v>
      </c>
      <c r="L241" s="34">
        <f t="shared" si="6"/>
        <v>45307</v>
      </c>
    </row>
    <row r="242" spans="1:12" ht="16.2" customHeight="1" x14ac:dyDescent="0.3">
      <c r="A242" s="9">
        <v>21</v>
      </c>
      <c r="B242" s="8">
        <v>0.45833333333333331</v>
      </c>
      <c r="C242" s="9" t="s">
        <v>48</v>
      </c>
      <c r="D242" s="9">
        <v>-14</v>
      </c>
      <c r="E242" s="9" t="s">
        <v>20</v>
      </c>
      <c r="F242" s="9">
        <v>1</v>
      </c>
      <c r="K242" s="34">
        <f>((Table718[[#This Row],[SPOT PTS]]/2)*15)-65</f>
        <v>-170</v>
      </c>
      <c r="L242" s="34">
        <f t="shared" si="6"/>
        <v>45137</v>
      </c>
    </row>
    <row r="243" spans="1:12" ht="16.2" customHeight="1" thickBot="1" x14ac:dyDescent="0.35">
      <c r="A243" s="36">
        <v>21</v>
      </c>
      <c r="B243" s="37">
        <v>0.48958333333333331</v>
      </c>
      <c r="C243" s="36" t="s">
        <v>48</v>
      </c>
      <c r="D243" s="36">
        <v>-54</v>
      </c>
      <c r="E243" s="36" t="s">
        <v>20</v>
      </c>
      <c r="F243" s="36">
        <v>1</v>
      </c>
      <c r="K243" s="34">
        <f>((Table718[[#This Row],[SPOT PTS]]/2)*15)-65</f>
        <v>-470</v>
      </c>
      <c r="L243" s="34">
        <f t="shared" si="6"/>
        <v>44667</v>
      </c>
    </row>
    <row r="244" spans="1:12" ht="16.2" customHeight="1" x14ac:dyDescent="0.3">
      <c r="A244" s="12">
        <v>22</v>
      </c>
      <c r="B244" s="11">
        <v>0.40277777777777773</v>
      </c>
      <c r="C244" s="12" t="s">
        <v>48</v>
      </c>
      <c r="D244" s="12">
        <v>-52</v>
      </c>
      <c r="E244" s="12" t="s">
        <v>21</v>
      </c>
      <c r="F244" s="12">
        <v>1</v>
      </c>
      <c r="K244" s="34">
        <f>((Table718[[#This Row],[SPOT PTS]]/2)*15)-65</f>
        <v>-455</v>
      </c>
      <c r="L244" s="34">
        <f t="shared" si="6"/>
        <v>44212</v>
      </c>
    </row>
    <row r="245" spans="1:12" ht="16.2" customHeight="1" x14ac:dyDescent="0.3">
      <c r="A245" s="36">
        <v>22</v>
      </c>
      <c r="B245" s="37">
        <v>0.51388888888888895</v>
      </c>
      <c r="C245" s="36" t="s">
        <v>48</v>
      </c>
      <c r="D245" s="36">
        <v>-32</v>
      </c>
      <c r="E245" s="36" t="s">
        <v>21</v>
      </c>
      <c r="F245" s="36">
        <v>2</v>
      </c>
      <c r="K245" s="34">
        <f>((Table718[[#This Row],[SPOT PTS]]/2)*15)-65</f>
        <v>-305</v>
      </c>
      <c r="L245" s="34">
        <f t="shared" si="6"/>
        <v>43907</v>
      </c>
    </row>
    <row r="246" spans="1:12" ht="16.2" customHeight="1" thickBot="1" x14ac:dyDescent="0.35">
      <c r="A246" s="9">
        <v>22</v>
      </c>
      <c r="B246" s="8">
        <v>4.1666666666666664E-2</v>
      </c>
      <c r="C246" s="9" t="s">
        <v>50</v>
      </c>
      <c r="D246" s="9">
        <v>-87</v>
      </c>
      <c r="E246" s="9" t="s">
        <v>21</v>
      </c>
      <c r="F246" s="9">
        <v>2</v>
      </c>
      <c r="K246" s="34">
        <f>((Table718[[#This Row],[SPOT PTS]]/2)*15)-65</f>
        <v>-717.5</v>
      </c>
      <c r="L246" s="34">
        <f t="shared" si="6"/>
        <v>43189.5</v>
      </c>
    </row>
    <row r="247" spans="1:12" ht="16.2" customHeight="1" thickBot="1" x14ac:dyDescent="0.35">
      <c r="A247" s="38">
        <v>25</v>
      </c>
      <c r="B247" s="39">
        <v>0.39583333333333331</v>
      </c>
      <c r="C247" s="38" t="s">
        <v>50</v>
      </c>
      <c r="D247" s="38">
        <v>168</v>
      </c>
      <c r="E247" s="38" t="s">
        <v>22</v>
      </c>
      <c r="F247" s="38">
        <v>1</v>
      </c>
      <c r="K247" s="34">
        <f>((Table718[[#This Row],[SPOT PTS]]/2)*15)-65</f>
        <v>1195</v>
      </c>
      <c r="L247" s="34">
        <f t="shared" si="6"/>
        <v>44384.5</v>
      </c>
    </row>
    <row r="248" spans="1:12" ht="16.2" customHeight="1" thickBot="1" x14ac:dyDescent="0.35">
      <c r="A248" s="12">
        <v>26</v>
      </c>
      <c r="B248" s="11">
        <v>0.50347222222222221</v>
      </c>
      <c r="C248" s="12" t="s">
        <v>48</v>
      </c>
      <c r="D248" s="12">
        <v>-31</v>
      </c>
      <c r="E248" s="12" t="s">
        <v>23</v>
      </c>
      <c r="F248" s="12">
        <v>2</v>
      </c>
      <c r="K248" s="34">
        <f>((Table718[[#This Row],[SPOT PTS]]/2)*15)-65</f>
        <v>-297.5</v>
      </c>
      <c r="L248" s="34">
        <f t="shared" si="6"/>
        <v>44087</v>
      </c>
    </row>
    <row r="249" spans="1:12" ht="16.2" customHeight="1" x14ac:dyDescent="0.3">
      <c r="A249" s="38">
        <v>27</v>
      </c>
      <c r="B249" s="39">
        <v>0.43055555555555558</v>
      </c>
      <c r="C249" s="38" t="s">
        <v>48</v>
      </c>
      <c r="D249" s="38">
        <v>-53</v>
      </c>
      <c r="E249" s="38" t="s">
        <v>24</v>
      </c>
      <c r="F249" s="38">
        <v>1</v>
      </c>
      <c r="K249" s="34">
        <f>((Table718[[#This Row],[SPOT PTS]]/2)*15)-65</f>
        <v>-462.5</v>
      </c>
      <c r="L249" s="34">
        <f t="shared" si="6"/>
        <v>43624.5</v>
      </c>
    </row>
    <row r="250" spans="1:12" ht="16.2" customHeight="1" x14ac:dyDescent="0.3">
      <c r="A250" s="9">
        <v>27</v>
      </c>
      <c r="B250" s="8">
        <v>0.46180555555555558</v>
      </c>
      <c r="C250" s="9" t="s">
        <v>48</v>
      </c>
      <c r="D250" s="9">
        <v>-38</v>
      </c>
      <c r="E250" s="9" t="s">
        <v>24</v>
      </c>
      <c r="F250" s="9">
        <v>1</v>
      </c>
      <c r="K250" s="34">
        <f>((Table718[[#This Row],[SPOT PTS]]/2)*15)-65</f>
        <v>-350</v>
      </c>
      <c r="L250" s="34">
        <f t="shared" si="6"/>
        <v>43274.5</v>
      </c>
    </row>
    <row r="251" spans="1:12" ht="16.2" customHeight="1" thickBot="1" x14ac:dyDescent="0.35">
      <c r="A251" s="36">
        <v>27</v>
      </c>
      <c r="B251" s="37">
        <v>0.49305555555555558</v>
      </c>
      <c r="C251" s="36" t="s">
        <v>48</v>
      </c>
      <c r="D251" s="36">
        <v>-34</v>
      </c>
      <c r="E251" s="36" t="s">
        <v>24</v>
      </c>
      <c r="F251" s="36">
        <v>1</v>
      </c>
      <c r="K251" s="34">
        <f>((Table718[[#This Row],[SPOT PTS]]/2)*15)-65</f>
        <v>-320</v>
      </c>
      <c r="L251" s="34">
        <f t="shared" si="6"/>
        <v>42954.5</v>
      </c>
    </row>
    <row r="252" spans="1:12" ht="16.2" customHeight="1" x14ac:dyDescent="0.3">
      <c r="A252" s="12">
        <v>28</v>
      </c>
      <c r="B252" s="11">
        <v>0.39583333333333331</v>
      </c>
      <c r="C252" s="12" t="s">
        <v>48</v>
      </c>
      <c r="D252" s="12">
        <v>-80</v>
      </c>
      <c r="E252" s="12" t="s">
        <v>20</v>
      </c>
      <c r="F252" s="12">
        <v>1</v>
      </c>
      <c r="K252" s="34">
        <f>((Table718[[#This Row],[SPOT PTS]]/2)*15)-65</f>
        <v>-665</v>
      </c>
      <c r="L252" s="34">
        <f t="shared" si="6"/>
        <v>42289.5</v>
      </c>
    </row>
    <row r="253" spans="1:12" ht="16.2" customHeight="1" thickBot="1" x14ac:dyDescent="0.35">
      <c r="A253" s="36">
        <v>28</v>
      </c>
      <c r="B253" s="37">
        <v>5.2083333333333336E-2</v>
      </c>
      <c r="C253" s="36" t="s">
        <v>48</v>
      </c>
      <c r="D253" s="36">
        <v>-15</v>
      </c>
      <c r="E253" s="36" t="s">
        <v>20</v>
      </c>
      <c r="F253" s="36">
        <v>2</v>
      </c>
      <c r="K253" s="34">
        <f>((Table718[[#This Row],[SPOT PTS]]/2)*15)-65</f>
        <v>-177.5</v>
      </c>
      <c r="L253" s="34">
        <f t="shared" si="6"/>
        <v>42112</v>
      </c>
    </row>
    <row r="254" spans="1:12" ht="16.2" customHeight="1" x14ac:dyDescent="0.3">
      <c r="A254" s="12">
        <v>29</v>
      </c>
      <c r="B254" s="11">
        <v>0.3923611111111111</v>
      </c>
      <c r="C254" s="12" t="s">
        <v>50</v>
      </c>
      <c r="D254" s="12">
        <v>88</v>
      </c>
      <c r="E254" s="12" t="s">
        <v>21</v>
      </c>
      <c r="F254" s="12">
        <v>1</v>
      </c>
      <c r="K254" s="34">
        <f>((Table718[[#This Row],[SPOT PTS]]/2)*15)-65</f>
        <v>595</v>
      </c>
      <c r="L254" s="34">
        <f t="shared" si="6"/>
        <v>42707</v>
      </c>
    </row>
    <row r="255" spans="1:12" ht="16.2" customHeight="1" thickBot="1" x14ac:dyDescent="0.35">
      <c r="A255" s="58" t="s">
        <v>56</v>
      </c>
      <c r="B255" s="58"/>
      <c r="C255" s="58"/>
      <c r="D255" s="58"/>
      <c r="E255" s="58"/>
      <c r="F255" s="58"/>
    </row>
    <row r="256" spans="1:12" ht="16.2" customHeight="1" thickBot="1" x14ac:dyDescent="0.35">
      <c r="A256" s="25" t="s">
        <v>0</v>
      </c>
      <c r="B256" s="20" t="s">
        <v>1</v>
      </c>
      <c r="C256" s="20" t="s">
        <v>3</v>
      </c>
      <c r="D256" s="20" t="s">
        <v>2</v>
      </c>
      <c r="E256" s="20" t="s">
        <v>4</v>
      </c>
      <c r="F256" s="26" t="s">
        <v>47</v>
      </c>
      <c r="L256" s="34">
        <v>42707</v>
      </c>
    </row>
    <row r="257" spans="1:12" ht="16.2" customHeight="1" x14ac:dyDescent="0.3">
      <c r="A257" s="10">
        <v>1</v>
      </c>
      <c r="B257" s="11">
        <v>0.41666666666666669</v>
      </c>
      <c r="C257" s="12" t="s">
        <v>48</v>
      </c>
      <c r="D257" s="12">
        <v>-41</v>
      </c>
      <c r="E257" s="12" t="s">
        <v>22</v>
      </c>
      <c r="F257" s="13">
        <v>1</v>
      </c>
      <c r="H257" s="3" t="s">
        <v>5</v>
      </c>
      <c r="I257" s="3">
        <f>COUNT(Table119[RANGE])</f>
        <v>35</v>
      </c>
      <c r="K257" s="34">
        <f>((Table119[[#This Row],[SPOT PTS]]/2)*15)-65</f>
        <v>-372.5</v>
      </c>
      <c r="L257" s="34">
        <f>K257+L256</f>
        <v>42334.5</v>
      </c>
    </row>
    <row r="258" spans="1:12" ht="16.2" customHeight="1" x14ac:dyDescent="0.3">
      <c r="A258" s="27">
        <v>1</v>
      </c>
      <c r="B258" s="28">
        <v>0.46180555555555558</v>
      </c>
      <c r="C258" s="1" t="s">
        <v>48</v>
      </c>
      <c r="D258" s="1">
        <v>-39</v>
      </c>
      <c r="E258" s="1" t="s">
        <v>22</v>
      </c>
      <c r="F258" s="29">
        <v>1</v>
      </c>
      <c r="H258" s="3" t="s">
        <v>6</v>
      </c>
      <c r="I258" s="5">
        <f>((COUNTIF(Table119[OUTCOME],"Target"))/I257)</f>
        <v>0.31428571428571428</v>
      </c>
      <c r="K258" s="34">
        <f>((Table119[[#This Row],[SPOT PTS]]/2)*15)-65</f>
        <v>-357.5</v>
      </c>
      <c r="L258" s="34">
        <f t="shared" ref="L258:L290" si="7">K258+L257</f>
        <v>41977</v>
      </c>
    </row>
    <row r="259" spans="1:12" ht="16.2" customHeight="1" thickBot="1" x14ac:dyDescent="0.35">
      <c r="A259" s="30">
        <v>1</v>
      </c>
      <c r="B259" s="31">
        <v>0.52777777777777779</v>
      </c>
      <c r="C259" s="32" t="s">
        <v>48</v>
      </c>
      <c r="D259" s="32">
        <v>-30</v>
      </c>
      <c r="E259" s="32" t="s">
        <v>22</v>
      </c>
      <c r="F259" s="33">
        <v>2</v>
      </c>
      <c r="H259" s="3" t="s">
        <v>7</v>
      </c>
      <c r="I259" s="3">
        <f>SUM(Table119[SPOT PTS])</f>
        <v>704</v>
      </c>
      <c r="K259" s="34">
        <f>((Table119[[#This Row],[SPOT PTS]]/2)*15)-65</f>
        <v>-290</v>
      </c>
      <c r="L259" s="34">
        <f t="shared" si="7"/>
        <v>41687</v>
      </c>
    </row>
    <row r="260" spans="1:12" ht="16.2" customHeight="1" x14ac:dyDescent="0.3">
      <c r="A260" s="10">
        <v>2</v>
      </c>
      <c r="B260" s="11">
        <v>0.4513888888888889</v>
      </c>
      <c r="C260" s="12" t="s">
        <v>48</v>
      </c>
      <c r="D260" s="12">
        <v>-50</v>
      </c>
      <c r="E260" s="12" t="s">
        <v>23</v>
      </c>
      <c r="F260" s="13">
        <v>1</v>
      </c>
      <c r="H260" s="3" t="s">
        <v>8</v>
      </c>
      <c r="I260" s="3">
        <f>65*I257</f>
        <v>2275</v>
      </c>
      <c r="K260" s="34">
        <f>((Table119[[#This Row],[SPOT PTS]]/2)*15)-65</f>
        <v>-440</v>
      </c>
      <c r="L260" s="34">
        <f t="shared" si="7"/>
        <v>41247</v>
      </c>
    </row>
    <row r="261" spans="1:12" ht="16.2" customHeight="1" thickBot="1" x14ac:dyDescent="0.35">
      <c r="A261" s="30">
        <v>2</v>
      </c>
      <c r="B261" s="31">
        <v>0.1111111111111111</v>
      </c>
      <c r="C261" s="32" t="s">
        <v>48</v>
      </c>
      <c r="D261" s="32">
        <v>-23</v>
      </c>
      <c r="E261" s="32" t="s">
        <v>23</v>
      </c>
      <c r="F261" s="33">
        <v>2</v>
      </c>
      <c r="H261" s="3" t="s">
        <v>9</v>
      </c>
      <c r="I261" s="3">
        <f>SUMIF(Table119[OUTCOME],"Stoploss",Table119[SPOT PTS])</f>
        <v>-823</v>
      </c>
      <c r="K261" s="34">
        <f>((Table119[[#This Row],[SPOT PTS]]/2)*15)-65</f>
        <v>-237.5</v>
      </c>
      <c r="L261" s="34">
        <f t="shared" si="7"/>
        <v>41009.5</v>
      </c>
    </row>
    <row r="262" spans="1:12" ht="16.2" customHeight="1" x14ac:dyDescent="0.3">
      <c r="A262" s="10">
        <v>3</v>
      </c>
      <c r="B262" s="11">
        <v>0.49305555555555558</v>
      </c>
      <c r="C262" s="12" t="s">
        <v>48</v>
      </c>
      <c r="D262" s="12">
        <v>-40</v>
      </c>
      <c r="E262" s="12" t="s">
        <v>24</v>
      </c>
      <c r="F262" s="13">
        <v>1</v>
      </c>
      <c r="H262" s="3" t="s">
        <v>10</v>
      </c>
      <c r="I262" s="3">
        <f>SUMIF(Table119[OUTCOME],"Target",Table119[SPOT PTS])</f>
        <v>1527</v>
      </c>
      <c r="K262" s="34">
        <f>((Table119[[#This Row],[SPOT PTS]]/2)*15)-65</f>
        <v>-365</v>
      </c>
      <c r="L262" s="34">
        <f t="shared" si="7"/>
        <v>40644.5</v>
      </c>
    </row>
    <row r="263" spans="1:12" ht="16.2" customHeight="1" thickBot="1" x14ac:dyDescent="0.35">
      <c r="A263" s="30">
        <v>3</v>
      </c>
      <c r="B263" s="31">
        <v>7.6388888888888895E-2</v>
      </c>
      <c r="C263" s="32" t="s">
        <v>50</v>
      </c>
      <c r="D263" s="32">
        <v>111</v>
      </c>
      <c r="E263" s="32" t="s">
        <v>24</v>
      </c>
      <c r="F263" s="33">
        <v>2</v>
      </c>
      <c r="H263" s="3" t="s">
        <v>11</v>
      </c>
      <c r="I263" s="5">
        <f>I264/45712</f>
        <v>6.5737661883094156E-2</v>
      </c>
      <c r="K263" s="34">
        <f>((Table119[[#This Row],[SPOT PTS]]/2)*15)-65</f>
        <v>767.5</v>
      </c>
      <c r="L263" s="34">
        <f t="shared" si="7"/>
        <v>41412</v>
      </c>
    </row>
    <row r="264" spans="1:12" ht="16.2" customHeight="1" thickBot="1" x14ac:dyDescent="0.35">
      <c r="A264" s="16">
        <v>4</v>
      </c>
      <c r="B264" s="17">
        <v>0.3888888888888889</v>
      </c>
      <c r="C264" s="18" t="s">
        <v>50</v>
      </c>
      <c r="D264" s="18">
        <v>241</v>
      </c>
      <c r="E264" s="18" t="s">
        <v>20</v>
      </c>
      <c r="F264" s="19">
        <v>1</v>
      </c>
      <c r="H264" s="3" t="s">
        <v>12</v>
      </c>
      <c r="I264" s="49">
        <f>((I259/2)*15)-I260</f>
        <v>3005</v>
      </c>
      <c r="K264" s="34">
        <f>((Table119[[#This Row],[SPOT PTS]]/2)*15)-65</f>
        <v>1742.5</v>
      </c>
      <c r="L264" s="34">
        <f t="shared" si="7"/>
        <v>43154.5</v>
      </c>
    </row>
    <row r="265" spans="1:12" ht="16.2" customHeight="1" thickBot="1" x14ac:dyDescent="0.35">
      <c r="A265" s="30">
        <v>5</v>
      </c>
      <c r="B265" s="31">
        <v>0.46527777777777773</v>
      </c>
      <c r="C265" s="32" t="s">
        <v>50</v>
      </c>
      <c r="D265" s="32">
        <v>133</v>
      </c>
      <c r="E265" s="32" t="s">
        <v>21</v>
      </c>
      <c r="F265" s="33">
        <v>1</v>
      </c>
      <c r="K265" s="34">
        <f>((Table119[[#This Row],[SPOT PTS]]/2)*15)-65</f>
        <v>932.5</v>
      </c>
      <c r="L265" s="34">
        <f t="shared" si="7"/>
        <v>44087</v>
      </c>
    </row>
    <row r="266" spans="1:12" ht="16.2" customHeight="1" x14ac:dyDescent="0.3">
      <c r="A266" s="10">
        <v>8</v>
      </c>
      <c r="B266" s="11">
        <v>0.40625</v>
      </c>
      <c r="C266" s="12" t="s">
        <v>48</v>
      </c>
      <c r="D266" s="12">
        <v>-58</v>
      </c>
      <c r="E266" s="12" t="s">
        <v>22</v>
      </c>
      <c r="F266" s="13">
        <v>1</v>
      </c>
      <c r="K266" s="34">
        <f>((Table119[[#This Row],[SPOT PTS]]/2)*15)-65</f>
        <v>-500</v>
      </c>
      <c r="L266" s="34">
        <f t="shared" si="7"/>
        <v>43587</v>
      </c>
    </row>
    <row r="267" spans="1:12" ht="16.2" customHeight="1" thickBot="1" x14ac:dyDescent="0.35">
      <c r="A267" s="30">
        <v>8</v>
      </c>
      <c r="B267" s="31">
        <v>0.4548611111111111</v>
      </c>
      <c r="C267" s="32" t="s">
        <v>48</v>
      </c>
      <c r="D267" s="32">
        <v>-39</v>
      </c>
      <c r="E267" s="32" t="s">
        <v>22</v>
      </c>
      <c r="F267" s="33">
        <v>1</v>
      </c>
      <c r="K267" s="34">
        <f>((Table119[[#This Row],[SPOT PTS]]/2)*15)-65</f>
        <v>-357.5</v>
      </c>
      <c r="L267" s="34">
        <f t="shared" si="7"/>
        <v>43229.5</v>
      </c>
    </row>
    <row r="268" spans="1:12" ht="16.2" customHeight="1" thickBot="1" x14ac:dyDescent="0.35">
      <c r="A268" s="16">
        <v>10</v>
      </c>
      <c r="B268" s="17">
        <v>0.39583333333333331</v>
      </c>
      <c r="C268" s="18" t="s">
        <v>48</v>
      </c>
      <c r="D268" s="18">
        <v>-80</v>
      </c>
      <c r="E268" s="18" t="s">
        <v>24</v>
      </c>
      <c r="F268" s="19">
        <v>1</v>
      </c>
      <c r="K268" s="34">
        <f>((Table119[[#This Row],[SPOT PTS]]/2)*15)-65</f>
        <v>-665</v>
      </c>
      <c r="L268" s="34">
        <f t="shared" si="7"/>
        <v>42564.5</v>
      </c>
    </row>
    <row r="269" spans="1:12" ht="16.2" customHeight="1" x14ac:dyDescent="0.3">
      <c r="A269" s="10">
        <v>11</v>
      </c>
      <c r="B269" s="11">
        <v>0.40972222222222227</v>
      </c>
      <c r="C269" s="12" t="s">
        <v>48</v>
      </c>
      <c r="D269" s="12">
        <v>-31</v>
      </c>
      <c r="E269" s="12" t="s">
        <v>20</v>
      </c>
      <c r="F269" s="13">
        <v>1</v>
      </c>
      <c r="K269" s="34">
        <f>((Table119[[#This Row],[SPOT PTS]]/2)*15)-65</f>
        <v>-297.5</v>
      </c>
      <c r="L269" s="34">
        <f t="shared" si="7"/>
        <v>42267</v>
      </c>
    </row>
    <row r="270" spans="1:12" ht="16.2" customHeight="1" thickBot="1" x14ac:dyDescent="0.35">
      <c r="A270" s="30">
        <v>11</v>
      </c>
      <c r="B270" s="31">
        <v>0.52430555555555558</v>
      </c>
      <c r="C270" s="32" t="s">
        <v>48</v>
      </c>
      <c r="D270" s="32">
        <v>-25</v>
      </c>
      <c r="E270" s="32" t="s">
        <v>20</v>
      </c>
      <c r="F270" s="33">
        <v>2</v>
      </c>
      <c r="K270" s="34">
        <f>((Table119[[#This Row],[SPOT PTS]]/2)*15)-65</f>
        <v>-252.5</v>
      </c>
      <c r="L270" s="34">
        <f t="shared" si="7"/>
        <v>42014.5</v>
      </c>
    </row>
    <row r="271" spans="1:12" ht="16.2" customHeight="1" x14ac:dyDescent="0.3">
      <c r="A271" s="10">
        <v>12</v>
      </c>
      <c r="B271" s="11">
        <v>0.47222222222222227</v>
      </c>
      <c r="C271" s="12" t="s">
        <v>48</v>
      </c>
      <c r="D271" s="12">
        <v>-14</v>
      </c>
      <c r="E271" s="12" t="s">
        <v>21</v>
      </c>
      <c r="F271" s="13">
        <v>1</v>
      </c>
      <c r="K271" s="34">
        <f>((Table119[[#This Row],[SPOT PTS]]/2)*15)-65</f>
        <v>-170</v>
      </c>
      <c r="L271" s="34">
        <f t="shared" si="7"/>
        <v>41844.5</v>
      </c>
    </row>
    <row r="272" spans="1:12" ht="16.2" customHeight="1" x14ac:dyDescent="0.3">
      <c r="A272" s="27">
        <v>12</v>
      </c>
      <c r="B272" s="28">
        <v>0.4861111111111111</v>
      </c>
      <c r="C272" s="1" t="s">
        <v>48</v>
      </c>
      <c r="D272" s="1">
        <v>-30</v>
      </c>
      <c r="E272" s="1" t="s">
        <v>21</v>
      </c>
      <c r="F272" s="29">
        <v>1</v>
      </c>
      <c r="K272" s="34">
        <f>((Table119[[#This Row],[SPOT PTS]]/2)*15)-65</f>
        <v>-290</v>
      </c>
      <c r="L272" s="34">
        <f t="shared" si="7"/>
        <v>41554.5</v>
      </c>
    </row>
    <row r="273" spans="1:12" ht="16.2" customHeight="1" thickBot="1" x14ac:dyDescent="0.35">
      <c r="A273" s="30">
        <v>12</v>
      </c>
      <c r="B273" s="31">
        <v>5.5555555555555552E-2</v>
      </c>
      <c r="C273" s="32" t="s">
        <v>50</v>
      </c>
      <c r="D273" s="32">
        <v>53</v>
      </c>
      <c r="E273" s="32" t="s">
        <v>21</v>
      </c>
      <c r="F273" s="33">
        <v>2</v>
      </c>
      <c r="K273" s="34">
        <f>((Table119[[#This Row],[SPOT PTS]]/2)*15)-65</f>
        <v>332.5</v>
      </c>
      <c r="L273" s="34">
        <f t="shared" si="7"/>
        <v>41887</v>
      </c>
    </row>
    <row r="274" spans="1:12" ht="16.2" customHeight="1" thickBot="1" x14ac:dyDescent="0.35">
      <c r="A274" s="16">
        <v>16</v>
      </c>
      <c r="B274" s="17">
        <v>0.40972222222222227</v>
      </c>
      <c r="C274" s="18" t="s">
        <v>50</v>
      </c>
      <c r="D274" s="18">
        <v>97</v>
      </c>
      <c r="E274" s="12" t="s">
        <v>23</v>
      </c>
      <c r="F274" s="19">
        <v>1</v>
      </c>
      <c r="K274" s="34">
        <f>((Table119[[#This Row],[SPOT PTS]]/2)*15)-65</f>
        <v>662.5</v>
      </c>
      <c r="L274" s="34">
        <f t="shared" si="7"/>
        <v>42549.5</v>
      </c>
    </row>
    <row r="275" spans="1:12" ht="16.2" customHeight="1" x14ac:dyDescent="0.3">
      <c r="A275" s="10">
        <v>17</v>
      </c>
      <c r="B275" s="11">
        <v>0.3923611111111111</v>
      </c>
      <c r="C275" s="12" t="s">
        <v>48</v>
      </c>
      <c r="D275" s="12">
        <v>-45</v>
      </c>
      <c r="E275" s="12" t="s">
        <v>24</v>
      </c>
      <c r="F275" s="13">
        <v>1</v>
      </c>
      <c r="K275" s="34">
        <f>((Table119[[#This Row],[SPOT PTS]]/2)*15)-65</f>
        <v>-402.5</v>
      </c>
      <c r="L275" s="34">
        <f t="shared" si="7"/>
        <v>42147</v>
      </c>
    </row>
    <row r="276" spans="1:12" ht="16.2" customHeight="1" x14ac:dyDescent="0.3">
      <c r="A276" s="27">
        <v>17</v>
      </c>
      <c r="B276" s="28">
        <v>0.46875</v>
      </c>
      <c r="C276" s="1" t="s">
        <v>48</v>
      </c>
      <c r="D276" s="1">
        <v>-15</v>
      </c>
      <c r="E276" s="1" t="s">
        <v>24</v>
      </c>
      <c r="F276" s="29">
        <v>1</v>
      </c>
      <c r="K276" s="34">
        <f>((Table119[[#This Row],[SPOT PTS]]/2)*15)-65</f>
        <v>-177.5</v>
      </c>
      <c r="L276" s="34">
        <f t="shared" si="7"/>
        <v>41969.5</v>
      </c>
    </row>
    <row r="277" spans="1:12" ht="16.2" customHeight="1" thickBot="1" x14ac:dyDescent="0.35">
      <c r="A277" s="30">
        <v>17</v>
      </c>
      <c r="B277" s="31">
        <v>5.5555555555555552E-2</v>
      </c>
      <c r="C277" s="32" t="s">
        <v>48</v>
      </c>
      <c r="D277" s="32">
        <v>-25</v>
      </c>
      <c r="E277" s="32" t="s">
        <v>24</v>
      </c>
      <c r="F277" s="33">
        <v>2</v>
      </c>
      <c r="K277" s="34">
        <f>((Table119[[#This Row],[SPOT PTS]]/2)*15)-65</f>
        <v>-252.5</v>
      </c>
      <c r="L277" s="34">
        <f t="shared" si="7"/>
        <v>41717</v>
      </c>
    </row>
    <row r="278" spans="1:12" ht="16.2" customHeight="1" thickBot="1" x14ac:dyDescent="0.35">
      <c r="A278" s="16">
        <v>18</v>
      </c>
      <c r="B278" s="17">
        <v>0.4236111111111111</v>
      </c>
      <c r="C278" s="18" t="s">
        <v>50</v>
      </c>
      <c r="D278" s="18">
        <v>94</v>
      </c>
      <c r="E278" s="18" t="s">
        <v>20</v>
      </c>
      <c r="F278" s="19">
        <v>1</v>
      </c>
      <c r="K278" s="34">
        <f>((Table119[[#This Row],[SPOT PTS]]/2)*15)-65</f>
        <v>640</v>
      </c>
      <c r="L278" s="34">
        <f t="shared" si="7"/>
        <v>42357</v>
      </c>
    </row>
    <row r="279" spans="1:12" ht="16.2" customHeight="1" thickBot="1" x14ac:dyDescent="0.35">
      <c r="A279" s="16">
        <v>19</v>
      </c>
      <c r="B279" s="17">
        <v>6.25E-2</v>
      </c>
      <c r="C279" s="18" t="s">
        <v>50</v>
      </c>
      <c r="D279" s="18">
        <v>220</v>
      </c>
      <c r="E279" s="18" t="s">
        <v>21</v>
      </c>
      <c r="F279" s="19">
        <v>2</v>
      </c>
      <c r="K279" s="34">
        <f>((Table119[[#This Row],[SPOT PTS]]/2)*15)-65</f>
        <v>1585</v>
      </c>
      <c r="L279" s="34">
        <f t="shared" si="7"/>
        <v>43942</v>
      </c>
    </row>
    <row r="280" spans="1:12" ht="16.2" customHeight="1" thickBot="1" x14ac:dyDescent="0.35">
      <c r="A280" s="16">
        <v>22</v>
      </c>
      <c r="B280" s="17">
        <v>0.44444444444444442</v>
      </c>
      <c r="C280" s="18" t="s">
        <v>50</v>
      </c>
      <c r="D280" s="18">
        <v>122</v>
      </c>
      <c r="E280" s="18" t="s">
        <v>22</v>
      </c>
      <c r="F280" s="19">
        <v>1</v>
      </c>
      <c r="K280" s="34">
        <f>((Table119[[#This Row],[SPOT PTS]]/2)*15)-65</f>
        <v>850</v>
      </c>
      <c r="L280" s="34">
        <f t="shared" si="7"/>
        <v>44792</v>
      </c>
    </row>
    <row r="281" spans="1:12" ht="16.2" customHeight="1" thickBot="1" x14ac:dyDescent="0.35">
      <c r="A281" s="16">
        <v>23</v>
      </c>
      <c r="B281" s="17">
        <v>0.4201388888888889</v>
      </c>
      <c r="C281" s="18" t="s">
        <v>50</v>
      </c>
      <c r="D281" s="18">
        <v>228</v>
      </c>
      <c r="E281" s="18" t="s">
        <v>23</v>
      </c>
      <c r="F281" s="19">
        <v>1</v>
      </c>
      <c r="K281" s="34">
        <f>((Table119[[#This Row],[SPOT PTS]]/2)*15)-65</f>
        <v>1645</v>
      </c>
      <c r="L281" s="34">
        <f t="shared" si="7"/>
        <v>46437</v>
      </c>
    </row>
    <row r="282" spans="1:12" ht="16.2" customHeight="1" x14ac:dyDescent="0.3">
      <c r="A282" s="10">
        <v>24</v>
      </c>
      <c r="B282" s="11">
        <v>0.4375</v>
      </c>
      <c r="C282" s="12" t="s">
        <v>48</v>
      </c>
      <c r="D282" s="12">
        <v>-44</v>
      </c>
      <c r="E282" s="12" t="s">
        <v>24</v>
      </c>
      <c r="F282" s="13">
        <v>1</v>
      </c>
      <c r="K282" s="34">
        <f>((Table119[[#This Row],[SPOT PTS]]/2)*15)-65</f>
        <v>-395</v>
      </c>
      <c r="L282" s="34">
        <f t="shared" si="7"/>
        <v>46042</v>
      </c>
    </row>
    <row r="283" spans="1:12" ht="16.2" customHeight="1" thickBot="1" x14ac:dyDescent="0.35">
      <c r="A283" s="30">
        <v>24</v>
      </c>
      <c r="B283" s="31">
        <v>6.5972222222222224E-2</v>
      </c>
      <c r="C283" s="32" t="s">
        <v>48</v>
      </c>
      <c r="D283" s="32">
        <v>-28</v>
      </c>
      <c r="E283" s="32" t="s">
        <v>24</v>
      </c>
      <c r="F283" s="33">
        <v>2</v>
      </c>
      <c r="K283" s="34">
        <f>((Table119[[#This Row],[SPOT PTS]]/2)*15)-65</f>
        <v>-275</v>
      </c>
      <c r="L283" s="34">
        <f t="shared" si="7"/>
        <v>45767</v>
      </c>
    </row>
    <row r="284" spans="1:12" ht="16.2" customHeight="1" thickBot="1" x14ac:dyDescent="0.35">
      <c r="A284" s="16">
        <v>25</v>
      </c>
      <c r="B284" s="17">
        <v>0.51041666666666663</v>
      </c>
      <c r="C284" s="18" t="s">
        <v>48</v>
      </c>
      <c r="D284" s="18">
        <v>-21</v>
      </c>
      <c r="E284" s="18" t="s">
        <v>20</v>
      </c>
      <c r="F284" s="19">
        <v>2</v>
      </c>
      <c r="K284" s="34">
        <f>((Table119[[#This Row],[SPOT PTS]]/2)*15)-65</f>
        <v>-222.5</v>
      </c>
      <c r="L284" s="34">
        <f t="shared" si="7"/>
        <v>45544.5</v>
      </c>
    </row>
    <row r="285" spans="1:12" ht="16.2" customHeight="1" x14ac:dyDescent="0.3">
      <c r="A285" s="10">
        <v>26</v>
      </c>
      <c r="B285" s="11">
        <v>0.3923611111111111</v>
      </c>
      <c r="C285" s="12" t="s">
        <v>48</v>
      </c>
      <c r="D285" s="12">
        <v>-50</v>
      </c>
      <c r="E285" s="12" t="s">
        <v>21</v>
      </c>
      <c r="F285" s="13">
        <v>1</v>
      </c>
      <c r="K285" s="34">
        <f>((Table119[[#This Row],[SPOT PTS]]/2)*15)-65</f>
        <v>-440</v>
      </c>
      <c r="L285" s="34">
        <f t="shared" si="7"/>
        <v>45104.5</v>
      </c>
    </row>
    <row r="286" spans="1:12" ht="16.2" customHeight="1" x14ac:dyDescent="0.3">
      <c r="A286" s="27">
        <v>26</v>
      </c>
      <c r="B286" s="28">
        <v>0.40277777777777773</v>
      </c>
      <c r="C286" s="1" t="s">
        <v>48</v>
      </c>
      <c r="D286" s="1">
        <v>-70</v>
      </c>
      <c r="E286" s="1" t="s">
        <v>21</v>
      </c>
      <c r="F286" s="29">
        <v>1</v>
      </c>
      <c r="K286" s="34">
        <f>((Table119[[#This Row],[SPOT PTS]]/2)*15)-65</f>
        <v>-590</v>
      </c>
      <c r="L286" s="34">
        <f t="shared" si="7"/>
        <v>44514.5</v>
      </c>
    </row>
    <row r="287" spans="1:12" ht="16.2" customHeight="1" thickBot="1" x14ac:dyDescent="0.35">
      <c r="A287" s="30">
        <v>26</v>
      </c>
      <c r="B287" s="31">
        <v>0.4236111111111111</v>
      </c>
      <c r="C287" s="32" t="s">
        <v>50</v>
      </c>
      <c r="D287" s="32">
        <v>159</v>
      </c>
      <c r="E287" s="32" t="s">
        <v>21</v>
      </c>
      <c r="F287" s="33">
        <v>1</v>
      </c>
      <c r="K287" s="34">
        <f>((Table119[[#This Row],[SPOT PTS]]/2)*15)-65</f>
        <v>1127.5</v>
      </c>
      <c r="L287" s="34">
        <f t="shared" si="7"/>
        <v>45642</v>
      </c>
    </row>
    <row r="288" spans="1:12" ht="16.2" customHeight="1" thickBot="1" x14ac:dyDescent="0.35">
      <c r="A288" s="16">
        <v>29</v>
      </c>
      <c r="B288" s="17">
        <v>9.7222222222222224E-2</v>
      </c>
      <c r="C288" s="18" t="s">
        <v>50</v>
      </c>
      <c r="D288" s="18">
        <v>69</v>
      </c>
      <c r="E288" s="18" t="s">
        <v>22</v>
      </c>
      <c r="F288" s="19">
        <v>2</v>
      </c>
      <c r="K288" s="34">
        <f>((Table119[[#This Row],[SPOT PTS]]/2)*15)-65</f>
        <v>452.5</v>
      </c>
      <c r="L288" s="34">
        <f t="shared" si="7"/>
        <v>46094.5</v>
      </c>
    </row>
    <row r="289" spans="1:12" ht="16.2" customHeight="1" x14ac:dyDescent="0.3">
      <c r="A289" s="10">
        <v>30</v>
      </c>
      <c r="B289" s="11">
        <v>0.41319444444444442</v>
      </c>
      <c r="C289" s="12" t="s">
        <v>48</v>
      </c>
      <c r="D289" s="12">
        <v>-42</v>
      </c>
      <c r="E289" s="12" t="s">
        <v>23</v>
      </c>
      <c r="F289" s="13">
        <v>1</v>
      </c>
      <c r="K289" s="34">
        <f>((Table119[[#This Row],[SPOT PTS]]/2)*15)-65</f>
        <v>-380</v>
      </c>
      <c r="L289" s="34">
        <f t="shared" si="7"/>
        <v>45714.5</v>
      </c>
    </row>
    <row r="290" spans="1:12" ht="16.2" customHeight="1" x14ac:dyDescent="0.3">
      <c r="A290" s="27">
        <v>30</v>
      </c>
      <c r="B290" s="28">
        <v>0.4548611111111111</v>
      </c>
      <c r="C290" s="1" t="s">
        <v>48</v>
      </c>
      <c r="D290" s="1">
        <v>-34</v>
      </c>
      <c r="E290" s="1" t="s">
        <v>23</v>
      </c>
      <c r="F290" s="29">
        <v>1</v>
      </c>
      <c r="K290" s="34">
        <f>((Table119[[#This Row],[SPOT PTS]]/2)*15)-65</f>
        <v>-320</v>
      </c>
      <c r="L290" s="34">
        <f t="shared" si="7"/>
        <v>45394.5</v>
      </c>
    </row>
    <row r="291" spans="1:12" ht="16.2" customHeight="1" thickBot="1" x14ac:dyDescent="0.35">
      <c r="A291" s="30">
        <v>30</v>
      </c>
      <c r="B291" s="31">
        <v>4.5138888888888888E-2</v>
      </c>
      <c r="C291" s="32" t="s">
        <v>48</v>
      </c>
      <c r="D291" s="32">
        <v>51</v>
      </c>
      <c r="E291" s="32" t="s">
        <v>23</v>
      </c>
      <c r="F291" s="33">
        <v>2</v>
      </c>
      <c r="K291" s="34">
        <f>((Table119[[#This Row],[SPOT PTS]]/2)*15)-65</f>
        <v>317.5</v>
      </c>
      <c r="L291" s="34">
        <f>K291+L290</f>
        <v>45712</v>
      </c>
    </row>
    <row r="292" spans="1:12" ht="16.2" customHeight="1" x14ac:dyDescent="0.3">
      <c r="A292" s="56" t="s">
        <v>57</v>
      </c>
      <c r="B292" s="56"/>
      <c r="C292" s="56"/>
      <c r="D292" s="56"/>
      <c r="E292" s="56"/>
      <c r="F292" s="56"/>
    </row>
    <row r="293" spans="1:12" ht="16.2" customHeight="1" thickBot="1" x14ac:dyDescent="0.35">
      <c r="A293" s="25" t="s">
        <v>0</v>
      </c>
      <c r="B293" s="20" t="s">
        <v>1</v>
      </c>
      <c r="C293" s="20" t="s">
        <v>3</v>
      </c>
      <c r="D293" s="20" t="s">
        <v>2</v>
      </c>
      <c r="E293" s="20" t="s">
        <v>4</v>
      </c>
      <c r="F293" s="26" t="s">
        <v>47</v>
      </c>
      <c r="H293" s="3" t="s">
        <v>5</v>
      </c>
      <c r="I293" s="3">
        <f>COUNT(Table921[RANGE])</f>
        <v>42</v>
      </c>
      <c r="L293" s="34">
        <v>45712</v>
      </c>
    </row>
    <row r="294" spans="1:12" ht="16.2" customHeight="1" thickBot="1" x14ac:dyDescent="0.35">
      <c r="A294" s="16">
        <v>1</v>
      </c>
      <c r="B294" s="17">
        <v>0.43055555555555558</v>
      </c>
      <c r="C294" s="18" t="s">
        <v>48</v>
      </c>
      <c r="D294" s="18">
        <v>-63</v>
      </c>
      <c r="E294" s="18" t="s">
        <v>20</v>
      </c>
      <c r="F294" s="19">
        <v>1</v>
      </c>
      <c r="H294" s="3" t="s">
        <v>6</v>
      </c>
      <c r="I294" s="5">
        <f>((COUNTIF(Table921[OUTCOME],"Target"))/I293)</f>
        <v>0.38095238095238093</v>
      </c>
      <c r="K294" s="34">
        <f>((Table921[[#This Row],[SPOT PTS]]/2)*15)-65</f>
        <v>-537.5</v>
      </c>
      <c r="L294" s="34">
        <f>K294+L293</f>
        <v>45174.5</v>
      </c>
    </row>
    <row r="295" spans="1:12" ht="16.2" customHeight="1" x14ac:dyDescent="0.3">
      <c r="A295" s="10">
        <v>2</v>
      </c>
      <c r="B295" s="11">
        <v>0.3923611111111111</v>
      </c>
      <c r="C295" s="12" t="s">
        <v>48</v>
      </c>
      <c r="D295" s="12">
        <v>-80</v>
      </c>
      <c r="E295" s="12" t="s">
        <v>21</v>
      </c>
      <c r="F295" s="13">
        <v>1</v>
      </c>
      <c r="H295" s="3" t="s">
        <v>7</v>
      </c>
      <c r="I295" s="3">
        <f>SUM(Table921[SPOT PTS])</f>
        <v>1038</v>
      </c>
      <c r="K295" s="34">
        <f>((Table921[[#This Row],[SPOT PTS]]/2)*15)-65</f>
        <v>-665</v>
      </c>
      <c r="L295" s="34">
        <f t="shared" ref="L295:L335" si="8">K295+L294</f>
        <v>44509.5</v>
      </c>
    </row>
    <row r="296" spans="1:12" ht="16.2" customHeight="1" thickBot="1" x14ac:dyDescent="0.35">
      <c r="A296" s="30">
        <v>2</v>
      </c>
      <c r="B296" s="31">
        <v>9.375E-2</v>
      </c>
      <c r="C296" s="32" t="s">
        <v>48</v>
      </c>
      <c r="D296" s="32">
        <v>-20</v>
      </c>
      <c r="E296" s="32" t="s">
        <v>21</v>
      </c>
      <c r="F296" s="33">
        <v>2</v>
      </c>
      <c r="H296" s="3" t="s">
        <v>8</v>
      </c>
      <c r="I296" s="3">
        <f>65*I293</f>
        <v>2730</v>
      </c>
      <c r="K296" s="34">
        <f>((Table921[[#This Row],[SPOT PTS]]/2)*15)-65</f>
        <v>-215</v>
      </c>
      <c r="L296" s="34">
        <f t="shared" si="8"/>
        <v>44294.5</v>
      </c>
    </row>
    <row r="297" spans="1:12" ht="16.2" customHeight="1" x14ac:dyDescent="0.3">
      <c r="A297" s="10">
        <v>5</v>
      </c>
      <c r="B297" s="11">
        <v>0.3923611111111111</v>
      </c>
      <c r="C297" s="12" t="s">
        <v>48</v>
      </c>
      <c r="D297" s="12">
        <v>-94</v>
      </c>
      <c r="E297" s="12" t="s">
        <v>22</v>
      </c>
      <c r="F297" s="13">
        <v>1</v>
      </c>
      <c r="H297" s="3" t="s">
        <v>9</v>
      </c>
      <c r="I297" s="3">
        <f>SUMIF(Table921[OUTCOME],"Stoploss",Table921[SPOT PTS])</f>
        <v>-1373</v>
      </c>
      <c r="K297" s="34">
        <f>((Table921[[#This Row],[SPOT PTS]]/2)*15)-65</f>
        <v>-770</v>
      </c>
      <c r="L297" s="34">
        <f t="shared" si="8"/>
        <v>43524.5</v>
      </c>
    </row>
    <row r="298" spans="1:12" ht="16.2" customHeight="1" thickBot="1" x14ac:dyDescent="0.35">
      <c r="A298" s="30">
        <v>5</v>
      </c>
      <c r="B298" s="31">
        <v>0.4548611111111111</v>
      </c>
      <c r="C298" s="32" t="s">
        <v>50</v>
      </c>
      <c r="D298" s="32">
        <v>91</v>
      </c>
      <c r="E298" s="32" t="s">
        <v>22</v>
      </c>
      <c r="F298" s="33">
        <v>1</v>
      </c>
      <c r="H298" s="3" t="s">
        <v>10</v>
      </c>
      <c r="I298" s="3">
        <f>SUMIF(Table921[OUTCOME],"Target",Table921[SPOT PTS])</f>
        <v>2411</v>
      </c>
      <c r="K298" s="34">
        <f>((Table921[[#This Row],[SPOT PTS]]/2)*15)-65</f>
        <v>617.5</v>
      </c>
      <c r="L298" s="34">
        <f t="shared" si="8"/>
        <v>44142</v>
      </c>
    </row>
    <row r="299" spans="1:12" ht="16.2" customHeight="1" thickBot="1" x14ac:dyDescent="0.35">
      <c r="A299" s="16">
        <v>6</v>
      </c>
      <c r="B299" s="17">
        <v>0.39583333333333331</v>
      </c>
      <c r="C299" s="18" t="s">
        <v>50</v>
      </c>
      <c r="D299" s="18">
        <v>205</v>
      </c>
      <c r="E299" s="18" t="s">
        <v>23</v>
      </c>
      <c r="F299" s="19">
        <v>1</v>
      </c>
      <c r="H299" s="3" t="s">
        <v>11</v>
      </c>
      <c r="I299" s="5">
        <f>I300/50767</f>
        <v>9.9572556975988338E-2</v>
      </c>
      <c r="K299" s="34">
        <f>((Table921[[#This Row],[SPOT PTS]]/2)*15)-65</f>
        <v>1472.5</v>
      </c>
      <c r="L299" s="34">
        <f t="shared" si="8"/>
        <v>45614.5</v>
      </c>
    </row>
    <row r="300" spans="1:12" ht="16.2" customHeight="1" thickBot="1" x14ac:dyDescent="0.35">
      <c r="A300" s="16">
        <v>7</v>
      </c>
      <c r="B300" s="17">
        <v>0.50347222222222221</v>
      </c>
      <c r="C300" s="18" t="s">
        <v>48</v>
      </c>
      <c r="D300" s="18">
        <v>-33</v>
      </c>
      <c r="E300" s="18" t="s">
        <v>24</v>
      </c>
      <c r="F300" s="19">
        <v>2</v>
      </c>
      <c r="H300" s="3" t="s">
        <v>12</v>
      </c>
      <c r="I300" s="49">
        <f>((I295/2)*15)-I296</f>
        <v>5055</v>
      </c>
      <c r="K300" s="34">
        <f>((Table921[[#This Row],[SPOT PTS]]/2)*15)-65</f>
        <v>-312.5</v>
      </c>
      <c r="L300" s="34">
        <f t="shared" si="8"/>
        <v>45302</v>
      </c>
    </row>
    <row r="301" spans="1:12" ht="16.2" customHeight="1" x14ac:dyDescent="0.3">
      <c r="A301" s="10">
        <v>8</v>
      </c>
      <c r="B301" s="11">
        <v>0.41319444444444442</v>
      </c>
      <c r="C301" s="12" t="s">
        <v>48</v>
      </c>
      <c r="D301" s="12">
        <v>-26</v>
      </c>
      <c r="E301" s="12" t="s">
        <v>20</v>
      </c>
      <c r="F301" s="13">
        <v>1</v>
      </c>
      <c r="K301" s="34">
        <f>((Table921[[#This Row],[SPOT PTS]]/2)*15)-65</f>
        <v>-260</v>
      </c>
      <c r="L301" s="34">
        <f t="shared" si="8"/>
        <v>45042</v>
      </c>
    </row>
    <row r="302" spans="1:12" ht="16.2" customHeight="1" x14ac:dyDescent="0.3">
      <c r="A302" s="27">
        <v>8</v>
      </c>
      <c r="B302" s="28">
        <v>0.50347222222222221</v>
      </c>
      <c r="C302" s="1" t="s">
        <v>48</v>
      </c>
      <c r="D302" s="1">
        <v>-25</v>
      </c>
      <c r="E302" s="1" t="s">
        <v>20</v>
      </c>
      <c r="F302" s="29">
        <v>2</v>
      </c>
      <c r="K302" s="34">
        <f>((Table921[[#This Row],[SPOT PTS]]/2)*15)-65</f>
        <v>-252.5</v>
      </c>
      <c r="L302" s="34">
        <f t="shared" si="8"/>
        <v>44789.5</v>
      </c>
    </row>
    <row r="303" spans="1:12" ht="16.2" customHeight="1" thickBot="1" x14ac:dyDescent="0.35">
      <c r="A303" s="30">
        <v>8</v>
      </c>
      <c r="B303" s="31">
        <v>0.53125</v>
      </c>
      <c r="C303" s="32" t="s">
        <v>50</v>
      </c>
      <c r="D303" s="32">
        <v>114</v>
      </c>
      <c r="E303" s="32" t="s">
        <v>20</v>
      </c>
      <c r="F303" s="33">
        <v>2</v>
      </c>
      <c r="K303" s="34">
        <f>((Table921[[#This Row],[SPOT PTS]]/2)*15)-65</f>
        <v>790</v>
      </c>
      <c r="L303" s="34">
        <f t="shared" si="8"/>
        <v>45579.5</v>
      </c>
    </row>
    <row r="304" spans="1:12" ht="16.2" customHeight="1" x14ac:dyDescent="0.3">
      <c r="A304" s="10">
        <v>9</v>
      </c>
      <c r="B304" s="11">
        <v>0.39583333333333331</v>
      </c>
      <c r="C304" s="12" t="s">
        <v>48</v>
      </c>
      <c r="D304" s="12">
        <v>-50</v>
      </c>
      <c r="E304" s="12" t="s">
        <v>21</v>
      </c>
      <c r="F304" s="13">
        <v>1</v>
      </c>
      <c r="K304" s="34">
        <f>((Table921[[#This Row],[SPOT PTS]]/2)*15)-65</f>
        <v>-440</v>
      </c>
      <c r="L304" s="34">
        <f t="shared" si="8"/>
        <v>45139.5</v>
      </c>
    </row>
    <row r="305" spans="1:12" ht="16.2" customHeight="1" thickBot="1" x14ac:dyDescent="0.35">
      <c r="A305" s="30">
        <v>9</v>
      </c>
      <c r="B305" s="31">
        <v>0.44444444444444442</v>
      </c>
      <c r="C305" s="32" t="s">
        <v>50</v>
      </c>
      <c r="D305" s="32">
        <v>89</v>
      </c>
      <c r="E305" s="32" t="s">
        <v>21</v>
      </c>
      <c r="F305" s="33">
        <v>1</v>
      </c>
      <c r="K305" s="34">
        <f>((Table921[[#This Row],[SPOT PTS]]/2)*15)-65</f>
        <v>602.5</v>
      </c>
      <c r="L305" s="34">
        <f t="shared" si="8"/>
        <v>45742</v>
      </c>
    </row>
    <row r="306" spans="1:12" ht="16.2" customHeight="1" x14ac:dyDescent="0.3">
      <c r="A306" s="10">
        <v>12</v>
      </c>
      <c r="B306" s="11">
        <v>0.3888888888888889</v>
      </c>
      <c r="C306" s="12" t="s">
        <v>48</v>
      </c>
      <c r="D306" s="12">
        <v>-80</v>
      </c>
      <c r="E306" s="12" t="s">
        <v>22</v>
      </c>
      <c r="F306" s="13">
        <v>1</v>
      </c>
      <c r="K306" s="34">
        <f>((Table921[[#This Row],[SPOT PTS]]/2)*15)-65</f>
        <v>-665</v>
      </c>
      <c r="L306" s="34">
        <f t="shared" si="8"/>
        <v>45077</v>
      </c>
    </row>
    <row r="307" spans="1:12" ht="16.2" customHeight="1" thickBot="1" x14ac:dyDescent="0.35">
      <c r="A307" s="30">
        <v>12</v>
      </c>
      <c r="B307" s="31">
        <v>0.43055555555555558</v>
      </c>
      <c r="C307" s="32" t="s">
        <v>50</v>
      </c>
      <c r="D307" s="32">
        <v>65</v>
      </c>
      <c r="E307" s="32" t="s">
        <v>22</v>
      </c>
      <c r="F307" s="33">
        <v>1</v>
      </c>
      <c r="K307" s="34">
        <f>((Table921[[#This Row],[SPOT PTS]]/2)*15)-65</f>
        <v>422.5</v>
      </c>
      <c r="L307" s="34">
        <f t="shared" si="8"/>
        <v>45499.5</v>
      </c>
    </row>
    <row r="308" spans="1:12" ht="16.2" customHeight="1" x14ac:dyDescent="0.3">
      <c r="A308" s="10">
        <v>13</v>
      </c>
      <c r="B308" s="11">
        <v>0.3888888888888889</v>
      </c>
      <c r="C308" s="12" t="s">
        <v>48</v>
      </c>
      <c r="D308" s="12">
        <v>-78</v>
      </c>
      <c r="E308" s="12" t="s">
        <v>23</v>
      </c>
      <c r="F308" s="13">
        <v>1</v>
      </c>
      <c r="K308" s="34">
        <f>((Table921[[#This Row],[SPOT PTS]]/2)*15)-65</f>
        <v>-650</v>
      </c>
      <c r="L308" s="34">
        <f t="shared" si="8"/>
        <v>44849.5</v>
      </c>
    </row>
    <row r="309" spans="1:12" ht="16.2" customHeight="1" x14ac:dyDescent="0.3">
      <c r="A309" s="27">
        <v>13</v>
      </c>
      <c r="B309" s="28">
        <v>0.40972222222222227</v>
      </c>
      <c r="C309" s="1" t="s">
        <v>48</v>
      </c>
      <c r="D309" s="1">
        <v>-33</v>
      </c>
      <c r="E309" s="1" t="s">
        <v>23</v>
      </c>
      <c r="F309" s="29">
        <v>1</v>
      </c>
      <c r="K309" s="34">
        <f>((Table921[[#This Row],[SPOT PTS]]/2)*15)-65</f>
        <v>-312.5</v>
      </c>
      <c r="L309" s="34">
        <f t="shared" si="8"/>
        <v>44537</v>
      </c>
    </row>
    <row r="310" spans="1:12" ht="16.2" customHeight="1" thickBot="1" x14ac:dyDescent="0.35">
      <c r="A310" s="30">
        <v>13</v>
      </c>
      <c r="B310" s="31">
        <v>8.3333333333333329E-2</v>
      </c>
      <c r="C310" s="32" t="s">
        <v>48</v>
      </c>
      <c r="D310" s="32">
        <v>-24</v>
      </c>
      <c r="E310" s="32" t="s">
        <v>23</v>
      </c>
      <c r="F310" s="33">
        <v>2</v>
      </c>
      <c r="K310" s="34">
        <f>((Table921[[#This Row],[SPOT PTS]]/2)*15)-65</f>
        <v>-245</v>
      </c>
      <c r="L310" s="34">
        <f t="shared" si="8"/>
        <v>44292</v>
      </c>
    </row>
    <row r="311" spans="1:12" ht="16.2" customHeight="1" x14ac:dyDescent="0.3">
      <c r="A311" s="10">
        <v>14</v>
      </c>
      <c r="B311" s="11">
        <v>0.47569444444444442</v>
      </c>
      <c r="C311" s="12" t="s">
        <v>48</v>
      </c>
      <c r="D311" s="12">
        <v>-20</v>
      </c>
      <c r="E311" s="12" t="s">
        <v>24</v>
      </c>
      <c r="F311" s="13">
        <v>1</v>
      </c>
      <c r="K311" s="34">
        <f>((Table921[[#This Row],[SPOT PTS]]/2)*15)-65</f>
        <v>-215</v>
      </c>
      <c r="L311" s="34">
        <f t="shared" si="8"/>
        <v>44077</v>
      </c>
    </row>
    <row r="312" spans="1:12" ht="16.2" customHeight="1" x14ac:dyDescent="0.3">
      <c r="A312" s="27">
        <v>14</v>
      </c>
      <c r="B312" s="28">
        <v>0.53125</v>
      </c>
      <c r="C312" s="1" t="s">
        <v>48</v>
      </c>
      <c r="D312" s="1">
        <v>-44</v>
      </c>
      <c r="E312" s="1" t="s">
        <v>24</v>
      </c>
      <c r="F312" s="29">
        <v>2</v>
      </c>
      <c r="K312" s="34">
        <f>((Table921[[#This Row],[SPOT PTS]]/2)*15)-65</f>
        <v>-395</v>
      </c>
      <c r="L312" s="34">
        <f t="shared" si="8"/>
        <v>43682</v>
      </c>
    </row>
    <row r="313" spans="1:12" ht="16.2" customHeight="1" thickBot="1" x14ac:dyDescent="0.35">
      <c r="A313" s="30">
        <v>14</v>
      </c>
      <c r="B313" s="31">
        <v>0.10416666666666667</v>
      </c>
      <c r="C313" s="32" t="s">
        <v>50</v>
      </c>
      <c r="D313" s="32">
        <v>124</v>
      </c>
      <c r="E313" s="32" t="s">
        <v>24</v>
      </c>
      <c r="F313" s="33">
        <v>2</v>
      </c>
      <c r="K313" s="34">
        <f>((Table921[[#This Row],[SPOT PTS]]/2)*15)-65</f>
        <v>865</v>
      </c>
      <c r="L313" s="34">
        <f t="shared" si="8"/>
        <v>44547</v>
      </c>
    </row>
    <row r="314" spans="1:12" ht="16.2" customHeight="1" thickBot="1" x14ac:dyDescent="0.35">
      <c r="A314" s="16">
        <v>15</v>
      </c>
      <c r="B314" s="17">
        <v>0.39583333333333331</v>
      </c>
      <c r="C314" s="18" t="s">
        <v>50</v>
      </c>
      <c r="D314" s="18">
        <v>217</v>
      </c>
      <c r="E314" s="18" t="s">
        <v>20</v>
      </c>
      <c r="F314" s="19">
        <v>1</v>
      </c>
      <c r="K314" s="34">
        <f>((Table921[[#This Row],[SPOT PTS]]/2)*15)-65</f>
        <v>1562.5</v>
      </c>
      <c r="L314" s="34">
        <f t="shared" si="8"/>
        <v>46109.5</v>
      </c>
    </row>
    <row r="315" spans="1:12" ht="16.2" customHeight="1" thickBot="1" x14ac:dyDescent="0.35">
      <c r="A315" s="16">
        <v>16</v>
      </c>
      <c r="B315" s="17">
        <v>0.46180555555555558</v>
      </c>
      <c r="C315" s="18" t="s">
        <v>48</v>
      </c>
      <c r="D315" s="18">
        <v>-30</v>
      </c>
      <c r="E315" s="18" t="s">
        <v>21</v>
      </c>
      <c r="F315" s="19">
        <v>1</v>
      </c>
      <c r="K315" s="34">
        <f>((Table921[[#This Row],[SPOT PTS]]/2)*15)-65</f>
        <v>-290</v>
      </c>
      <c r="L315" s="34">
        <f t="shared" si="8"/>
        <v>45819.5</v>
      </c>
    </row>
    <row r="316" spans="1:12" ht="16.2" customHeight="1" x14ac:dyDescent="0.3">
      <c r="A316" s="10">
        <v>19</v>
      </c>
      <c r="B316" s="11">
        <v>0.4236111111111111</v>
      </c>
      <c r="C316" s="12" t="s">
        <v>48</v>
      </c>
      <c r="D316" s="12">
        <v>-72</v>
      </c>
      <c r="E316" s="12" t="s">
        <v>22</v>
      </c>
      <c r="F316" s="13">
        <v>1</v>
      </c>
      <c r="K316" s="34">
        <f>((Table921[[#This Row],[SPOT PTS]]/2)*15)-65</f>
        <v>-605</v>
      </c>
      <c r="L316" s="34">
        <f t="shared" si="8"/>
        <v>45214.5</v>
      </c>
    </row>
    <row r="317" spans="1:12" ht="16.2" customHeight="1" x14ac:dyDescent="0.3">
      <c r="A317" s="27">
        <v>19</v>
      </c>
      <c r="B317" s="28">
        <v>0.46180555555555558</v>
      </c>
      <c r="C317" s="1" t="s">
        <v>48</v>
      </c>
      <c r="D317" s="1">
        <v>-35</v>
      </c>
      <c r="E317" s="1" t="s">
        <v>22</v>
      </c>
      <c r="F317" s="29">
        <v>1</v>
      </c>
      <c r="K317" s="34">
        <f>((Table921[[#This Row],[SPOT PTS]]/2)*15)-65</f>
        <v>-327.5</v>
      </c>
      <c r="L317" s="34">
        <f t="shared" si="8"/>
        <v>44887</v>
      </c>
    </row>
    <row r="318" spans="1:12" ht="16.2" customHeight="1" thickBot="1" x14ac:dyDescent="0.35">
      <c r="A318" s="30">
        <v>19</v>
      </c>
      <c r="B318" s="31">
        <v>0.50694444444444442</v>
      </c>
      <c r="C318" s="32" t="s">
        <v>50</v>
      </c>
      <c r="D318" s="32">
        <v>111</v>
      </c>
      <c r="E318" s="32" t="s">
        <v>22</v>
      </c>
      <c r="F318" s="33">
        <v>2</v>
      </c>
      <c r="K318" s="34">
        <f>((Table921[[#This Row],[SPOT PTS]]/2)*15)-65</f>
        <v>767.5</v>
      </c>
      <c r="L318" s="34">
        <f t="shared" si="8"/>
        <v>45654.5</v>
      </c>
    </row>
    <row r="319" spans="1:12" ht="16.2" customHeight="1" x14ac:dyDescent="0.3">
      <c r="A319" s="10">
        <v>20</v>
      </c>
      <c r="B319" s="11">
        <v>0.40277777777777773</v>
      </c>
      <c r="C319" s="12" t="s">
        <v>48</v>
      </c>
      <c r="D319" s="12">
        <v>-45</v>
      </c>
      <c r="E319" s="12" t="s">
        <v>23</v>
      </c>
      <c r="F319" s="13">
        <v>1</v>
      </c>
      <c r="K319" s="34">
        <f>((Table921[[#This Row],[SPOT PTS]]/2)*15)-65</f>
        <v>-402.5</v>
      </c>
      <c r="L319" s="34">
        <f t="shared" si="8"/>
        <v>45252</v>
      </c>
    </row>
    <row r="320" spans="1:12" ht="16.2" customHeight="1" thickBot="1" x14ac:dyDescent="0.35">
      <c r="A320" s="30">
        <v>20</v>
      </c>
      <c r="B320" s="31">
        <v>0.52777777777777779</v>
      </c>
      <c r="C320" s="32" t="s">
        <v>50</v>
      </c>
      <c r="D320" s="32">
        <v>139</v>
      </c>
      <c r="E320" s="32" t="s">
        <v>23</v>
      </c>
      <c r="F320" s="33">
        <v>2</v>
      </c>
      <c r="K320" s="34">
        <f>((Table921[[#This Row],[SPOT PTS]]/2)*15)-65</f>
        <v>977.5</v>
      </c>
      <c r="L320" s="34">
        <f t="shared" si="8"/>
        <v>46229.5</v>
      </c>
    </row>
    <row r="321" spans="1:12" ht="16.2" customHeight="1" thickBot="1" x14ac:dyDescent="0.35">
      <c r="A321" s="16">
        <v>21</v>
      </c>
      <c r="B321" s="17">
        <v>0.44444444444444442</v>
      </c>
      <c r="C321" s="18" t="s">
        <v>50</v>
      </c>
      <c r="D321" s="18">
        <v>199</v>
      </c>
      <c r="E321" s="18" t="s">
        <v>24</v>
      </c>
      <c r="F321" s="19">
        <v>1</v>
      </c>
      <c r="K321" s="34">
        <f>((Table921[[#This Row],[SPOT PTS]]/2)*15)-65</f>
        <v>1427.5</v>
      </c>
      <c r="L321" s="34">
        <f t="shared" si="8"/>
        <v>47657</v>
      </c>
    </row>
    <row r="322" spans="1:12" ht="16.2" customHeight="1" x14ac:dyDescent="0.3">
      <c r="A322" s="10">
        <v>22</v>
      </c>
      <c r="B322" s="11">
        <v>5.9027777777777783E-2</v>
      </c>
      <c r="C322" s="12" t="s">
        <v>48</v>
      </c>
      <c r="D322" s="12">
        <v>-41</v>
      </c>
      <c r="E322" s="12" t="s">
        <v>20</v>
      </c>
      <c r="F322" s="13">
        <v>2</v>
      </c>
      <c r="K322" s="34">
        <f>((Table921[[#This Row],[SPOT PTS]]/2)*15)-65</f>
        <v>-372.5</v>
      </c>
      <c r="L322" s="34">
        <f t="shared" si="8"/>
        <v>47284.5</v>
      </c>
    </row>
    <row r="323" spans="1:12" ht="16.2" customHeight="1" thickBot="1" x14ac:dyDescent="0.35">
      <c r="A323" s="30">
        <v>22</v>
      </c>
      <c r="B323" s="31">
        <v>9.0277777777777776E-2</v>
      </c>
      <c r="C323" s="32" t="s">
        <v>50</v>
      </c>
      <c r="D323" s="32">
        <v>90</v>
      </c>
      <c r="E323" s="32" t="s">
        <v>20</v>
      </c>
      <c r="F323" s="33">
        <v>2</v>
      </c>
      <c r="K323" s="34">
        <f>((Table921[[#This Row],[SPOT PTS]]/2)*15)-65</f>
        <v>610</v>
      </c>
      <c r="L323" s="34">
        <f t="shared" si="8"/>
        <v>47894.5</v>
      </c>
    </row>
    <row r="324" spans="1:12" ht="16.2" customHeight="1" thickBot="1" x14ac:dyDescent="0.35">
      <c r="A324" s="16">
        <v>23</v>
      </c>
      <c r="B324" s="17">
        <v>0.47916666666666669</v>
      </c>
      <c r="C324" s="18" t="s">
        <v>50</v>
      </c>
      <c r="D324" s="18">
        <v>165</v>
      </c>
      <c r="E324" s="18" t="s">
        <v>21</v>
      </c>
      <c r="F324" s="19">
        <v>1</v>
      </c>
      <c r="K324" s="34">
        <f>((Table921[[#This Row],[SPOT PTS]]/2)*15)-65</f>
        <v>1172.5</v>
      </c>
      <c r="L324" s="34">
        <f t="shared" si="8"/>
        <v>49067</v>
      </c>
    </row>
    <row r="325" spans="1:12" ht="16.2" customHeight="1" x14ac:dyDescent="0.3">
      <c r="A325" s="10">
        <v>26</v>
      </c>
      <c r="B325" s="11">
        <v>0.4861111111111111</v>
      </c>
      <c r="C325" s="12" t="s">
        <v>48</v>
      </c>
      <c r="D325" s="12">
        <v>-53</v>
      </c>
      <c r="E325" s="12" t="s">
        <v>22</v>
      </c>
      <c r="F325" s="13">
        <v>1</v>
      </c>
      <c r="K325" s="34">
        <f>((Table921[[#This Row],[SPOT PTS]]/2)*15)-65</f>
        <v>-462.5</v>
      </c>
      <c r="L325" s="34">
        <f t="shared" si="8"/>
        <v>48604.5</v>
      </c>
    </row>
    <row r="326" spans="1:12" ht="16.2" customHeight="1" x14ac:dyDescent="0.3">
      <c r="A326" s="27">
        <v>26</v>
      </c>
      <c r="B326" s="28">
        <v>0.51388888888888895</v>
      </c>
      <c r="C326" s="1" t="s">
        <v>48</v>
      </c>
      <c r="D326" s="1">
        <v>-58</v>
      </c>
      <c r="E326" s="1" t="s">
        <v>22</v>
      </c>
      <c r="F326" s="29">
        <v>2</v>
      </c>
      <c r="K326" s="34">
        <f>((Table921[[#This Row],[SPOT PTS]]/2)*15)-65</f>
        <v>-500</v>
      </c>
      <c r="L326" s="34">
        <f t="shared" si="8"/>
        <v>48104.5</v>
      </c>
    </row>
    <row r="327" spans="1:12" ht="16.2" customHeight="1" thickBot="1" x14ac:dyDescent="0.35">
      <c r="A327" s="30">
        <v>26</v>
      </c>
      <c r="B327" s="31">
        <v>0.10416666666666667</v>
      </c>
      <c r="C327" s="32" t="s">
        <v>50</v>
      </c>
      <c r="D327" s="32">
        <v>161</v>
      </c>
      <c r="E327" s="32" t="s">
        <v>22</v>
      </c>
      <c r="F327" s="33">
        <v>2</v>
      </c>
      <c r="K327" s="34">
        <f>((Table921[[#This Row],[SPOT PTS]]/2)*15)-65</f>
        <v>1142.5</v>
      </c>
      <c r="L327" s="34">
        <f t="shared" si="8"/>
        <v>49247</v>
      </c>
    </row>
    <row r="328" spans="1:12" ht="16.2" customHeight="1" thickBot="1" x14ac:dyDescent="0.35">
      <c r="A328" s="16">
        <v>27</v>
      </c>
      <c r="B328" s="17">
        <v>0.39930555555555558</v>
      </c>
      <c r="C328" s="18" t="s">
        <v>50</v>
      </c>
      <c r="D328" s="18">
        <v>291</v>
      </c>
      <c r="E328" s="18" t="s">
        <v>23</v>
      </c>
      <c r="F328" s="19">
        <v>1</v>
      </c>
      <c r="K328" s="34">
        <f>((Table921[[#This Row],[SPOT PTS]]/2)*15)-65</f>
        <v>2117.5</v>
      </c>
      <c r="L328" s="34">
        <f t="shared" si="8"/>
        <v>51364.5</v>
      </c>
    </row>
    <row r="329" spans="1:12" ht="16.2" customHeight="1" x14ac:dyDescent="0.3">
      <c r="A329" s="10">
        <v>28</v>
      </c>
      <c r="B329" s="11">
        <v>0.41666666666666669</v>
      </c>
      <c r="C329" s="12" t="s">
        <v>48</v>
      </c>
      <c r="D329" s="12">
        <v>-80</v>
      </c>
      <c r="E329" s="12" t="s">
        <v>24</v>
      </c>
      <c r="F329" s="13">
        <v>1</v>
      </c>
      <c r="K329" s="34">
        <f>((Table921[[#This Row],[SPOT PTS]]/2)*15)-65</f>
        <v>-665</v>
      </c>
      <c r="L329" s="34">
        <f t="shared" si="8"/>
        <v>50699.5</v>
      </c>
    </row>
    <row r="330" spans="1:12" ht="16.2" customHeight="1" thickBot="1" x14ac:dyDescent="0.35">
      <c r="A330" s="30">
        <v>28</v>
      </c>
      <c r="B330" s="31">
        <v>0.51041666666666663</v>
      </c>
      <c r="C330" s="32" t="s">
        <v>50</v>
      </c>
      <c r="D330" s="32">
        <v>202</v>
      </c>
      <c r="E330" s="32" t="s">
        <v>24</v>
      </c>
      <c r="F330" s="33">
        <v>2</v>
      </c>
      <c r="K330" s="34">
        <f>((Table921[[#This Row],[SPOT PTS]]/2)*15)-65</f>
        <v>1450</v>
      </c>
      <c r="L330" s="34">
        <f t="shared" si="8"/>
        <v>52149.5</v>
      </c>
    </row>
    <row r="331" spans="1:12" ht="16.2" customHeight="1" x14ac:dyDescent="0.3">
      <c r="A331" s="10">
        <v>29</v>
      </c>
      <c r="B331" s="11">
        <v>0.3888888888888889</v>
      </c>
      <c r="C331" s="12" t="s">
        <v>48</v>
      </c>
      <c r="D331" s="12">
        <v>-54</v>
      </c>
      <c r="E331" s="12" t="s">
        <v>20</v>
      </c>
      <c r="F331" s="13">
        <v>1</v>
      </c>
      <c r="K331" s="34">
        <f>((Table921[[#This Row],[SPOT PTS]]/2)*15)-65</f>
        <v>-470</v>
      </c>
      <c r="L331" s="34">
        <f t="shared" si="8"/>
        <v>51679.5</v>
      </c>
    </row>
    <row r="332" spans="1:12" ht="16.2" customHeight="1" thickBot="1" x14ac:dyDescent="0.35">
      <c r="A332" s="30">
        <v>29</v>
      </c>
      <c r="B332" s="31">
        <v>0.40972222222222227</v>
      </c>
      <c r="C332" s="32" t="s">
        <v>50</v>
      </c>
      <c r="D332" s="32">
        <v>148</v>
      </c>
      <c r="E332" s="32" t="s">
        <v>20</v>
      </c>
      <c r="F332" s="33">
        <v>1</v>
      </c>
      <c r="K332" s="34">
        <f>((Table921[[#This Row],[SPOT PTS]]/2)*15)-65</f>
        <v>1045</v>
      </c>
      <c r="L332" s="34">
        <f t="shared" si="8"/>
        <v>52724.5</v>
      </c>
    </row>
    <row r="333" spans="1:12" ht="16.2" customHeight="1" x14ac:dyDescent="0.3">
      <c r="A333" s="10">
        <v>30</v>
      </c>
      <c r="B333" s="11">
        <v>0.41319444444444442</v>
      </c>
      <c r="C333" s="12" t="s">
        <v>48</v>
      </c>
      <c r="D333" s="12">
        <v>-80</v>
      </c>
      <c r="E333" s="12" t="s">
        <v>21</v>
      </c>
      <c r="F333" s="13">
        <v>1</v>
      </c>
      <c r="K333" s="34">
        <f>((Table921[[#This Row],[SPOT PTS]]/2)*15)-65</f>
        <v>-665</v>
      </c>
      <c r="L333" s="34">
        <f t="shared" si="8"/>
        <v>52059.5</v>
      </c>
    </row>
    <row r="334" spans="1:12" ht="16.2" customHeight="1" x14ac:dyDescent="0.3">
      <c r="A334" s="27">
        <v>30</v>
      </c>
      <c r="B334" s="28">
        <v>0.4548611111111111</v>
      </c>
      <c r="C334" s="1" t="s">
        <v>48</v>
      </c>
      <c r="D334" s="1">
        <v>-75</v>
      </c>
      <c r="E334" s="1" t="s">
        <v>21</v>
      </c>
      <c r="F334" s="29">
        <v>1</v>
      </c>
      <c r="K334" s="34">
        <f>((Table921[[#This Row],[SPOT PTS]]/2)*15)-65</f>
        <v>-627.5</v>
      </c>
      <c r="L334" s="34">
        <f t="shared" si="8"/>
        <v>51432</v>
      </c>
    </row>
    <row r="335" spans="1:12" ht="16.2" customHeight="1" thickBot="1" x14ac:dyDescent="0.35">
      <c r="A335" s="30">
        <v>30</v>
      </c>
      <c r="B335" s="31">
        <v>0.47569444444444442</v>
      </c>
      <c r="C335" s="32" t="s">
        <v>48</v>
      </c>
      <c r="D335" s="32">
        <v>-80</v>
      </c>
      <c r="E335" s="32" t="s">
        <v>21</v>
      </c>
      <c r="F335" s="33">
        <v>1</v>
      </c>
      <c r="K335" s="34">
        <f>((Table921[[#This Row],[SPOT PTS]]/2)*15)-65</f>
        <v>-665</v>
      </c>
      <c r="L335" s="34">
        <f t="shared" si="8"/>
        <v>50767</v>
      </c>
    </row>
    <row r="336" spans="1:12" ht="16.2" customHeight="1" x14ac:dyDescent="0.3">
      <c r="A336" s="56" t="s">
        <v>58</v>
      </c>
      <c r="B336" s="56"/>
      <c r="C336" s="56"/>
      <c r="D336" s="56"/>
      <c r="E336" s="56"/>
      <c r="F336" s="56"/>
    </row>
    <row r="337" spans="1:12" ht="16.2" customHeight="1" thickBot="1" x14ac:dyDescent="0.35">
      <c r="A337" s="25" t="s">
        <v>0</v>
      </c>
      <c r="B337" s="20" t="s">
        <v>1</v>
      </c>
      <c r="C337" s="20" t="s">
        <v>3</v>
      </c>
      <c r="D337" s="20" t="s">
        <v>2</v>
      </c>
      <c r="E337" s="20" t="s">
        <v>4</v>
      </c>
      <c r="F337" s="26" t="s">
        <v>47</v>
      </c>
      <c r="H337" s="3" t="s">
        <v>5</v>
      </c>
      <c r="I337" s="3">
        <f>COUNT(Table1022[RANGE])</f>
        <v>38</v>
      </c>
      <c r="L337" s="34">
        <v>50767</v>
      </c>
    </row>
    <row r="338" spans="1:12" ht="16.2" customHeight="1" thickBot="1" x14ac:dyDescent="0.35">
      <c r="A338" s="16">
        <v>3</v>
      </c>
      <c r="B338" s="17">
        <v>0.47569444444444442</v>
      </c>
      <c r="C338" s="18" t="s">
        <v>50</v>
      </c>
      <c r="D338" s="18">
        <v>178</v>
      </c>
      <c r="E338" s="18" t="s">
        <v>22</v>
      </c>
      <c r="F338" s="19">
        <v>1</v>
      </c>
      <c r="H338" s="3" t="s">
        <v>6</v>
      </c>
      <c r="I338" s="5">
        <f>((COUNTIF(Table1022[OUTCOME],"Target"))/I337)</f>
        <v>0.36842105263157893</v>
      </c>
      <c r="K338" s="34">
        <f>((Table1022[[#This Row],[SPOT PTS]]/2)*15)-65</f>
        <v>1270</v>
      </c>
      <c r="L338" s="34">
        <f>K338+L337</f>
        <v>52037</v>
      </c>
    </row>
    <row r="339" spans="1:12" ht="16.2" customHeight="1" x14ac:dyDescent="0.3">
      <c r="A339" s="10">
        <v>4</v>
      </c>
      <c r="B339" s="11">
        <v>0.39930555555555558</v>
      </c>
      <c r="C339" s="12" t="s">
        <v>48</v>
      </c>
      <c r="D339" s="12">
        <v>-65</v>
      </c>
      <c r="E339" s="12" t="s">
        <v>23</v>
      </c>
      <c r="F339" s="13">
        <v>1</v>
      </c>
      <c r="H339" s="3" t="s">
        <v>7</v>
      </c>
      <c r="I339" s="3">
        <f>SUM(Table1022[SPOT PTS])</f>
        <v>584</v>
      </c>
      <c r="K339" s="34">
        <f>((Table1022[[#This Row],[SPOT PTS]]/2)*15)-65</f>
        <v>-552.5</v>
      </c>
      <c r="L339" s="34">
        <f t="shared" ref="L339:L375" si="9">K339+L338</f>
        <v>51484.5</v>
      </c>
    </row>
    <row r="340" spans="1:12" ht="16.2" customHeight="1" thickBot="1" x14ac:dyDescent="0.35">
      <c r="A340" s="30">
        <v>4</v>
      </c>
      <c r="B340" s="31">
        <v>0.4236111111111111</v>
      </c>
      <c r="C340" s="32" t="s">
        <v>50</v>
      </c>
      <c r="D340" s="32">
        <v>88</v>
      </c>
      <c r="E340" s="32" t="s">
        <v>23</v>
      </c>
      <c r="F340" s="33">
        <v>1</v>
      </c>
      <c r="H340" s="3" t="s">
        <v>8</v>
      </c>
      <c r="I340" s="3">
        <f>65*I337</f>
        <v>2470</v>
      </c>
      <c r="K340" s="34">
        <f>((Table1022[[#This Row],[SPOT PTS]]/2)*15)-65</f>
        <v>595</v>
      </c>
      <c r="L340" s="34">
        <f t="shared" si="9"/>
        <v>52079.5</v>
      </c>
    </row>
    <row r="341" spans="1:12" ht="16.2" customHeight="1" x14ac:dyDescent="0.3">
      <c r="A341" s="10">
        <v>6</v>
      </c>
      <c r="B341" s="11">
        <v>0.3888888888888889</v>
      </c>
      <c r="C341" s="12" t="s">
        <v>48</v>
      </c>
      <c r="D341" s="12">
        <v>-80</v>
      </c>
      <c r="E341" s="12" t="s">
        <v>20</v>
      </c>
      <c r="F341" s="13">
        <v>1</v>
      </c>
      <c r="H341" s="3" t="s">
        <v>9</v>
      </c>
      <c r="I341" s="3">
        <f>SUMIF(Table1022[OUTCOME],"Stoploss",Table1022[SPOT PTS])</f>
        <v>-1279</v>
      </c>
      <c r="K341" s="34">
        <f>((Table1022[[#This Row],[SPOT PTS]]/2)*15)-65</f>
        <v>-665</v>
      </c>
      <c r="L341" s="34">
        <f t="shared" si="9"/>
        <v>51414.5</v>
      </c>
    </row>
    <row r="342" spans="1:12" ht="16.2" customHeight="1" x14ac:dyDescent="0.3">
      <c r="A342" s="27">
        <v>6</v>
      </c>
      <c r="B342" s="28">
        <v>0.46527777777777773</v>
      </c>
      <c r="C342" s="1" t="s">
        <v>48</v>
      </c>
      <c r="D342" s="1">
        <v>-37</v>
      </c>
      <c r="E342" s="1" t="s">
        <v>20</v>
      </c>
      <c r="F342" s="29">
        <v>1</v>
      </c>
      <c r="H342" s="3" t="s">
        <v>10</v>
      </c>
      <c r="I342" s="3">
        <f>SUMIF(Table1022[OUTCOME],"Target",Table1022[SPOT PTS])</f>
        <v>1863</v>
      </c>
      <c r="K342" s="34">
        <f>((Table1022[[#This Row],[SPOT PTS]]/2)*15)-65</f>
        <v>-342.5</v>
      </c>
      <c r="L342" s="34">
        <f t="shared" si="9"/>
        <v>51072</v>
      </c>
    </row>
    <row r="343" spans="1:12" ht="16.2" customHeight="1" thickBot="1" x14ac:dyDescent="0.35">
      <c r="A343" s="30">
        <v>6</v>
      </c>
      <c r="B343" s="31">
        <v>4.5138888888888888E-2</v>
      </c>
      <c r="C343" s="32" t="s">
        <v>50</v>
      </c>
      <c r="D343" s="32">
        <v>117</v>
      </c>
      <c r="E343" s="32" t="s">
        <v>20</v>
      </c>
      <c r="F343" s="33">
        <v>2</v>
      </c>
      <c r="H343" s="3" t="s">
        <v>11</v>
      </c>
      <c r="I343" s="5">
        <f>I344/52677</f>
        <v>3.6258708734362245E-2</v>
      </c>
      <c r="K343" s="34">
        <f>((Table1022[[#This Row],[SPOT PTS]]/2)*15)-65</f>
        <v>812.5</v>
      </c>
      <c r="L343" s="34">
        <f t="shared" si="9"/>
        <v>51884.5</v>
      </c>
    </row>
    <row r="344" spans="1:12" ht="16.2" customHeight="1" thickBot="1" x14ac:dyDescent="0.35">
      <c r="A344" s="16">
        <v>7</v>
      </c>
      <c r="B344" s="17">
        <v>0.53472222222222221</v>
      </c>
      <c r="C344" s="18" t="s">
        <v>50</v>
      </c>
      <c r="D344" s="18">
        <v>85</v>
      </c>
      <c r="E344" s="18" t="s">
        <v>21</v>
      </c>
      <c r="F344" s="19">
        <v>2</v>
      </c>
      <c r="H344" s="3" t="s">
        <v>12</v>
      </c>
      <c r="I344" s="49">
        <f>((I339/2)*15)-I340</f>
        <v>1910</v>
      </c>
      <c r="K344" s="34">
        <f>((Table1022[[#This Row],[SPOT PTS]]/2)*15)-65</f>
        <v>572.5</v>
      </c>
      <c r="L344" s="34">
        <f t="shared" si="9"/>
        <v>52457</v>
      </c>
    </row>
    <row r="345" spans="1:12" ht="16.2" customHeight="1" x14ac:dyDescent="0.3">
      <c r="A345" s="10">
        <v>10</v>
      </c>
      <c r="B345" s="11">
        <v>0.44097222222222227</v>
      </c>
      <c r="C345" s="12" t="s">
        <v>48</v>
      </c>
      <c r="D345" s="12">
        <v>-46</v>
      </c>
      <c r="E345" s="12" t="s">
        <v>22</v>
      </c>
      <c r="F345" s="13">
        <v>1</v>
      </c>
      <c r="K345" s="34">
        <f>((Table1022[[#This Row],[SPOT PTS]]/2)*15)-65</f>
        <v>-410</v>
      </c>
      <c r="L345" s="34">
        <f t="shared" si="9"/>
        <v>52047</v>
      </c>
    </row>
    <row r="346" spans="1:12" ht="16.2" customHeight="1" thickBot="1" x14ac:dyDescent="0.35">
      <c r="A346" s="30">
        <v>10</v>
      </c>
      <c r="B346" s="31">
        <v>0.51388888888888895</v>
      </c>
      <c r="C346" s="32" t="s">
        <v>48</v>
      </c>
      <c r="D346" s="32">
        <v>-56</v>
      </c>
      <c r="E346" s="32" t="s">
        <v>22</v>
      </c>
      <c r="F346" s="33">
        <v>1</v>
      </c>
      <c r="K346" s="34">
        <f>((Table1022[[#This Row],[SPOT PTS]]/2)*15)-65</f>
        <v>-485</v>
      </c>
      <c r="L346" s="34">
        <f t="shared" si="9"/>
        <v>51562</v>
      </c>
    </row>
    <row r="347" spans="1:12" ht="16.2" customHeight="1" x14ac:dyDescent="0.3">
      <c r="A347" s="10">
        <v>11</v>
      </c>
      <c r="B347" s="11">
        <v>0.43055555555555558</v>
      </c>
      <c r="C347" s="12" t="s">
        <v>48</v>
      </c>
      <c r="D347" s="12">
        <v>-80</v>
      </c>
      <c r="E347" s="12" t="s">
        <v>23</v>
      </c>
      <c r="F347" s="13">
        <v>1</v>
      </c>
      <c r="K347" s="34">
        <f>((Table1022[[#This Row],[SPOT PTS]]/2)*15)-65</f>
        <v>-665</v>
      </c>
      <c r="L347" s="34">
        <f t="shared" si="9"/>
        <v>50897</v>
      </c>
    </row>
    <row r="348" spans="1:12" ht="16.2" customHeight="1" thickBot="1" x14ac:dyDescent="0.35">
      <c r="A348" s="30">
        <v>11</v>
      </c>
      <c r="B348" s="31">
        <v>0.50694444444444442</v>
      </c>
      <c r="C348" s="32" t="s">
        <v>50</v>
      </c>
      <c r="D348" s="32">
        <v>138</v>
      </c>
      <c r="E348" s="32" t="s">
        <v>23</v>
      </c>
      <c r="F348" s="33">
        <v>2</v>
      </c>
      <c r="K348" s="34">
        <f>((Table1022[[#This Row],[SPOT PTS]]/2)*15)-65</f>
        <v>970</v>
      </c>
      <c r="L348" s="34">
        <f t="shared" si="9"/>
        <v>51867</v>
      </c>
    </row>
    <row r="349" spans="1:12" ht="16.2" customHeight="1" x14ac:dyDescent="0.3">
      <c r="A349" s="10">
        <v>12</v>
      </c>
      <c r="B349" s="11">
        <v>0.39583333333333331</v>
      </c>
      <c r="C349" s="12" t="s">
        <v>48</v>
      </c>
      <c r="D349" s="12">
        <v>-70</v>
      </c>
      <c r="E349" s="12" t="s">
        <v>24</v>
      </c>
      <c r="F349" s="13">
        <v>1</v>
      </c>
      <c r="K349" s="34">
        <f>((Table1022[[#This Row],[SPOT PTS]]/2)*15)-65</f>
        <v>-590</v>
      </c>
      <c r="L349" s="34">
        <f t="shared" si="9"/>
        <v>51277</v>
      </c>
    </row>
    <row r="350" spans="1:12" ht="16.2" customHeight="1" thickBot="1" x14ac:dyDescent="0.35">
      <c r="A350" s="30">
        <v>12</v>
      </c>
      <c r="B350" s="31">
        <v>0.41666666666666669</v>
      </c>
      <c r="C350" s="32" t="s">
        <v>50</v>
      </c>
      <c r="D350" s="32">
        <v>135</v>
      </c>
      <c r="E350" s="32" t="s">
        <v>24</v>
      </c>
      <c r="F350" s="33">
        <v>1</v>
      </c>
      <c r="K350" s="34">
        <f>((Table1022[[#This Row],[SPOT PTS]]/2)*15)-65</f>
        <v>947.5</v>
      </c>
      <c r="L350" s="34">
        <f t="shared" si="9"/>
        <v>52224.5</v>
      </c>
    </row>
    <row r="351" spans="1:12" ht="16.2" customHeight="1" x14ac:dyDescent="0.3">
      <c r="A351" s="10">
        <v>13</v>
      </c>
      <c r="B351" s="11">
        <v>0.51736111111111105</v>
      </c>
      <c r="C351" s="12" t="s">
        <v>48</v>
      </c>
      <c r="D351" s="12">
        <v>-53</v>
      </c>
      <c r="E351" s="12" t="s">
        <v>20</v>
      </c>
      <c r="F351" s="13">
        <v>2</v>
      </c>
      <c r="K351" s="34">
        <f>((Table1022[[#This Row],[SPOT PTS]]/2)*15)-65</f>
        <v>-462.5</v>
      </c>
      <c r="L351" s="34">
        <f t="shared" si="9"/>
        <v>51762</v>
      </c>
    </row>
    <row r="352" spans="1:12" ht="16.2" customHeight="1" x14ac:dyDescent="0.3">
      <c r="A352" s="27">
        <v>13</v>
      </c>
      <c r="B352" s="28">
        <v>0.59375</v>
      </c>
      <c r="C352" s="1" t="s">
        <v>48</v>
      </c>
      <c r="D352" s="1">
        <v>-31</v>
      </c>
      <c r="E352" s="1" t="s">
        <v>20</v>
      </c>
      <c r="F352" s="29">
        <v>2</v>
      </c>
      <c r="K352" s="34">
        <f>((Table1022[[#This Row],[SPOT PTS]]/2)*15)-65</f>
        <v>-297.5</v>
      </c>
      <c r="L352" s="34">
        <f t="shared" si="9"/>
        <v>51464.5</v>
      </c>
    </row>
    <row r="353" spans="1:12" ht="16.2" customHeight="1" thickBot="1" x14ac:dyDescent="0.35">
      <c r="A353" s="30">
        <v>13</v>
      </c>
      <c r="B353" s="31">
        <v>0.11805555555555557</v>
      </c>
      <c r="C353" s="32" t="s">
        <v>50</v>
      </c>
      <c r="D353" s="32">
        <v>178</v>
      </c>
      <c r="E353" s="32" t="s">
        <v>20</v>
      </c>
      <c r="F353" s="33">
        <v>2</v>
      </c>
      <c r="K353" s="34">
        <f>((Table1022[[#This Row],[SPOT PTS]]/2)*15)-65</f>
        <v>1270</v>
      </c>
      <c r="L353" s="34">
        <f t="shared" si="9"/>
        <v>52734.5</v>
      </c>
    </row>
    <row r="354" spans="1:12" ht="16.2" customHeight="1" x14ac:dyDescent="0.3">
      <c r="A354" s="10">
        <v>14</v>
      </c>
      <c r="B354" s="11">
        <v>0.3888888888888889</v>
      </c>
      <c r="C354" s="12" t="s">
        <v>48</v>
      </c>
      <c r="D354" s="12">
        <v>-80</v>
      </c>
      <c r="E354" s="12" t="s">
        <v>21</v>
      </c>
      <c r="F354" s="13">
        <v>1</v>
      </c>
      <c r="K354" s="34">
        <f>((Table1022[[#This Row],[SPOT PTS]]/2)*15)-65</f>
        <v>-665</v>
      </c>
      <c r="L354" s="34">
        <f t="shared" si="9"/>
        <v>52069.5</v>
      </c>
    </row>
    <row r="355" spans="1:12" ht="16.2" customHeight="1" x14ac:dyDescent="0.3">
      <c r="A355" s="27">
        <v>14</v>
      </c>
      <c r="B355" s="28">
        <v>0.4861111111111111</v>
      </c>
      <c r="C355" s="1" t="s">
        <v>48</v>
      </c>
      <c r="D355" s="1">
        <v>-22</v>
      </c>
      <c r="E355" s="1" t="s">
        <v>21</v>
      </c>
      <c r="F355" s="29">
        <v>1</v>
      </c>
      <c r="K355" s="34">
        <f>((Table1022[[#This Row],[SPOT PTS]]/2)*15)-65</f>
        <v>-230</v>
      </c>
      <c r="L355" s="34">
        <f t="shared" si="9"/>
        <v>51839.5</v>
      </c>
    </row>
    <row r="356" spans="1:12" ht="16.2" customHeight="1" thickBot="1" x14ac:dyDescent="0.35">
      <c r="A356" s="30">
        <v>14</v>
      </c>
      <c r="B356" s="31">
        <v>7.6388888888888895E-2</v>
      </c>
      <c r="C356" s="32" t="s">
        <v>50</v>
      </c>
      <c r="D356" s="32">
        <v>170</v>
      </c>
      <c r="E356" s="32" t="s">
        <v>21</v>
      </c>
      <c r="F356" s="33">
        <v>1</v>
      </c>
      <c r="K356" s="34">
        <f>((Table1022[[#This Row],[SPOT PTS]]/2)*15)-65</f>
        <v>1210</v>
      </c>
      <c r="L356" s="34">
        <f t="shared" si="9"/>
        <v>53049.5</v>
      </c>
    </row>
    <row r="357" spans="1:12" ht="16.2" customHeight="1" x14ac:dyDescent="0.3">
      <c r="A357" s="10">
        <v>17</v>
      </c>
      <c r="B357" s="11">
        <v>0.43402777777777773</v>
      </c>
      <c r="C357" s="12" t="s">
        <v>48</v>
      </c>
      <c r="D357" s="12">
        <v>-80</v>
      </c>
      <c r="E357" s="12" t="s">
        <v>22</v>
      </c>
      <c r="F357" s="13">
        <v>1</v>
      </c>
      <c r="K357" s="34">
        <f>((Table1022[[#This Row],[SPOT PTS]]/2)*15)-65</f>
        <v>-665</v>
      </c>
      <c r="L357" s="34">
        <f t="shared" si="9"/>
        <v>52384.5</v>
      </c>
    </row>
    <row r="358" spans="1:12" ht="16.2" customHeight="1" thickBot="1" x14ac:dyDescent="0.35">
      <c r="A358" s="30">
        <v>17</v>
      </c>
      <c r="B358" s="31">
        <v>0.44791666666666669</v>
      </c>
      <c r="C358" s="32" t="s">
        <v>48</v>
      </c>
      <c r="D358" s="32">
        <v>-63</v>
      </c>
      <c r="E358" s="32" t="s">
        <v>22</v>
      </c>
      <c r="F358" s="33">
        <v>1</v>
      </c>
      <c r="K358" s="34">
        <f>((Table1022[[#This Row],[SPOT PTS]]/2)*15)-65</f>
        <v>-537.5</v>
      </c>
      <c r="L358" s="34">
        <f t="shared" si="9"/>
        <v>51847</v>
      </c>
    </row>
    <row r="359" spans="1:12" ht="16.2" customHeight="1" x14ac:dyDescent="0.3">
      <c r="A359" s="10">
        <v>18</v>
      </c>
      <c r="B359" s="11">
        <v>0.39583333333333331</v>
      </c>
      <c r="C359" s="12" t="s">
        <v>48</v>
      </c>
      <c r="D359" s="12">
        <v>-70</v>
      </c>
      <c r="E359" s="12" t="s">
        <v>23</v>
      </c>
      <c r="F359" s="13">
        <v>1</v>
      </c>
      <c r="K359" s="34">
        <f>((Table1022[[#This Row],[SPOT PTS]]/2)*15)-65</f>
        <v>-590</v>
      </c>
      <c r="L359" s="34">
        <f t="shared" si="9"/>
        <v>51257</v>
      </c>
    </row>
    <row r="360" spans="1:12" ht="16.2" customHeight="1" x14ac:dyDescent="0.3">
      <c r="A360" s="27">
        <v>18</v>
      </c>
      <c r="B360" s="28">
        <v>0.4201388888888889</v>
      </c>
      <c r="C360" s="1" t="s">
        <v>48</v>
      </c>
      <c r="D360" s="1">
        <v>-23</v>
      </c>
      <c r="E360" s="1" t="s">
        <v>23</v>
      </c>
      <c r="F360" s="29">
        <v>1</v>
      </c>
      <c r="K360" s="34">
        <f>((Table1022[[#This Row],[SPOT PTS]]/2)*15)-65</f>
        <v>-237.5</v>
      </c>
      <c r="L360" s="34">
        <f t="shared" si="9"/>
        <v>51019.5</v>
      </c>
    </row>
    <row r="361" spans="1:12" ht="16.2" customHeight="1" thickBot="1" x14ac:dyDescent="0.35">
      <c r="A361" s="30">
        <v>18</v>
      </c>
      <c r="B361" s="31">
        <v>0.44097222222222227</v>
      </c>
      <c r="C361" s="32" t="s">
        <v>50</v>
      </c>
      <c r="D361" s="32">
        <v>106</v>
      </c>
      <c r="E361" s="32" t="s">
        <v>23</v>
      </c>
      <c r="F361" s="33">
        <v>1</v>
      </c>
      <c r="K361" s="34">
        <f>((Table1022[[#This Row],[SPOT PTS]]/2)*15)-65</f>
        <v>730</v>
      </c>
      <c r="L361" s="34">
        <f t="shared" si="9"/>
        <v>51749.5</v>
      </c>
    </row>
    <row r="362" spans="1:12" ht="16.2" customHeight="1" thickBot="1" x14ac:dyDescent="0.35">
      <c r="A362" s="16">
        <v>19</v>
      </c>
      <c r="B362" s="17">
        <v>0.10416666666666667</v>
      </c>
      <c r="C362" s="18" t="s">
        <v>50</v>
      </c>
      <c r="D362" s="18">
        <v>133</v>
      </c>
      <c r="E362" s="18" t="s">
        <v>24</v>
      </c>
      <c r="F362" s="19">
        <v>2</v>
      </c>
      <c r="K362" s="34">
        <f>((Table1022[[#This Row],[SPOT PTS]]/2)*15)-65</f>
        <v>932.5</v>
      </c>
      <c r="L362" s="34">
        <f t="shared" si="9"/>
        <v>52682</v>
      </c>
    </row>
    <row r="363" spans="1:12" ht="16.2" customHeight="1" x14ac:dyDescent="0.3">
      <c r="A363" s="10">
        <v>20</v>
      </c>
      <c r="B363" s="11">
        <v>0.52083333333333337</v>
      </c>
      <c r="C363" s="12" t="s">
        <v>48</v>
      </c>
      <c r="D363" s="12">
        <v>-46</v>
      </c>
      <c r="E363" s="12" t="s">
        <v>20</v>
      </c>
      <c r="F363" s="13">
        <v>1</v>
      </c>
      <c r="K363" s="34">
        <f>((Table1022[[#This Row],[SPOT PTS]]/2)*15)-65</f>
        <v>-410</v>
      </c>
      <c r="L363" s="34">
        <f t="shared" si="9"/>
        <v>52272</v>
      </c>
    </row>
    <row r="364" spans="1:12" ht="16.2" customHeight="1" x14ac:dyDescent="0.3">
      <c r="A364" s="27">
        <v>20</v>
      </c>
      <c r="B364" s="28">
        <v>0.53472222222222221</v>
      </c>
      <c r="C364" s="1" t="s">
        <v>48</v>
      </c>
      <c r="D364" s="1">
        <v>-18</v>
      </c>
      <c r="E364" s="1" t="s">
        <v>20</v>
      </c>
      <c r="F364" s="29">
        <v>2</v>
      </c>
      <c r="K364" s="34">
        <f>((Table1022[[#This Row],[SPOT PTS]]/2)*15)-65</f>
        <v>-200</v>
      </c>
      <c r="L364" s="34">
        <f t="shared" si="9"/>
        <v>52072</v>
      </c>
    </row>
    <row r="365" spans="1:12" ht="16.2" customHeight="1" thickBot="1" x14ac:dyDescent="0.35">
      <c r="A365" s="30">
        <v>20</v>
      </c>
      <c r="B365" s="31">
        <v>0.10069444444444443</v>
      </c>
      <c r="C365" s="32" t="s">
        <v>48</v>
      </c>
      <c r="D365" s="32">
        <v>-34</v>
      </c>
      <c r="E365" s="32" t="s">
        <v>20</v>
      </c>
      <c r="F365" s="33">
        <v>2</v>
      </c>
      <c r="K365" s="34">
        <f>((Table1022[[#This Row],[SPOT PTS]]/2)*15)-65</f>
        <v>-320</v>
      </c>
      <c r="L365" s="34">
        <f t="shared" si="9"/>
        <v>51752</v>
      </c>
    </row>
    <row r="366" spans="1:12" ht="16.2" customHeight="1" x14ac:dyDescent="0.3">
      <c r="A366" s="10">
        <v>21</v>
      </c>
      <c r="B366" s="11">
        <v>0.40625</v>
      </c>
      <c r="C366" s="12" t="s">
        <v>48</v>
      </c>
      <c r="D366" s="12">
        <v>-57</v>
      </c>
      <c r="E366" s="12" t="s">
        <v>21</v>
      </c>
      <c r="F366" s="13">
        <v>1</v>
      </c>
      <c r="K366" s="34">
        <f>((Table1022[[#This Row],[SPOT PTS]]/2)*15)-65</f>
        <v>-492.5</v>
      </c>
      <c r="L366" s="34">
        <f t="shared" si="9"/>
        <v>51259.5</v>
      </c>
    </row>
    <row r="367" spans="1:12" ht="16.2" customHeight="1" x14ac:dyDescent="0.3">
      <c r="A367" s="27">
        <v>21</v>
      </c>
      <c r="B367" s="28">
        <v>0.42708333333333331</v>
      </c>
      <c r="C367" s="1" t="s">
        <v>48</v>
      </c>
      <c r="D367" s="1">
        <v>-41</v>
      </c>
      <c r="E367" s="1" t="s">
        <v>21</v>
      </c>
      <c r="F367" s="29">
        <v>1</v>
      </c>
      <c r="K367" s="34">
        <f>((Table1022[[#This Row],[SPOT PTS]]/2)*15)-65</f>
        <v>-372.5</v>
      </c>
      <c r="L367" s="34">
        <f t="shared" si="9"/>
        <v>50887</v>
      </c>
    </row>
    <row r="368" spans="1:12" ht="16.2" customHeight="1" thickBot="1" x14ac:dyDescent="0.35">
      <c r="A368" s="30">
        <v>21</v>
      </c>
      <c r="B368" s="31">
        <v>0.48958333333333331</v>
      </c>
      <c r="C368" s="32" t="s">
        <v>48</v>
      </c>
      <c r="D368" s="32">
        <v>-32</v>
      </c>
      <c r="E368" s="32" t="s">
        <v>21</v>
      </c>
      <c r="F368" s="33">
        <v>1</v>
      </c>
      <c r="K368" s="34">
        <f>((Table1022[[#This Row],[SPOT PTS]]/2)*15)-65</f>
        <v>-305</v>
      </c>
      <c r="L368" s="34">
        <f t="shared" si="9"/>
        <v>50582</v>
      </c>
    </row>
    <row r="369" spans="1:12" ht="16.2" customHeight="1" x14ac:dyDescent="0.3">
      <c r="A369" s="10">
        <v>25</v>
      </c>
      <c r="B369" s="11">
        <v>0.3888888888888889</v>
      </c>
      <c r="C369" s="12" t="s">
        <v>48</v>
      </c>
      <c r="D369" s="12">
        <v>-80</v>
      </c>
      <c r="E369" s="12" t="s">
        <v>23</v>
      </c>
      <c r="F369" s="13">
        <v>1</v>
      </c>
      <c r="K369" s="34">
        <f>((Table1022[[#This Row],[SPOT PTS]]/2)*15)-65</f>
        <v>-665</v>
      </c>
      <c r="L369" s="34">
        <f t="shared" si="9"/>
        <v>49917</v>
      </c>
    </row>
    <row r="370" spans="1:12" ht="16.2" customHeight="1" thickBot="1" x14ac:dyDescent="0.35">
      <c r="A370" s="30">
        <v>25</v>
      </c>
      <c r="B370" s="31">
        <v>0.4236111111111111</v>
      </c>
      <c r="C370" s="32" t="s">
        <v>50</v>
      </c>
      <c r="D370" s="32">
        <v>117</v>
      </c>
      <c r="E370" s="32" t="s">
        <v>23</v>
      </c>
      <c r="F370" s="33">
        <v>1</v>
      </c>
      <c r="K370" s="34">
        <f>((Table1022[[#This Row],[SPOT PTS]]/2)*15)-65</f>
        <v>812.5</v>
      </c>
      <c r="L370" s="34">
        <f t="shared" si="9"/>
        <v>50729.5</v>
      </c>
    </row>
    <row r="371" spans="1:12" ht="16.2" customHeight="1" x14ac:dyDescent="0.3">
      <c r="A371" s="10">
        <v>27</v>
      </c>
      <c r="B371" s="11">
        <v>0.40625</v>
      </c>
      <c r="C371" s="12" t="s">
        <v>48</v>
      </c>
      <c r="D371" s="12">
        <v>-35</v>
      </c>
      <c r="E371" s="12" t="s">
        <v>20</v>
      </c>
      <c r="F371" s="13">
        <v>1</v>
      </c>
      <c r="K371" s="34">
        <f>((Table1022[[#This Row],[SPOT PTS]]/2)*15)-65</f>
        <v>-327.5</v>
      </c>
      <c r="L371" s="34">
        <f t="shared" si="9"/>
        <v>50402</v>
      </c>
    </row>
    <row r="372" spans="1:12" ht="16.2" customHeight="1" thickBot="1" x14ac:dyDescent="0.35">
      <c r="A372" s="30">
        <v>27</v>
      </c>
      <c r="B372" s="31">
        <v>0.4375</v>
      </c>
      <c r="C372" s="32" t="s">
        <v>50</v>
      </c>
      <c r="D372" s="32">
        <v>97</v>
      </c>
      <c r="E372" s="32" t="s">
        <v>20</v>
      </c>
      <c r="F372" s="33">
        <v>1</v>
      </c>
      <c r="K372" s="34">
        <f>((Table1022[[#This Row],[SPOT PTS]]/2)*15)-65</f>
        <v>662.5</v>
      </c>
      <c r="L372" s="34">
        <f t="shared" si="9"/>
        <v>51064.5</v>
      </c>
    </row>
    <row r="373" spans="1:12" ht="16.2" customHeight="1" thickBot="1" x14ac:dyDescent="0.35">
      <c r="A373" s="16">
        <v>28</v>
      </c>
      <c r="B373" s="17">
        <v>0.39583333333333331</v>
      </c>
      <c r="C373" s="18" t="s">
        <v>50</v>
      </c>
      <c r="D373" s="18">
        <v>199</v>
      </c>
      <c r="E373" s="18" t="s">
        <v>21</v>
      </c>
      <c r="F373" s="19">
        <v>1</v>
      </c>
      <c r="K373" s="34">
        <f>((Table1022[[#This Row],[SPOT PTS]]/2)*15)-65</f>
        <v>1427.5</v>
      </c>
      <c r="L373" s="34">
        <f t="shared" si="9"/>
        <v>52492</v>
      </c>
    </row>
    <row r="374" spans="1:12" ht="16.2" customHeight="1" x14ac:dyDescent="0.3">
      <c r="A374" s="10">
        <v>31</v>
      </c>
      <c r="B374" s="11">
        <v>0.3888888888888889</v>
      </c>
      <c r="C374" s="12" t="s">
        <v>48</v>
      </c>
      <c r="D374" s="12">
        <v>-80</v>
      </c>
      <c r="E374" s="12" t="s">
        <v>22</v>
      </c>
      <c r="F374" s="13">
        <v>1</v>
      </c>
      <c r="K374" s="34">
        <f>((Table1022[[#This Row],[SPOT PTS]]/2)*15)-65</f>
        <v>-665</v>
      </c>
      <c r="L374" s="34">
        <f t="shared" si="9"/>
        <v>51827</v>
      </c>
    </row>
    <row r="375" spans="1:12" ht="16.2" customHeight="1" thickBot="1" x14ac:dyDescent="0.35">
      <c r="A375" s="30">
        <v>31</v>
      </c>
      <c r="B375" s="31">
        <v>0.40277777777777773</v>
      </c>
      <c r="C375" s="32" t="s">
        <v>50</v>
      </c>
      <c r="D375" s="32">
        <v>122</v>
      </c>
      <c r="E375" s="32" t="s">
        <v>22</v>
      </c>
      <c r="F375" s="33">
        <v>1</v>
      </c>
      <c r="K375" s="34">
        <f>((Table1022[[#This Row],[SPOT PTS]]/2)*15)-65</f>
        <v>850</v>
      </c>
      <c r="L375" s="34">
        <f t="shared" si="9"/>
        <v>52677</v>
      </c>
    </row>
    <row r="376" spans="1:12" ht="16.2" customHeight="1" x14ac:dyDescent="0.3">
      <c r="A376" s="56" t="s">
        <v>59</v>
      </c>
      <c r="B376" s="56"/>
      <c r="C376" s="56"/>
      <c r="D376" s="56"/>
      <c r="E376" s="56"/>
      <c r="F376" s="56"/>
    </row>
    <row r="377" spans="1:12" ht="16.2" customHeight="1" thickBot="1" x14ac:dyDescent="0.35">
      <c r="A377" s="25" t="s">
        <v>0</v>
      </c>
      <c r="B377" s="20" t="s">
        <v>1</v>
      </c>
      <c r="C377" s="20" t="s">
        <v>3</v>
      </c>
      <c r="D377" s="20" t="s">
        <v>2</v>
      </c>
      <c r="E377" s="20" t="s">
        <v>4</v>
      </c>
      <c r="F377" s="26" t="s">
        <v>47</v>
      </c>
      <c r="H377" s="3" t="s">
        <v>5</v>
      </c>
      <c r="I377" s="3">
        <f>COUNT(Table1123[RANGE])</f>
        <v>29</v>
      </c>
      <c r="L377" s="34">
        <v>52677</v>
      </c>
    </row>
    <row r="378" spans="1:12" ht="16.2" customHeight="1" x14ac:dyDescent="0.3">
      <c r="A378" s="10">
        <v>1</v>
      </c>
      <c r="B378" s="11">
        <v>0.3888888888888889</v>
      </c>
      <c r="C378" s="12" t="s">
        <v>48</v>
      </c>
      <c r="D378" s="12">
        <v>-80</v>
      </c>
      <c r="E378" s="12" t="s">
        <v>23</v>
      </c>
      <c r="F378" s="13">
        <v>1</v>
      </c>
      <c r="H378" s="3" t="s">
        <v>6</v>
      </c>
      <c r="I378" s="5">
        <f>((COUNTIF(Table1123[OUTCOME],"Target"))/I377)</f>
        <v>0.37931034482758619</v>
      </c>
      <c r="K378" s="34">
        <f>((Table1123[[#This Row],[SPOT PTS]]/2)*15)-65</f>
        <v>-665</v>
      </c>
      <c r="L378" s="34">
        <f>K378+L377</f>
        <v>52012</v>
      </c>
    </row>
    <row r="379" spans="1:12" ht="16.2" customHeight="1" thickBot="1" x14ac:dyDescent="0.35">
      <c r="A379" s="30">
        <v>1</v>
      </c>
      <c r="B379" s="31">
        <v>0.41319444444444442</v>
      </c>
      <c r="C379" s="32" t="s">
        <v>50</v>
      </c>
      <c r="D379" s="32">
        <v>125</v>
      </c>
      <c r="E379" s="32" t="s">
        <v>23</v>
      </c>
      <c r="F379" s="33">
        <v>1</v>
      </c>
      <c r="H379" s="3" t="s">
        <v>7</v>
      </c>
      <c r="I379" s="3">
        <f>SUM(Table1123[SPOT PTS])</f>
        <v>696</v>
      </c>
      <c r="K379" s="34">
        <f>((Table1123[[#This Row],[SPOT PTS]]/2)*15)-65</f>
        <v>872.5</v>
      </c>
      <c r="L379" s="34">
        <f t="shared" ref="L379:L406" si="10">K379+L378</f>
        <v>52884.5</v>
      </c>
    </row>
    <row r="380" spans="1:12" ht="16.2" customHeight="1" thickBot="1" x14ac:dyDescent="0.35">
      <c r="A380" s="16">
        <v>2</v>
      </c>
      <c r="B380" s="17">
        <v>0.40972222222222227</v>
      </c>
      <c r="C380" s="18" t="s">
        <v>48</v>
      </c>
      <c r="D380" s="18">
        <v>-47</v>
      </c>
      <c r="E380" s="18" t="s">
        <v>24</v>
      </c>
      <c r="F380" s="19">
        <v>1</v>
      </c>
      <c r="H380" s="3" t="s">
        <v>8</v>
      </c>
      <c r="I380" s="3">
        <f>65*I377</f>
        <v>1885</v>
      </c>
      <c r="K380" s="34">
        <f>((Table1123[[#This Row],[SPOT PTS]]/2)*15)-65</f>
        <v>-417.5</v>
      </c>
      <c r="L380" s="34">
        <f t="shared" si="10"/>
        <v>52467</v>
      </c>
    </row>
    <row r="381" spans="1:12" ht="16.2" customHeight="1" x14ac:dyDescent="0.3">
      <c r="A381" s="10">
        <v>3</v>
      </c>
      <c r="B381" s="11">
        <v>0.40277777777777773</v>
      </c>
      <c r="C381" s="12" t="s">
        <v>48</v>
      </c>
      <c r="D381" s="12">
        <v>-80</v>
      </c>
      <c r="E381" s="12" t="s">
        <v>20</v>
      </c>
      <c r="F381" s="13">
        <v>1</v>
      </c>
      <c r="H381" s="3" t="s">
        <v>9</v>
      </c>
      <c r="I381" s="3">
        <f>SUMIF(Table1123[OUTCOME],"Stoploss",Table1123[SPOT PTS])</f>
        <v>-797</v>
      </c>
      <c r="K381" s="34">
        <f>((Table1123[[#This Row],[SPOT PTS]]/2)*15)-65</f>
        <v>-665</v>
      </c>
      <c r="L381" s="34">
        <f t="shared" si="10"/>
        <v>51802</v>
      </c>
    </row>
    <row r="382" spans="1:12" ht="16.2" customHeight="1" x14ac:dyDescent="0.3">
      <c r="A382" s="27">
        <v>3</v>
      </c>
      <c r="B382" s="28">
        <v>0.43055555555555558</v>
      </c>
      <c r="C382" s="1" t="s">
        <v>48</v>
      </c>
      <c r="D382" s="1">
        <v>-44</v>
      </c>
      <c r="E382" s="1" t="s">
        <v>20</v>
      </c>
      <c r="F382" s="29">
        <v>1</v>
      </c>
      <c r="H382" s="3" t="s">
        <v>10</v>
      </c>
      <c r="I382" s="3">
        <f>SUMIF(Table1123[OUTCOME],"Target",Table1123[SPOT PTS])</f>
        <v>1493</v>
      </c>
      <c r="K382" s="34">
        <f>((Table1123[[#This Row],[SPOT PTS]]/2)*15)-65</f>
        <v>-395</v>
      </c>
      <c r="L382" s="34">
        <f t="shared" si="10"/>
        <v>51407</v>
      </c>
    </row>
    <row r="383" spans="1:12" ht="16.2" customHeight="1" thickBot="1" x14ac:dyDescent="0.35">
      <c r="A383" s="30">
        <v>3</v>
      </c>
      <c r="B383" s="31">
        <v>7.2916666666666671E-2</v>
      </c>
      <c r="C383" s="32" t="s">
        <v>50</v>
      </c>
      <c r="D383" s="32">
        <v>120</v>
      </c>
      <c r="E383" s="32" t="s">
        <v>20</v>
      </c>
      <c r="F383" s="33">
        <v>2</v>
      </c>
      <c r="H383" s="3" t="s">
        <v>11</v>
      </c>
      <c r="I383" s="5">
        <f>I384/56012</f>
        <v>5.9540812682996498E-2</v>
      </c>
      <c r="K383" s="34">
        <f>((Table1123[[#This Row],[SPOT PTS]]/2)*15)-65</f>
        <v>835</v>
      </c>
      <c r="L383" s="34">
        <f t="shared" si="10"/>
        <v>52242</v>
      </c>
    </row>
    <row r="384" spans="1:12" ht="16.2" customHeight="1" thickBot="1" x14ac:dyDescent="0.35">
      <c r="A384" s="16">
        <v>4</v>
      </c>
      <c r="B384" s="17">
        <v>0.39930555555555558</v>
      </c>
      <c r="C384" s="18" t="s">
        <v>50</v>
      </c>
      <c r="D384" s="18">
        <v>248</v>
      </c>
      <c r="E384" s="18" t="s">
        <v>21</v>
      </c>
      <c r="F384" s="19">
        <v>1</v>
      </c>
      <c r="H384" s="3" t="s">
        <v>12</v>
      </c>
      <c r="I384" s="49">
        <f>(((I379/2)*15)-I380)</f>
        <v>3335</v>
      </c>
      <c r="K384" s="34">
        <f>((Table1123[[#This Row],[SPOT PTS]]/2)*15)-65</f>
        <v>1795</v>
      </c>
      <c r="L384" s="34">
        <f t="shared" si="10"/>
        <v>54037</v>
      </c>
    </row>
    <row r="385" spans="1:12" ht="16.2" customHeight="1" thickBot="1" x14ac:dyDescent="0.35">
      <c r="A385" s="16">
        <v>7</v>
      </c>
      <c r="B385" s="17">
        <v>0.39930555555555558</v>
      </c>
      <c r="C385" s="18" t="s">
        <v>50</v>
      </c>
      <c r="D385" s="18">
        <v>198</v>
      </c>
      <c r="E385" s="18" t="s">
        <v>22</v>
      </c>
      <c r="F385" s="19">
        <v>1</v>
      </c>
      <c r="K385" s="34">
        <f>((Table1123[[#This Row],[SPOT PTS]]/2)*15)-65</f>
        <v>1420</v>
      </c>
      <c r="L385" s="34">
        <f t="shared" si="10"/>
        <v>55457</v>
      </c>
    </row>
    <row r="386" spans="1:12" ht="16.2" customHeight="1" thickBot="1" x14ac:dyDescent="0.35">
      <c r="A386" s="16">
        <v>9</v>
      </c>
      <c r="B386" s="17">
        <v>0.4513888888888889</v>
      </c>
      <c r="C386" s="18" t="s">
        <v>50</v>
      </c>
      <c r="D386" s="18">
        <v>103</v>
      </c>
      <c r="E386" s="18" t="s">
        <v>24</v>
      </c>
      <c r="F386" s="19">
        <v>1</v>
      </c>
      <c r="K386" s="34">
        <f>((Table1123[[#This Row],[SPOT PTS]]/2)*15)-65</f>
        <v>707.5</v>
      </c>
      <c r="L386" s="34">
        <f t="shared" si="10"/>
        <v>56164.5</v>
      </c>
    </row>
    <row r="387" spans="1:12" ht="16.2" customHeight="1" x14ac:dyDescent="0.3">
      <c r="A387" s="10">
        <v>11</v>
      </c>
      <c r="B387" s="11">
        <v>0.40277777777777773</v>
      </c>
      <c r="C387" s="12" t="s">
        <v>48</v>
      </c>
      <c r="D387" s="12">
        <v>-62</v>
      </c>
      <c r="E387" s="12" t="s">
        <v>21</v>
      </c>
      <c r="F387" s="13">
        <v>1</v>
      </c>
      <c r="K387" s="34">
        <f>((Table1123[[#This Row],[SPOT PTS]]/2)*15)-65</f>
        <v>-530</v>
      </c>
      <c r="L387" s="34">
        <f t="shared" si="10"/>
        <v>55634.5</v>
      </c>
    </row>
    <row r="388" spans="1:12" ht="16.2" customHeight="1" x14ac:dyDescent="0.3">
      <c r="A388" s="27">
        <v>11</v>
      </c>
      <c r="B388" s="28">
        <v>0.41319444444444442</v>
      </c>
      <c r="C388" s="1" t="s">
        <v>48</v>
      </c>
      <c r="D388" s="1">
        <v>-54</v>
      </c>
      <c r="E388" s="1" t="s">
        <v>21</v>
      </c>
      <c r="F388" s="29">
        <v>1</v>
      </c>
      <c r="K388" s="34">
        <f>((Table1123[[#This Row],[SPOT PTS]]/2)*15)-65</f>
        <v>-470</v>
      </c>
      <c r="L388" s="34">
        <f t="shared" si="10"/>
        <v>55164.5</v>
      </c>
    </row>
    <row r="389" spans="1:12" ht="16.2" customHeight="1" thickBot="1" x14ac:dyDescent="0.35">
      <c r="A389" s="30">
        <v>11</v>
      </c>
      <c r="B389" s="31">
        <v>0.4201388888888889</v>
      </c>
      <c r="C389" s="32" t="s">
        <v>48</v>
      </c>
      <c r="D389" s="32">
        <v>-42</v>
      </c>
      <c r="E389" s="32" t="s">
        <v>21</v>
      </c>
      <c r="F389" s="33">
        <v>1</v>
      </c>
      <c r="K389" s="34">
        <f>((Table1123[[#This Row],[SPOT PTS]]/2)*15)-65</f>
        <v>-380</v>
      </c>
      <c r="L389" s="34">
        <f t="shared" si="10"/>
        <v>54784.5</v>
      </c>
    </row>
    <row r="390" spans="1:12" ht="16.2" customHeight="1" thickBot="1" x14ac:dyDescent="0.35">
      <c r="A390" s="10">
        <v>14</v>
      </c>
      <c r="B390" s="11">
        <v>9.7222222222222224E-2</v>
      </c>
      <c r="C390" s="12" t="s">
        <v>50</v>
      </c>
      <c r="D390" s="12">
        <v>82</v>
      </c>
      <c r="E390" s="12" t="s">
        <v>22</v>
      </c>
      <c r="F390" s="13">
        <v>2</v>
      </c>
      <c r="K390" s="34">
        <f>((Table1123[[#This Row],[SPOT PTS]]/2)*15)-65</f>
        <v>550</v>
      </c>
      <c r="L390" s="34">
        <f t="shared" si="10"/>
        <v>55334.5</v>
      </c>
    </row>
    <row r="391" spans="1:12" ht="16.2" customHeight="1" thickBot="1" x14ac:dyDescent="0.35">
      <c r="A391" s="16">
        <v>15</v>
      </c>
      <c r="B391" s="17">
        <v>0.3888888888888889</v>
      </c>
      <c r="C391" s="18" t="s">
        <v>48</v>
      </c>
      <c r="D391" s="18">
        <v>-80</v>
      </c>
      <c r="E391" s="18" t="s">
        <v>23</v>
      </c>
      <c r="F391" s="19">
        <v>1</v>
      </c>
      <c r="K391" s="34">
        <f>((Table1123[[#This Row],[SPOT PTS]]/2)*15)-65</f>
        <v>-665</v>
      </c>
      <c r="L391" s="34">
        <f t="shared" si="10"/>
        <v>54669.5</v>
      </c>
    </row>
    <row r="392" spans="1:12" ht="16.2" customHeight="1" x14ac:dyDescent="0.3">
      <c r="A392" s="10">
        <v>16</v>
      </c>
      <c r="B392" s="11">
        <v>0.43055555555555558</v>
      </c>
      <c r="C392" s="12" t="s">
        <v>48</v>
      </c>
      <c r="D392" s="12">
        <v>-35</v>
      </c>
      <c r="E392" s="12" t="s">
        <v>24</v>
      </c>
      <c r="F392" s="13">
        <v>1</v>
      </c>
      <c r="K392" s="34">
        <f>((Table1123[[#This Row],[SPOT PTS]]/2)*15)-65</f>
        <v>-327.5</v>
      </c>
      <c r="L392" s="34">
        <f t="shared" si="10"/>
        <v>54342</v>
      </c>
    </row>
    <row r="393" spans="1:12" ht="16.2" customHeight="1" thickBot="1" x14ac:dyDescent="0.35">
      <c r="A393" s="30">
        <v>16</v>
      </c>
      <c r="B393" s="31">
        <v>6.5972222222222224E-2</v>
      </c>
      <c r="C393" s="32" t="s">
        <v>50</v>
      </c>
      <c r="D393" s="32">
        <v>111</v>
      </c>
      <c r="E393" s="32" t="s">
        <v>24</v>
      </c>
      <c r="F393" s="33">
        <v>2</v>
      </c>
      <c r="K393" s="34">
        <f>((Table1123[[#This Row],[SPOT PTS]]/2)*15)-65</f>
        <v>767.5</v>
      </c>
      <c r="L393" s="34">
        <f t="shared" si="10"/>
        <v>55109.5</v>
      </c>
    </row>
    <row r="394" spans="1:12" ht="16.2" customHeight="1" thickBot="1" x14ac:dyDescent="0.35">
      <c r="A394" s="16">
        <v>18</v>
      </c>
      <c r="B394" s="17">
        <v>0.3888888888888889</v>
      </c>
      <c r="C394" s="18" t="s">
        <v>48</v>
      </c>
      <c r="D394" s="18">
        <v>-80</v>
      </c>
      <c r="E394" s="18" t="s">
        <v>21</v>
      </c>
      <c r="F394" s="19">
        <v>1</v>
      </c>
      <c r="K394" s="34">
        <f>((Table1123[[#This Row],[SPOT PTS]]/2)*15)-65</f>
        <v>-665</v>
      </c>
      <c r="L394" s="34">
        <f t="shared" si="10"/>
        <v>54444.5</v>
      </c>
    </row>
    <row r="395" spans="1:12" ht="16.2" customHeight="1" thickBot="1" x14ac:dyDescent="0.35">
      <c r="A395" s="16">
        <v>21</v>
      </c>
      <c r="B395" s="17">
        <v>0.43055555555555558</v>
      </c>
      <c r="C395" s="18" t="s">
        <v>48</v>
      </c>
      <c r="D395" s="18">
        <v>-25</v>
      </c>
      <c r="E395" s="18" t="s">
        <v>22</v>
      </c>
      <c r="F395" s="19">
        <v>1</v>
      </c>
      <c r="K395" s="34">
        <f>((Table1123[[#This Row],[SPOT PTS]]/2)*15)-65</f>
        <v>-252.5</v>
      </c>
      <c r="L395" s="34">
        <f t="shared" si="10"/>
        <v>54192</v>
      </c>
    </row>
    <row r="396" spans="1:12" ht="16.2" customHeight="1" x14ac:dyDescent="0.3">
      <c r="A396" s="10">
        <v>23</v>
      </c>
      <c r="B396" s="11">
        <v>0.40277777777777773</v>
      </c>
      <c r="C396" s="12" t="s">
        <v>48</v>
      </c>
      <c r="D396" s="12">
        <v>-29</v>
      </c>
      <c r="E396" s="12" t="s">
        <v>24</v>
      </c>
      <c r="F396" s="13">
        <v>1</v>
      </c>
      <c r="K396" s="34">
        <f>((Table1123[[#This Row],[SPOT PTS]]/2)*15)-65</f>
        <v>-282.5</v>
      </c>
      <c r="L396" s="34">
        <f t="shared" si="10"/>
        <v>53909.5</v>
      </c>
    </row>
    <row r="397" spans="1:12" ht="16.2" customHeight="1" x14ac:dyDescent="0.3">
      <c r="A397" s="27">
        <v>23</v>
      </c>
      <c r="B397" s="28">
        <v>0.45833333333333331</v>
      </c>
      <c r="C397" s="1" t="s">
        <v>48</v>
      </c>
      <c r="D397" s="1">
        <v>-18</v>
      </c>
      <c r="E397" s="1" t="s">
        <v>24</v>
      </c>
      <c r="F397" s="29">
        <v>1</v>
      </c>
      <c r="K397" s="34">
        <f>((Table1123[[#This Row],[SPOT PTS]]/2)*15)-65</f>
        <v>-200</v>
      </c>
      <c r="L397" s="34">
        <f t="shared" si="10"/>
        <v>53709.5</v>
      </c>
    </row>
    <row r="398" spans="1:12" ht="16.2" customHeight="1" thickBot="1" x14ac:dyDescent="0.35">
      <c r="A398" s="30">
        <v>23</v>
      </c>
      <c r="B398" s="31">
        <v>5.9027777777777783E-2</v>
      </c>
      <c r="C398" s="32" t="s">
        <v>48</v>
      </c>
      <c r="D398" s="32">
        <v>-16</v>
      </c>
      <c r="E398" s="32" t="s">
        <v>24</v>
      </c>
      <c r="F398" s="33">
        <v>2</v>
      </c>
      <c r="K398" s="34">
        <f>((Table1123[[#This Row],[SPOT PTS]]/2)*15)-65</f>
        <v>-185</v>
      </c>
      <c r="L398" s="34">
        <f t="shared" si="10"/>
        <v>53524.5</v>
      </c>
    </row>
    <row r="399" spans="1:12" ht="16.2" customHeight="1" x14ac:dyDescent="0.3">
      <c r="A399" s="10">
        <v>24</v>
      </c>
      <c r="B399" s="11">
        <v>0.40972222222222227</v>
      </c>
      <c r="C399" s="12" t="s">
        <v>48</v>
      </c>
      <c r="D399" s="12">
        <v>-37</v>
      </c>
      <c r="E399" s="12" t="s">
        <v>20</v>
      </c>
      <c r="F399" s="13">
        <v>1</v>
      </c>
      <c r="K399" s="34">
        <f>((Table1123[[#This Row],[SPOT PTS]]/2)*15)-65</f>
        <v>-342.5</v>
      </c>
      <c r="L399" s="34">
        <f t="shared" si="10"/>
        <v>53182</v>
      </c>
    </row>
    <row r="400" spans="1:12" ht="16.2" customHeight="1" thickBot="1" x14ac:dyDescent="0.35">
      <c r="A400" s="30">
        <v>24</v>
      </c>
      <c r="B400" s="31">
        <v>4.1666666666666664E-2</v>
      </c>
      <c r="C400" s="32" t="s">
        <v>50</v>
      </c>
      <c r="D400" s="32">
        <v>67</v>
      </c>
      <c r="E400" s="32" t="s">
        <v>20</v>
      </c>
      <c r="F400" s="33">
        <v>2</v>
      </c>
      <c r="K400" s="34">
        <f>((Table1123[[#This Row],[SPOT PTS]]/2)*15)-65</f>
        <v>437.5</v>
      </c>
      <c r="L400" s="34">
        <f t="shared" si="10"/>
        <v>53619.5</v>
      </c>
    </row>
    <row r="401" spans="1:12" ht="16.2" customHeight="1" thickBot="1" x14ac:dyDescent="0.35">
      <c r="A401" s="16">
        <v>25</v>
      </c>
      <c r="B401" s="17">
        <v>0.39930555555555558</v>
      </c>
      <c r="C401" s="18" t="s">
        <v>50</v>
      </c>
      <c r="D401" s="18">
        <v>242</v>
      </c>
      <c r="E401" s="18" t="s">
        <v>21</v>
      </c>
      <c r="F401" s="19">
        <v>1</v>
      </c>
      <c r="K401" s="34">
        <f>((Table1123[[#This Row],[SPOT PTS]]/2)*15)-65</f>
        <v>1750</v>
      </c>
      <c r="L401" s="34">
        <f t="shared" si="10"/>
        <v>55369.5</v>
      </c>
    </row>
    <row r="402" spans="1:12" ht="16.2" customHeight="1" x14ac:dyDescent="0.3">
      <c r="A402" s="10">
        <v>28</v>
      </c>
      <c r="B402" s="11">
        <v>0.4375</v>
      </c>
      <c r="C402" s="12" t="s">
        <v>48</v>
      </c>
      <c r="D402" s="12">
        <v>-28</v>
      </c>
      <c r="E402" s="12" t="s">
        <v>22</v>
      </c>
      <c r="F402" s="13">
        <v>1</v>
      </c>
      <c r="K402" s="34">
        <f>((Table1123[[#This Row],[SPOT PTS]]/2)*15)-65</f>
        <v>-275</v>
      </c>
      <c r="L402" s="34">
        <f t="shared" si="10"/>
        <v>55094.5</v>
      </c>
    </row>
    <row r="403" spans="1:12" ht="16.2" customHeight="1" thickBot="1" x14ac:dyDescent="0.35">
      <c r="A403" s="30">
        <v>28</v>
      </c>
      <c r="B403" s="31">
        <v>4.1666666666666664E-2</v>
      </c>
      <c r="C403" s="32" t="s">
        <v>48</v>
      </c>
      <c r="D403" s="32">
        <v>-17</v>
      </c>
      <c r="E403" s="32" t="s">
        <v>22</v>
      </c>
      <c r="F403" s="33">
        <v>2</v>
      </c>
      <c r="K403" s="34">
        <f>((Table1123[[#This Row],[SPOT PTS]]/2)*15)-65</f>
        <v>-192.5</v>
      </c>
      <c r="L403" s="34">
        <f t="shared" si="10"/>
        <v>54902</v>
      </c>
    </row>
    <row r="404" spans="1:12" ht="16.2" customHeight="1" x14ac:dyDescent="0.3">
      <c r="A404" s="10">
        <v>29</v>
      </c>
      <c r="B404" s="11">
        <v>0.40625</v>
      </c>
      <c r="C404" s="12" t="s">
        <v>48</v>
      </c>
      <c r="D404" s="12">
        <v>-23</v>
      </c>
      <c r="E404" s="12" t="s">
        <v>23</v>
      </c>
      <c r="F404" s="13">
        <v>1</v>
      </c>
      <c r="K404" s="34">
        <f>((Table1123[[#This Row],[SPOT PTS]]/2)*15)-65</f>
        <v>-237.5</v>
      </c>
      <c r="L404" s="34">
        <f t="shared" si="10"/>
        <v>54664.5</v>
      </c>
    </row>
    <row r="405" spans="1:12" ht="16.2" customHeight="1" thickBot="1" x14ac:dyDescent="0.35">
      <c r="A405" s="30">
        <v>29</v>
      </c>
      <c r="B405" s="31">
        <v>0.46875</v>
      </c>
      <c r="C405" s="32" t="s">
        <v>50</v>
      </c>
      <c r="D405" s="32">
        <v>83</v>
      </c>
      <c r="E405" s="32" t="s">
        <v>23</v>
      </c>
      <c r="F405" s="33">
        <v>1</v>
      </c>
      <c r="K405" s="34">
        <f>((Table1123[[#This Row],[SPOT PTS]]/2)*15)-65</f>
        <v>557.5</v>
      </c>
      <c r="L405" s="34">
        <f t="shared" si="10"/>
        <v>55222</v>
      </c>
    </row>
    <row r="406" spans="1:12" ht="16.2" customHeight="1" thickBot="1" x14ac:dyDescent="0.35">
      <c r="A406" s="16">
        <v>30</v>
      </c>
      <c r="B406" s="17">
        <v>0.3923611111111111</v>
      </c>
      <c r="C406" s="18" t="s">
        <v>50</v>
      </c>
      <c r="D406" s="18">
        <v>114</v>
      </c>
      <c r="E406" s="18" t="s">
        <v>24</v>
      </c>
      <c r="F406" s="19">
        <v>1</v>
      </c>
      <c r="K406" s="34">
        <f>((Table1123[[#This Row],[SPOT PTS]]/2)*15)-65</f>
        <v>790</v>
      </c>
      <c r="L406" s="34">
        <f t="shared" si="10"/>
        <v>56012</v>
      </c>
    </row>
    <row r="407" spans="1:12" ht="16.2" customHeight="1" x14ac:dyDescent="0.3">
      <c r="A407" s="56" t="s">
        <v>60</v>
      </c>
      <c r="B407" s="56"/>
      <c r="C407" s="56"/>
      <c r="D407" s="56"/>
      <c r="E407" s="56"/>
      <c r="F407" s="56"/>
    </row>
    <row r="408" spans="1:12" ht="16.2" customHeight="1" thickBot="1" x14ac:dyDescent="0.35">
      <c r="A408" s="20" t="s">
        <v>0</v>
      </c>
      <c r="B408" s="20" t="s">
        <v>1</v>
      </c>
      <c r="C408" s="20" t="s">
        <v>3</v>
      </c>
      <c r="D408" s="20" t="s">
        <v>2</v>
      </c>
      <c r="E408" s="20" t="s">
        <v>4</v>
      </c>
      <c r="F408" s="20" t="s">
        <v>47</v>
      </c>
      <c r="H408" s="3" t="s">
        <v>5</v>
      </c>
      <c r="I408" s="3">
        <f>COUNT(Table1224[RANGE])</f>
        <v>28</v>
      </c>
      <c r="L408" s="34">
        <v>56012</v>
      </c>
    </row>
    <row r="409" spans="1:12" ht="16.2" customHeight="1" thickBot="1" x14ac:dyDescent="0.35">
      <c r="A409" s="18">
        <v>1</v>
      </c>
      <c r="B409" s="17">
        <v>0.3923611111111111</v>
      </c>
      <c r="C409" s="18" t="s">
        <v>50</v>
      </c>
      <c r="D409" s="18">
        <v>187</v>
      </c>
      <c r="E409" s="18" t="s">
        <v>20</v>
      </c>
      <c r="F409" s="18">
        <v>1</v>
      </c>
      <c r="H409" s="3" t="s">
        <v>6</v>
      </c>
      <c r="I409" s="5">
        <f>((COUNTIF(Table1224[OUTCOME],"Target"))/I408)</f>
        <v>0.35714285714285715</v>
      </c>
      <c r="K409" s="34">
        <f>((Table1224[[#This Row],[SPOT PTS]]/2)*15)-65</f>
        <v>1337.5</v>
      </c>
      <c r="L409" s="34">
        <f>K409+L408</f>
        <v>57349.5</v>
      </c>
    </row>
    <row r="410" spans="1:12" ht="16.2" customHeight="1" thickBot="1" x14ac:dyDescent="0.35">
      <c r="A410" s="18">
        <v>2</v>
      </c>
      <c r="B410" s="17">
        <v>0.53472222222222221</v>
      </c>
      <c r="C410" s="18" t="s">
        <v>48</v>
      </c>
      <c r="D410" s="18">
        <v>-13</v>
      </c>
      <c r="E410" s="18" t="s">
        <v>21</v>
      </c>
      <c r="F410" s="18">
        <v>2</v>
      </c>
      <c r="H410" s="3" t="s">
        <v>7</v>
      </c>
      <c r="I410" s="3">
        <f>SUM(Table1224[SPOT PTS])</f>
        <v>1061</v>
      </c>
      <c r="K410" s="34">
        <f>((Table1224[[#This Row],[SPOT PTS]]/2)*15)-65</f>
        <v>-162.5</v>
      </c>
      <c r="L410" s="34">
        <f t="shared" ref="L410:L436" si="11">K410+L409</f>
        <v>57187</v>
      </c>
    </row>
    <row r="411" spans="1:12" ht="16.2" customHeight="1" thickBot="1" x14ac:dyDescent="0.35">
      <c r="A411" s="18">
        <v>5</v>
      </c>
      <c r="B411" s="17">
        <v>0.3923611111111111</v>
      </c>
      <c r="C411" s="18" t="s">
        <v>50</v>
      </c>
      <c r="D411" s="18">
        <v>145</v>
      </c>
      <c r="E411" s="18" t="s">
        <v>22</v>
      </c>
      <c r="F411" s="18">
        <v>1</v>
      </c>
      <c r="H411" s="3" t="s">
        <v>8</v>
      </c>
      <c r="I411" s="3">
        <f>65*I408</f>
        <v>1820</v>
      </c>
      <c r="K411" s="34">
        <f>((Table1224[[#This Row],[SPOT PTS]]/2)*15)-65</f>
        <v>1022.5</v>
      </c>
      <c r="L411" s="34">
        <f t="shared" si="11"/>
        <v>58209.5</v>
      </c>
    </row>
    <row r="412" spans="1:12" ht="16.2" customHeight="1" x14ac:dyDescent="0.3">
      <c r="A412" s="12">
        <v>7</v>
      </c>
      <c r="B412" s="11">
        <v>0.3923611111111111</v>
      </c>
      <c r="C412" s="12" t="s">
        <v>48</v>
      </c>
      <c r="D412" s="12">
        <v>-30</v>
      </c>
      <c r="E412" s="12" t="s">
        <v>24</v>
      </c>
      <c r="F412" s="12">
        <v>1</v>
      </c>
      <c r="H412" s="3" t="s">
        <v>9</v>
      </c>
      <c r="I412" s="3">
        <f>SUMIF(Table1224[OUTCOME],"Stoploss",Table1224[SPOT PTS])</f>
        <v>-658</v>
      </c>
      <c r="K412" s="34">
        <f>((Table1224[[#This Row],[SPOT PTS]]/2)*15)-65</f>
        <v>-290</v>
      </c>
      <c r="L412" s="34">
        <f t="shared" si="11"/>
        <v>57919.5</v>
      </c>
    </row>
    <row r="413" spans="1:12" ht="16.2" customHeight="1" thickBot="1" x14ac:dyDescent="0.35">
      <c r="A413" s="32">
        <v>7</v>
      </c>
      <c r="B413" s="31">
        <v>0.41319444444444442</v>
      </c>
      <c r="C413" s="32" t="s">
        <v>48</v>
      </c>
      <c r="D413" s="32">
        <v>-27</v>
      </c>
      <c r="E413" s="32" t="s">
        <v>24</v>
      </c>
      <c r="F413" s="32">
        <v>1</v>
      </c>
      <c r="H413" s="3" t="s">
        <v>10</v>
      </c>
      <c r="I413" s="3">
        <f>SUMIF(Table1224[OUTCOME],"Target",Table1224[SPOT PTS])</f>
        <v>1719</v>
      </c>
      <c r="K413" s="34">
        <f>((Table1224[[#This Row],[SPOT PTS]]/2)*15)-65</f>
        <v>-267.5</v>
      </c>
      <c r="L413" s="34">
        <f t="shared" si="11"/>
        <v>57652</v>
      </c>
    </row>
    <row r="414" spans="1:12" ht="16.2" customHeight="1" x14ac:dyDescent="0.3">
      <c r="A414" s="12">
        <v>8</v>
      </c>
      <c r="B414" s="11">
        <v>0.4201388888888889</v>
      </c>
      <c r="C414" s="12" t="s">
        <v>48</v>
      </c>
      <c r="D414" s="12">
        <v>-38</v>
      </c>
      <c r="E414" s="12" t="s">
        <v>20</v>
      </c>
      <c r="F414" s="12">
        <v>1</v>
      </c>
      <c r="H414" s="3" t="s">
        <v>11</v>
      </c>
      <c r="I414" s="5">
        <f>I415/62149</f>
        <v>9.8754605866546524E-2</v>
      </c>
      <c r="K414" s="34">
        <f>((Table1224[[#This Row],[SPOT PTS]]/2)*15)-65</f>
        <v>-350</v>
      </c>
      <c r="L414" s="34">
        <f t="shared" si="11"/>
        <v>57302</v>
      </c>
    </row>
    <row r="415" spans="1:12" ht="16.2" customHeight="1" thickBot="1" x14ac:dyDescent="0.35">
      <c r="A415" s="32">
        <v>8</v>
      </c>
      <c r="B415" s="31">
        <v>0.10069444444444443</v>
      </c>
      <c r="C415" s="32" t="s">
        <v>48</v>
      </c>
      <c r="D415" s="32">
        <v>-33</v>
      </c>
      <c r="E415" s="32" t="s">
        <v>20</v>
      </c>
      <c r="F415" s="32">
        <v>2</v>
      </c>
      <c r="H415" s="3" t="s">
        <v>12</v>
      </c>
      <c r="I415" s="49">
        <f>((I410/2)*15)-I411</f>
        <v>6137.5</v>
      </c>
      <c r="K415" s="34">
        <f>((Table1224[[#This Row],[SPOT PTS]]/2)*15)-65</f>
        <v>-312.5</v>
      </c>
      <c r="L415" s="34">
        <f t="shared" si="11"/>
        <v>56989.5</v>
      </c>
    </row>
    <row r="416" spans="1:12" ht="16.2" customHeight="1" x14ac:dyDescent="0.3">
      <c r="A416" s="12">
        <v>9</v>
      </c>
      <c r="B416" s="11">
        <v>0.39583333333333331</v>
      </c>
      <c r="C416" s="12" t="s">
        <v>48</v>
      </c>
      <c r="D416" s="12">
        <v>-69</v>
      </c>
      <c r="E416" s="12" t="s">
        <v>21</v>
      </c>
      <c r="F416" s="12">
        <v>1</v>
      </c>
      <c r="K416" s="34">
        <f>((Table1224[[#This Row],[SPOT PTS]]/2)*15)-65</f>
        <v>-582.5</v>
      </c>
      <c r="L416" s="34">
        <f t="shared" si="11"/>
        <v>56407</v>
      </c>
    </row>
    <row r="417" spans="1:12" ht="16.2" customHeight="1" thickBot="1" x14ac:dyDescent="0.35">
      <c r="A417" s="32">
        <v>9</v>
      </c>
      <c r="B417" s="31">
        <v>0.4236111111111111</v>
      </c>
      <c r="C417" s="32" t="s">
        <v>50</v>
      </c>
      <c r="D417" s="32">
        <v>166</v>
      </c>
      <c r="E417" s="32" t="s">
        <v>21</v>
      </c>
      <c r="F417" s="32">
        <v>1</v>
      </c>
      <c r="K417" s="34">
        <f>((Table1224[[#This Row],[SPOT PTS]]/2)*15)-65</f>
        <v>1180</v>
      </c>
      <c r="L417" s="34">
        <f t="shared" si="11"/>
        <v>57587</v>
      </c>
    </row>
    <row r="418" spans="1:12" ht="16.2" customHeight="1" thickBot="1" x14ac:dyDescent="0.35">
      <c r="A418" s="18">
        <v>12</v>
      </c>
      <c r="B418" s="17">
        <v>0.4236111111111111</v>
      </c>
      <c r="C418" s="18" t="s">
        <v>48</v>
      </c>
      <c r="D418" s="18">
        <v>-58</v>
      </c>
      <c r="E418" s="18" t="s">
        <v>22</v>
      </c>
      <c r="F418" s="18">
        <v>1</v>
      </c>
      <c r="K418" s="34">
        <f>((Table1224[[#This Row],[SPOT PTS]]/2)*15)-65</f>
        <v>-500</v>
      </c>
      <c r="L418" s="34">
        <f t="shared" si="11"/>
        <v>57087</v>
      </c>
    </row>
    <row r="419" spans="1:12" ht="16.2" customHeight="1" x14ac:dyDescent="0.3">
      <c r="A419" s="12">
        <v>13</v>
      </c>
      <c r="B419" s="11">
        <v>0.39930555555555558</v>
      </c>
      <c r="C419" s="12" t="s">
        <v>48</v>
      </c>
      <c r="D419" s="12">
        <v>-35</v>
      </c>
      <c r="E419" s="12" t="s">
        <v>23</v>
      </c>
      <c r="F419" s="12">
        <v>1</v>
      </c>
      <c r="K419" s="34">
        <f>((Table1224[[#This Row],[SPOT PTS]]/2)*15)-65</f>
        <v>-327.5</v>
      </c>
      <c r="L419" s="34">
        <f t="shared" si="11"/>
        <v>56759.5</v>
      </c>
    </row>
    <row r="420" spans="1:12" ht="16.2" customHeight="1" thickBot="1" x14ac:dyDescent="0.35">
      <c r="A420" s="32">
        <v>13</v>
      </c>
      <c r="B420" s="31">
        <v>0.4826388888888889</v>
      </c>
      <c r="C420" s="32" t="s">
        <v>48</v>
      </c>
      <c r="D420" s="32">
        <v>-22</v>
      </c>
      <c r="E420" s="32" t="s">
        <v>23</v>
      </c>
      <c r="F420" s="32">
        <v>1</v>
      </c>
      <c r="K420" s="34">
        <f>((Table1224[[#This Row],[SPOT PTS]]/2)*15)-65</f>
        <v>-230</v>
      </c>
      <c r="L420" s="34">
        <f t="shared" si="11"/>
        <v>56529.5</v>
      </c>
    </row>
    <row r="421" spans="1:12" ht="16.2" customHeight="1" thickBot="1" x14ac:dyDescent="0.35">
      <c r="A421" s="18">
        <v>14</v>
      </c>
      <c r="B421" s="17">
        <v>0.40277777777777773</v>
      </c>
      <c r="C421" s="18" t="s">
        <v>48</v>
      </c>
      <c r="D421" s="18">
        <v>-31</v>
      </c>
      <c r="E421" s="18" t="s">
        <v>24</v>
      </c>
      <c r="F421" s="18">
        <v>1</v>
      </c>
      <c r="K421" s="34">
        <f>((Table1224[[#This Row],[SPOT PTS]]/2)*15)-65</f>
        <v>-297.5</v>
      </c>
      <c r="L421" s="34">
        <f t="shared" si="11"/>
        <v>56232</v>
      </c>
    </row>
    <row r="422" spans="1:12" ht="16.2" customHeight="1" thickBot="1" x14ac:dyDescent="0.35">
      <c r="A422" s="18">
        <v>15</v>
      </c>
      <c r="B422" s="17">
        <v>0.41666666666666669</v>
      </c>
      <c r="C422" s="18" t="s">
        <v>50</v>
      </c>
      <c r="D422" s="18">
        <v>120</v>
      </c>
      <c r="E422" s="18" t="s">
        <v>20</v>
      </c>
      <c r="F422" s="18">
        <v>1</v>
      </c>
      <c r="K422" s="34">
        <f>((Table1224[[#This Row],[SPOT PTS]]/2)*15)-65</f>
        <v>835</v>
      </c>
      <c r="L422" s="34">
        <f t="shared" si="11"/>
        <v>57067</v>
      </c>
    </row>
    <row r="423" spans="1:12" ht="16.2" customHeight="1" x14ac:dyDescent="0.3">
      <c r="A423" s="12">
        <v>16</v>
      </c>
      <c r="B423" s="11">
        <v>0.47916666666666669</v>
      </c>
      <c r="C423" s="12" t="s">
        <v>48</v>
      </c>
      <c r="D423" s="12">
        <v>-41</v>
      </c>
      <c r="E423" s="12" t="s">
        <v>21</v>
      </c>
      <c r="F423" s="12">
        <v>1</v>
      </c>
      <c r="K423" s="34">
        <f>((Table1224[[#This Row],[SPOT PTS]]/2)*15)-65</f>
        <v>-372.5</v>
      </c>
      <c r="L423" s="34">
        <f t="shared" si="11"/>
        <v>56694.5</v>
      </c>
    </row>
    <row r="424" spans="1:12" ht="16.2" customHeight="1" thickBot="1" x14ac:dyDescent="0.35">
      <c r="A424" s="32">
        <v>16</v>
      </c>
      <c r="B424" s="31">
        <v>0.53472222222222221</v>
      </c>
      <c r="C424" s="32" t="s">
        <v>50</v>
      </c>
      <c r="D424" s="32">
        <v>154</v>
      </c>
      <c r="E424" s="32" t="s">
        <v>21</v>
      </c>
      <c r="F424" s="32">
        <v>2</v>
      </c>
      <c r="K424" s="34">
        <f>((Table1224[[#This Row],[SPOT PTS]]/2)*15)-65</f>
        <v>1090</v>
      </c>
      <c r="L424" s="34">
        <f t="shared" si="11"/>
        <v>57784.5</v>
      </c>
    </row>
    <row r="425" spans="1:12" ht="16.2" customHeight="1" thickBot="1" x14ac:dyDescent="0.35">
      <c r="A425" s="18">
        <v>19</v>
      </c>
      <c r="B425" s="17">
        <v>0.4513888888888889</v>
      </c>
      <c r="C425" s="18" t="s">
        <v>48</v>
      </c>
      <c r="D425" s="18">
        <v>-35</v>
      </c>
      <c r="E425" s="18" t="s">
        <v>22</v>
      </c>
      <c r="F425" s="18">
        <v>1</v>
      </c>
      <c r="K425" s="34">
        <f>((Table1224[[#This Row],[SPOT PTS]]/2)*15)-65</f>
        <v>-327.5</v>
      </c>
      <c r="L425" s="34">
        <f t="shared" si="11"/>
        <v>57457</v>
      </c>
    </row>
    <row r="426" spans="1:12" ht="16.2" customHeight="1" thickBot="1" x14ac:dyDescent="0.35">
      <c r="A426" s="18">
        <v>20</v>
      </c>
      <c r="B426" s="17">
        <v>0.51041666666666663</v>
      </c>
      <c r="C426" s="18" t="s">
        <v>48</v>
      </c>
      <c r="D426" s="18">
        <v>-27</v>
      </c>
      <c r="E426" s="18" t="s">
        <v>23</v>
      </c>
      <c r="F426" s="18">
        <v>1</v>
      </c>
      <c r="K426" s="34">
        <f>((Table1224[[#This Row],[SPOT PTS]]/2)*15)-65</f>
        <v>-267.5</v>
      </c>
      <c r="L426" s="34">
        <f t="shared" si="11"/>
        <v>57189.5</v>
      </c>
    </row>
    <row r="427" spans="1:12" ht="16.2" customHeight="1" thickBot="1" x14ac:dyDescent="0.35">
      <c r="A427" s="18">
        <v>21</v>
      </c>
      <c r="B427" s="17">
        <v>0.39583333333333331</v>
      </c>
      <c r="C427" s="18" t="s">
        <v>50</v>
      </c>
      <c r="D427" s="18">
        <v>142</v>
      </c>
      <c r="E427" s="18" t="s">
        <v>24</v>
      </c>
      <c r="F427" s="18">
        <v>1</v>
      </c>
      <c r="K427" s="34">
        <f>((Table1224[[#This Row],[SPOT PTS]]/2)*15)-65</f>
        <v>1000</v>
      </c>
      <c r="L427" s="34">
        <f t="shared" si="11"/>
        <v>58189.5</v>
      </c>
    </row>
    <row r="428" spans="1:12" ht="16.2" customHeight="1" thickBot="1" x14ac:dyDescent="0.35">
      <c r="A428" s="18">
        <v>22</v>
      </c>
      <c r="B428" s="17">
        <v>0.3888888888888889</v>
      </c>
      <c r="C428" s="18" t="s">
        <v>50</v>
      </c>
      <c r="D428" s="18">
        <v>249</v>
      </c>
      <c r="E428" s="18" t="s">
        <v>20</v>
      </c>
      <c r="F428" s="18">
        <v>1</v>
      </c>
      <c r="K428" s="34">
        <f>((Table1224[[#This Row],[SPOT PTS]]/2)*15)-65</f>
        <v>1802.5</v>
      </c>
      <c r="L428" s="34">
        <f t="shared" si="11"/>
        <v>59992</v>
      </c>
    </row>
    <row r="429" spans="1:12" ht="16.2" customHeight="1" thickBot="1" x14ac:dyDescent="0.35">
      <c r="A429" s="18">
        <v>23</v>
      </c>
      <c r="B429" s="17">
        <v>0.1111111111111111</v>
      </c>
      <c r="C429" s="18" t="s">
        <v>50</v>
      </c>
      <c r="D429" s="18">
        <v>158</v>
      </c>
      <c r="E429" s="18" t="s">
        <v>21</v>
      </c>
      <c r="F429" s="18">
        <v>1</v>
      </c>
      <c r="K429" s="34">
        <f>((Table1224[[#This Row],[SPOT PTS]]/2)*15)-65</f>
        <v>1120</v>
      </c>
      <c r="L429" s="34">
        <f t="shared" si="11"/>
        <v>61112</v>
      </c>
    </row>
    <row r="430" spans="1:12" ht="16.2" customHeight="1" thickBot="1" x14ac:dyDescent="0.35">
      <c r="A430" s="18">
        <v>26</v>
      </c>
      <c r="B430" s="17">
        <v>6.9444444444444434E-2</v>
      </c>
      <c r="C430" s="18" t="s">
        <v>48</v>
      </c>
      <c r="D430" s="18">
        <v>-32</v>
      </c>
      <c r="E430" s="18" t="s">
        <v>22</v>
      </c>
      <c r="F430" s="18">
        <v>2</v>
      </c>
      <c r="K430" s="34">
        <f>((Table1224[[#This Row],[SPOT PTS]]/2)*15)-65</f>
        <v>-305</v>
      </c>
      <c r="L430" s="34">
        <f t="shared" si="11"/>
        <v>60807</v>
      </c>
    </row>
    <row r="431" spans="1:12" ht="16.2" customHeight="1" thickBot="1" x14ac:dyDescent="0.35">
      <c r="A431" s="18">
        <v>27</v>
      </c>
      <c r="B431" s="17">
        <v>0.3923611111111111</v>
      </c>
      <c r="C431" s="18" t="s">
        <v>50</v>
      </c>
      <c r="D431" s="18">
        <v>282</v>
      </c>
      <c r="E431" s="18" t="s">
        <v>23</v>
      </c>
      <c r="F431" s="18">
        <v>1</v>
      </c>
      <c r="K431" s="34">
        <f>((Table1224[[#This Row],[SPOT PTS]]/2)*15)-65</f>
        <v>2050</v>
      </c>
      <c r="L431" s="34">
        <f t="shared" si="11"/>
        <v>62857</v>
      </c>
    </row>
    <row r="432" spans="1:12" ht="16.2" customHeight="1" thickBot="1" x14ac:dyDescent="0.35">
      <c r="A432" s="18">
        <v>28</v>
      </c>
      <c r="B432" s="17">
        <v>0.43055555555555558</v>
      </c>
      <c r="C432" s="18" t="s">
        <v>50</v>
      </c>
      <c r="D432" s="18">
        <v>116</v>
      </c>
      <c r="E432" s="18" t="s">
        <v>24</v>
      </c>
      <c r="F432" s="18">
        <v>1</v>
      </c>
      <c r="K432" s="34">
        <f>((Table1224[[#This Row],[SPOT PTS]]/2)*15)-65</f>
        <v>805</v>
      </c>
      <c r="L432" s="34">
        <f t="shared" si="11"/>
        <v>63662</v>
      </c>
    </row>
    <row r="433" spans="1:12" ht="16.2" customHeight="1" x14ac:dyDescent="0.3">
      <c r="A433" s="12">
        <v>29</v>
      </c>
      <c r="B433" s="11">
        <v>0.5</v>
      </c>
      <c r="C433" s="12" t="s">
        <v>48</v>
      </c>
      <c r="D433" s="12">
        <v>-36</v>
      </c>
      <c r="E433" s="12" t="s">
        <v>20</v>
      </c>
      <c r="F433" s="12">
        <v>1</v>
      </c>
      <c r="K433" s="34">
        <f>((Table1224[[#This Row],[SPOT PTS]]/2)*15)-65</f>
        <v>-335</v>
      </c>
      <c r="L433" s="34">
        <f t="shared" si="11"/>
        <v>63327</v>
      </c>
    </row>
    <row r="434" spans="1:12" ht="16.2" customHeight="1" x14ac:dyDescent="0.3">
      <c r="A434" s="1">
        <v>29</v>
      </c>
      <c r="B434" s="28">
        <v>7.6388888888888895E-2</v>
      </c>
      <c r="C434" s="1" t="s">
        <v>48</v>
      </c>
      <c r="D434" s="1">
        <v>-64</v>
      </c>
      <c r="E434" s="1" t="s">
        <v>20</v>
      </c>
      <c r="F434" s="1">
        <v>2</v>
      </c>
      <c r="K434" s="34">
        <f>((Table1224[[#This Row],[SPOT PTS]]/2)*15)-65</f>
        <v>-545</v>
      </c>
      <c r="L434" s="34">
        <f t="shared" si="11"/>
        <v>62782</v>
      </c>
    </row>
    <row r="435" spans="1:12" ht="16.2" customHeight="1" thickBot="1" x14ac:dyDescent="0.35">
      <c r="A435" s="32">
        <v>29</v>
      </c>
      <c r="B435" s="31">
        <v>9.0277777777777776E-2</v>
      </c>
      <c r="C435" s="32" t="s">
        <v>48</v>
      </c>
      <c r="D435" s="32">
        <v>-31</v>
      </c>
      <c r="E435" s="32" t="s">
        <v>20</v>
      </c>
      <c r="F435" s="32">
        <v>2</v>
      </c>
      <c r="K435" s="34">
        <f>((Table1224[[#This Row],[SPOT PTS]]/2)*15)-65</f>
        <v>-297.5</v>
      </c>
      <c r="L435" s="34">
        <f t="shared" si="11"/>
        <v>62484.5</v>
      </c>
    </row>
    <row r="436" spans="1:12" ht="16.2" customHeight="1" x14ac:dyDescent="0.3">
      <c r="A436" s="12">
        <v>30</v>
      </c>
      <c r="B436" s="11">
        <v>0.44097222222222227</v>
      </c>
      <c r="C436" s="12" t="s">
        <v>48</v>
      </c>
      <c r="D436" s="12">
        <v>-36</v>
      </c>
      <c r="E436" s="12" t="s">
        <v>21</v>
      </c>
      <c r="F436" s="12">
        <v>1</v>
      </c>
      <c r="K436" s="34">
        <f>((Table1224[[#This Row],[SPOT PTS]]/2)*15)-65</f>
        <v>-335</v>
      </c>
      <c r="L436" s="34">
        <f t="shared" si="11"/>
        <v>62149.5</v>
      </c>
    </row>
  </sheetData>
  <mergeCells count="12">
    <mergeCell ref="A407:F407"/>
    <mergeCell ref="A1:F1"/>
    <mergeCell ref="A30:F30"/>
    <mergeCell ref="A60:F60"/>
    <mergeCell ref="A97:F97"/>
    <mergeCell ref="A132:F132"/>
    <mergeCell ref="A174:F174"/>
    <mergeCell ref="A208:F208"/>
    <mergeCell ref="A255:F255"/>
    <mergeCell ref="A292:F292"/>
    <mergeCell ref="A336:F336"/>
    <mergeCell ref="A376:F376"/>
  </mergeCells>
  <conditionalFormatting sqref="K1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C294:C313" xr:uid="{BA30D23F-0EBA-43AF-BBEA-34D7F20B3535}">
      <formula1>"Stoploss,Target"</formula1>
    </dataValidation>
    <dataValidation type="list" allowBlank="1" showInputMessage="1" showErrorMessage="1" sqref="C61:C96 C98:C131 C133:C173 C175:C207 C209:C254 C31:C59 C2:C29 C256:C291 C293 C314:C335 C337:C375 C377:C406 C408:C1048576" xr:uid="{BB2293BE-6B82-4C84-9899-F5118FA11E08}">
      <formula1>"Stoploss, Target"</formula1>
    </dataValidation>
  </dataValidation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MONTHLY-SIMPLE</vt:lpstr>
      <vt:lpstr>MONTHLY-COMPOUND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Dhairyasen Deshmukh</dc:creator>
  <cp:lastModifiedBy>Dhairyasen Deshmukh</cp:lastModifiedBy>
  <dcterms:created xsi:type="dcterms:W3CDTF">2024-01-03T14:51:43Z</dcterms:created>
  <dcterms:modified xsi:type="dcterms:W3CDTF">2024-01-17T05:49:49Z</dcterms:modified>
</cp:coreProperties>
</file>