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 DHAIRYASEN\STOCK MARKET AND INVESTMENTS\BACKTESTING\"/>
    </mc:Choice>
  </mc:AlternateContent>
  <xr:revisionPtr revIDLastSave="0" documentId="13_ncr:1_{47CE538B-A0A0-40B9-827F-5D5FB9FBD5FE}" xr6:coauthVersionLast="47" xr6:coauthVersionMax="47" xr10:uidLastSave="{00000000-0000-0000-0000-000000000000}"/>
  <bookViews>
    <workbookView xWindow="-22140" yWindow="900" windowWidth="17280" windowHeight="8928" xr2:uid="{B328B4C7-8860-4468-9762-ABBB23BA4E82}"/>
  </bookViews>
  <sheets>
    <sheet name="5 EMA NIFTY BANK 2024" sheetId="1" r:id="rId1"/>
    <sheet name="K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9" i="1" l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08" i="1"/>
  <c r="G204" i="1"/>
  <c r="G205" i="1"/>
  <c r="G206" i="1"/>
  <c r="G207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179" i="1"/>
  <c r="G180" i="1"/>
  <c r="G181" i="1"/>
  <c r="G182" i="1"/>
  <c r="G183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28" i="1"/>
  <c r="G129" i="1"/>
  <c r="G130" i="1"/>
  <c r="G131" i="1"/>
  <c r="G132" i="1"/>
  <c r="G133" i="1"/>
  <c r="G134" i="1"/>
  <c r="G135" i="1"/>
  <c r="G136" i="1"/>
  <c r="G137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14" i="1"/>
  <c r="B7" i="2"/>
  <c r="C7" i="2" s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0" i="1"/>
  <c r="G81" i="1"/>
  <c r="G29" i="1"/>
  <c r="G84" i="1"/>
  <c r="G83" i="1"/>
  <c r="G82" i="1"/>
  <c r="G22" i="1"/>
  <c r="G23" i="1"/>
  <c r="G24" i="1"/>
  <c r="G16" i="1"/>
  <c r="G79" i="1"/>
  <c r="G13" i="2"/>
  <c r="F13" i="2"/>
  <c r="D13" i="2"/>
  <c r="B13" i="2"/>
  <c r="E13" i="2" s="1"/>
  <c r="G12" i="2"/>
  <c r="F12" i="2"/>
  <c r="D12" i="2"/>
  <c r="B12" i="2"/>
  <c r="C12" i="2" s="1"/>
  <c r="G11" i="2"/>
  <c r="F11" i="2"/>
  <c r="D11" i="2"/>
  <c r="B11" i="2"/>
  <c r="E11" i="2" s="1"/>
  <c r="G10" i="2"/>
  <c r="F10" i="2"/>
  <c r="D10" i="2"/>
  <c r="B10" i="2"/>
  <c r="C10" i="2" s="1"/>
  <c r="G9" i="2"/>
  <c r="F9" i="2"/>
  <c r="D9" i="2"/>
  <c r="B9" i="2"/>
  <c r="E9" i="2" s="1"/>
  <c r="G8" i="2"/>
  <c r="F8" i="2"/>
  <c r="D8" i="2"/>
  <c r="B8" i="2"/>
  <c r="C8" i="2" s="1"/>
  <c r="G7" i="2"/>
  <c r="F7" i="2"/>
  <c r="D7" i="2"/>
  <c r="G6" i="2"/>
  <c r="F6" i="2"/>
  <c r="D6" i="2"/>
  <c r="B6" i="2"/>
  <c r="E6" i="2" s="1"/>
  <c r="G5" i="2"/>
  <c r="F5" i="2"/>
  <c r="D5" i="2"/>
  <c r="B5" i="2"/>
  <c r="C5" i="2" s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4" i="2"/>
  <c r="F4" i="2"/>
  <c r="D4" i="2"/>
  <c r="B4" i="2"/>
  <c r="E4" i="2" s="1"/>
  <c r="G65" i="1"/>
  <c r="G64" i="1"/>
  <c r="G63" i="1"/>
  <c r="G62" i="1"/>
  <c r="G61" i="1"/>
  <c r="G60" i="1"/>
  <c r="G59" i="1"/>
  <c r="G58" i="1"/>
  <c r="G57" i="1"/>
  <c r="G56" i="1"/>
  <c r="F3" i="2"/>
  <c r="G3" i="2"/>
  <c r="G2" i="2"/>
  <c r="D3" i="2"/>
  <c r="B3" i="2"/>
  <c r="E3" i="2" s="1"/>
  <c r="D2" i="2"/>
  <c r="F2" i="2"/>
  <c r="B2" i="2"/>
  <c r="E2" i="2" s="1"/>
  <c r="G55" i="1"/>
  <c r="G54" i="1"/>
  <c r="G53" i="1"/>
  <c r="G52" i="1"/>
  <c r="G51" i="1"/>
  <c r="G50" i="1"/>
  <c r="G49" i="1"/>
  <c r="G48" i="1"/>
  <c r="G47" i="1"/>
  <c r="G45" i="1"/>
  <c r="G46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19" i="1"/>
  <c r="G20" i="1"/>
  <c r="G21" i="1"/>
  <c r="G25" i="1"/>
  <c r="G26" i="1"/>
  <c r="G27" i="1"/>
  <c r="G28" i="1"/>
  <c r="G4" i="1"/>
  <c r="G5" i="1"/>
  <c r="G6" i="1"/>
  <c r="G7" i="1"/>
  <c r="G8" i="1"/>
  <c r="G9" i="1"/>
  <c r="G10" i="1"/>
  <c r="G11" i="1"/>
  <c r="G12" i="1"/>
  <c r="G13" i="1"/>
  <c r="G14" i="1"/>
  <c r="G15" i="1"/>
  <c r="G17" i="1"/>
  <c r="G18" i="1"/>
  <c r="G3" i="1"/>
  <c r="G2" i="1"/>
  <c r="H2" i="1" s="1"/>
  <c r="E7" i="2" l="1"/>
  <c r="I7" i="2" s="1"/>
  <c r="H7" i="2" s="1"/>
  <c r="C6" i="2"/>
  <c r="E8" i="2"/>
  <c r="I8" i="2" s="1"/>
  <c r="H8" i="2" s="1"/>
  <c r="C9" i="2"/>
  <c r="C13" i="2"/>
  <c r="C11" i="2"/>
  <c r="E10" i="2"/>
  <c r="I10" i="2" s="1"/>
  <c r="H10" i="2" s="1"/>
  <c r="I13" i="2"/>
  <c r="H13" i="2" s="1"/>
  <c r="I11" i="2"/>
  <c r="H11" i="2" s="1"/>
  <c r="E12" i="2"/>
  <c r="I12" i="2" s="1"/>
  <c r="H12" i="2" s="1"/>
  <c r="I9" i="2"/>
  <c r="H9" i="2" s="1"/>
  <c r="I6" i="2"/>
  <c r="H6" i="2" s="1"/>
  <c r="E5" i="2"/>
  <c r="I5" i="2" s="1"/>
  <c r="H5" i="2" s="1"/>
  <c r="C4" i="2"/>
  <c r="I4" i="2"/>
  <c r="H4" i="2" s="1"/>
  <c r="I2" i="2"/>
  <c r="H2" i="2" s="1"/>
  <c r="C3" i="2"/>
  <c r="C2" i="2"/>
  <c r="I3" i="2"/>
  <c r="H3" i="2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7" i="1" l="1"/>
  <c r="H18" i="1" s="1"/>
  <c r="H19" i="1" s="1"/>
  <c r="H20" i="1" s="1"/>
  <c r="H21" i="1" s="1"/>
  <c r="H16" i="1"/>
  <c r="H23" i="1" l="1"/>
  <c r="H22" i="1"/>
  <c r="H25" i="1"/>
  <c r="H26" i="1" s="1"/>
  <c r="H27" i="1" s="1"/>
  <c r="H28" i="1" s="1"/>
  <c r="H24" i="1"/>
  <c r="H30" i="1" l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29" i="1"/>
  <c r="H82" i="1" l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81" i="1"/>
</calcChain>
</file>

<file path=xl/sharedStrings.xml><?xml version="1.0" encoding="utf-8"?>
<sst xmlns="http://schemas.openxmlformats.org/spreadsheetml/2006/main" count="934" uniqueCount="48">
  <si>
    <t>DATE</t>
  </si>
  <si>
    <t>TIME</t>
  </si>
  <si>
    <t>OUTCOME</t>
  </si>
  <si>
    <t>SPOT PTS</t>
  </si>
  <si>
    <t>RANGE</t>
  </si>
  <si>
    <t>DAY</t>
  </si>
  <si>
    <t>DAY PNL</t>
  </si>
  <si>
    <t>PORFOLIO</t>
  </si>
  <si>
    <t>MONTH</t>
  </si>
  <si>
    <t>TRADES</t>
  </si>
  <si>
    <t>WIN RATE</t>
  </si>
  <si>
    <t>BROKERAGE</t>
  </si>
  <si>
    <t>SL PTS TOTAL</t>
  </si>
  <si>
    <t>TARGET PTS TOTAL</t>
  </si>
  <si>
    <t>CAPITAL GAIN</t>
  </si>
  <si>
    <t>NET PNL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</si>
  <si>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</si>
  <si>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</si>
  <si>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</si>
  <si>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</si>
  <si>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</si>
  <si>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</si>
  <si>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</si>
  <si>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</si>
  <si>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</si>
  <si>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</si>
  <si>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</si>
  <si>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</si>
  <si>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</t>
  </si>
  <si>
    <t>STOPLOSS</t>
  </si>
  <si>
    <t>1st HALF</t>
  </si>
  <si>
    <t>TARGET</t>
  </si>
  <si>
    <t>TUE</t>
  </si>
  <si>
    <t>WED</t>
  </si>
  <si>
    <t>THU</t>
  </si>
  <si>
    <t>FRI</t>
  </si>
  <si>
    <t>2nd HALF</t>
  </si>
  <si>
    <t>SAT</t>
  </si>
  <si>
    <t>JAN</t>
  </si>
  <si>
    <t>FEB</t>
  </si>
  <si>
    <t>SPTS TOTAL</t>
  </si>
  <si>
    <t>MAR</t>
  </si>
  <si>
    <t>APR</t>
  </si>
  <si>
    <t>JUN</t>
  </si>
  <si>
    <t>JUL</t>
  </si>
  <si>
    <t>AUG</t>
  </si>
  <si>
    <t>SEP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</si>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</sst>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9" fontId="1" fillId="2" borderId="0" xfId="1" applyFont="1" applyFill="1" applyAlignment="1">
      <alignment horizontal="center"/>
    </xf>
    <xf numFmtId="9" fontId="0" fillId="0" borderId="0" xfId="1" applyFont="1"/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1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 vertical="bottom" textRotation="0" wrapText="0" indent="0" justifyLastLine="0" shrinkToFit="0" readingOrder="0"/>
    </dxf>
    <dxf>
      <numFmt numFmtId="164" formatCode="_ [$₹-4009]\ * #,##0.00_ ;_ [$₹-4009]\ * \-#,##0.00_ ;_ [$₹-4009]\ * &quot;-&quot;??_ ;_ @_ "/>
      <alignment horizontal="center" vertical="bottom" textRotation="0" wrapText="0" indent="0" justifyLastLine="0" shrinkToFit="0" readingOrder="0"/>
    </dxf>
    <dxf>
      <numFmt numFmtId="164" formatCode="_ [$₹-4009]\ * #,##0.00_ ;_ [$₹-4009]\ * \-#,##0.00_ ;_ [$₹-4009]\ * &quot;-&quot;??_ ;_ 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20" formatCode="dd/mmm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3EF78-B9EB-4C33-AA9C-1A546424BF99}" name="EMA" displayName="EMA" ref="A1:I236" totalsRowShown="0" headerRowDxfId="14" dataDxfId="13">
  <autoFilter ref="A1:I236" xr:uid="{7A73EF78-B9EB-4C33-AA9C-1A546424BF99}"/>
  <tableColumns count="9">
    <tableColumn id="1" xr3:uid="{75BD1DA6-2BF3-4D0A-BD8B-B0051E0D7D98}" name="DATE" dataDxfId="12"/>
    <tableColumn id="2" xr3:uid="{670ACD7F-3AE9-4109-9D95-7B10A3E527F4}" name="TIME" dataDxfId="11"/>
    <tableColumn id="3" xr3:uid="{2BCE08CC-BA2E-48B9-8646-0DAFE0F8C6E7}" name="OUTCOME" dataDxfId="10"/>
    <tableColumn id="4" xr3:uid="{99455347-3625-401A-8EF9-96856BB11B39}" name="SPOT PTS" dataDxfId="9"/>
    <tableColumn id="5" xr3:uid="{7A0B3C0E-42B0-4F28-824C-FE172392BA46}" name="DAY" dataDxfId="8"/>
    <tableColumn id="6" xr3:uid="{65C94CB6-9CD7-4AC4-8139-4651BBDB8731}" name="RANGE" dataDxfId="7"/>
    <tableColumn id="7" xr3:uid="{B70EC08E-C103-4436-A0AE-A3D5800BA61A}" name="DAY PNL" dataDxfId="6">
      <calculatedColumnFormula>(D2/2)*15-65</calculatedColumnFormula>
    </tableColumn>
    <tableColumn id="8" xr3:uid="{42FD35EA-DCCD-4E4B-A26D-4FB30DE70251}" name="PORFOLIO" dataDxfId="5">
      <calculatedColumnFormula>(H1+G2)</calculatedColumnFormula>
    </tableColumn>
    <tableColumn id="9" xr3:uid="{B9170033-F5A0-4368-B6F1-0A0E18229D86}" name="MONTH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295D6-FAA5-4E88-B313-F727C66141F8}">
  <dimension ref="A1:I236"/>
  <sheetViews>
    <sheetView tabSelected="1" topLeftCell="A222" zoomScale="145" zoomScaleNormal="145" workbookViewId="0">
      <selection activeCell="B229" sqref="B229"/>
    </sheetView>
  </sheetViews>
  <sheetFormatPr defaultColWidth="8.85546875" defaultRowHeight="15" x14ac:dyDescent="0.25"/>
  <cols>
    <col min="1" max="1" width="10.7109375" style="3" bestFit="1" customWidth="1"/>
    <col min="2" max="2" width="9.7109375" style="3" bestFit="1" customWidth="1"/>
    <col min="3" max="3" width="14.28515625" style="3" bestFit="1" customWidth="1"/>
    <col min="4" max="4" width="13.42578125" style="3" bestFit="1" customWidth="1"/>
    <col min="5" max="5" width="8.85546875" style="3" bestFit="1" customWidth="1"/>
    <col min="6" max="6" width="11.28515625" style="3" bestFit="1" customWidth="1"/>
    <col min="7" max="7" width="13.5703125" style="4" bestFit="1" customWidth="1"/>
    <col min="8" max="8" width="14.85546875" style="4" bestFit="1" customWidth="1"/>
    <col min="9" max="9" width="12.140625" style="3" bestFit="1" customWidth="1"/>
    <col min="10" max="16384" width="8.8554687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2" t="s">
        <v>6</v>
      </c>
      <c r="H1" s="2" t="s">
        <v>7</v>
      </c>
      <c r="I1" s="1" t="s">
        <v>8</v>
      </c>
    </row>
    <row r="2" spans="1:9" x14ac:dyDescent="0.25">
      <c r="A2" s="5">
        <v>45292</v>
      </c>
      <c r="B2" s="6">
        <v>0.4201388888888889</v>
      </c>
      <c r="C2" s="3" t="s">
        <v>29</v>
      </c>
      <c r="D2" s="3">
        <v>-40</v>
      </c>
      <c r="E2" s="3" t="s">
        <v>28</v>
      </c>
      <c r="F2" s="4" t="s">
        <v>30</v>
      </c>
      <c r="G2" s="4">
        <f>(D2/2)*15-65</f>
        <v>-365</v>
      </c>
      <c r="H2" s="4">
        <f>10000+G2</f>
        <v>9635</v>
      </c>
      <c r="I2" s="3" t="s">
        <v>38</v>
      </c>
    </row>
    <row r="3" spans="1:9" x14ac:dyDescent="0.25">
      <c r="A3" s="5">
        <v>45294</v>
      </c>
      <c r="B3" s="6">
        <v>0.44444444444444442</v>
      </c>
      <c r="C3" s="3" t="s">
        <v>29</v>
      </c>
      <c r="D3" s="3">
        <v>-44</v>
      </c>
      <c r="E3" s="3" t="s">
        <v>32</v>
      </c>
      <c r="F3" s="3" t="s">
        <v>30</v>
      </c>
      <c r="G3" s="4">
        <f>(D3/2)*15-65</f>
        <v>-395</v>
      </c>
      <c r="H3" s="4">
        <f>(H2+G3)</f>
        <v>9240</v>
      </c>
      <c r="I3" s="3" t="s">
        <v>38</v>
      </c>
    </row>
    <row r="4" spans="1:9" x14ac:dyDescent="0.25">
      <c r="A4" s="5">
        <v>45294</v>
      </c>
      <c r="B4" s="6">
        <v>0.49652777777777779</v>
      </c>
      <c r="C4" s="3" t="s">
        <v>31</v>
      </c>
      <c r="D4" s="3">
        <v>135</v>
      </c>
      <c r="E4" s="3" t="s">
        <v>33</v>
      </c>
      <c r="F4" s="3" t="s">
        <v>30</v>
      </c>
      <c r="G4" s="4">
        <f t="shared" ref="G4:G28" si="0">(D4/2)*15-65</f>
        <v>947.5</v>
      </c>
      <c r="H4" s="4">
        <f t="shared" ref="H4:H28" si="1">(H3+G4)</f>
        <v>10187.5</v>
      </c>
      <c r="I4" s="3" t="s">
        <v>38</v>
      </c>
    </row>
    <row r="5" spans="1:9" x14ac:dyDescent="0.25">
      <c r="A5" s="5">
        <v>45295</v>
      </c>
      <c r="B5" s="6">
        <v>0.40972222222222221</v>
      </c>
      <c r="C5" s="3" t="s">
        <v>29</v>
      </c>
      <c r="D5" s="3">
        <v>-40</v>
      </c>
      <c r="E5" s="3" t="s">
        <v>34</v>
      </c>
      <c r="F5" s="3" t="s">
        <v>30</v>
      </c>
      <c r="G5" s="4">
        <f t="shared" si="0"/>
        <v>-365</v>
      </c>
      <c r="H5" s="4">
        <f t="shared" si="1"/>
        <v>9822.5</v>
      </c>
      <c r="I5" s="3" t="s">
        <v>38</v>
      </c>
    </row>
    <row r="6" spans="1:9" x14ac:dyDescent="0.25">
      <c r="A6" s="5">
        <v>45295</v>
      </c>
      <c r="B6" s="6">
        <v>0.43402777777777779</v>
      </c>
      <c r="C6" s="3" t="s">
        <v>29</v>
      </c>
      <c r="D6" s="3">
        <v>-53</v>
      </c>
      <c r="E6" s="3" t="s">
        <v>34</v>
      </c>
      <c r="F6" s="3" t="s">
        <v>30</v>
      </c>
      <c r="G6" s="4">
        <f t="shared" si="0"/>
        <v>-462.5</v>
      </c>
      <c r="H6" s="4">
        <f t="shared" si="1"/>
        <v>9360</v>
      </c>
      <c r="I6" s="3" t="s">
        <v>38</v>
      </c>
    </row>
    <row r="7" spans="1:9" x14ac:dyDescent="0.25">
      <c r="A7" s="5">
        <v>45295</v>
      </c>
      <c r="B7" s="6">
        <v>0.47569444444444442</v>
      </c>
      <c r="C7" s="3" t="s">
        <v>29</v>
      </c>
      <c r="D7" s="3">
        <v>-40</v>
      </c>
      <c r="E7" s="3" t="s">
        <v>34</v>
      </c>
      <c r="F7" s="3" t="s">
        <v>30</v>
      </c>
      <c r="G7" s="4">
        <f t="shared" si="0"/>
        <v>-365</v>
      </c>
      <c r="H7" s="4">
        <f t="shared" si="1"/>
        <v>8995</v>
      </c>
      <c r="I7" s="3" t="s">
        <v>38</v>
      </c>
    </row>
    <row r="8" spans="1:9" x14ac:dyDescent="0.25">
      <c r="A8" s="5">
        <v>45296</v>
      </c>
      <c r="B8" s="6">
        <v>0.4236111111111111</v>
      </c>
      <c r="C8" s="3" t="s">
        <v>31</v>
      </c>
      <c r="D8" s="3">
        <v>161</v>
      </c>
      <c r="E8" s="3" t="s">
        <v>35</v>
      </c>
      <c r="F8" s="3" t="s">
        <v>30</v>
      </c>
      <c r="G8" s="4">
        <f t="shared" si="0"/>
        <v>1142.5</v>
      </c>
      <c r="H8" s="4">
        <f t="shared" si="1"/>
        <v>10137.5</v>
      </c>
      <c r="I8" s="3" t="s">
        <v>38</v>
      </c>
    </row>
    <row r="9" spans="1:9" x14ac:dyDescent="0.25">
      <c r="A9" s="5">
        <v>45300</v>
      </c>
      <c r="B9" s="6">
        <v>0.39930555555555558</v>
      </c>
      <c r="C9" s="3" t="s">
        <v>29</v>
      </c>
      <c r="D9" s="3">
        <v>-57</v>
      </c>
      <c r="E9" s="3" t="s">
        <v>32</v>
      </c>
      <c r="F9" s="3" t="s">
        <v>30</v>
      </c>
      <c r="G9" s="4">
        <f t="shared" si="0"/>
        <v>-492.5</v>
      </c>
      <c r="H9" s="4">
        <f t="shared" si="1"/>
        <v>9645</v>
      </c>
      <c r="I9" s="3" t="s">
        <v>38</v>
      </c>
    </row>
    <row r="10" spans="1:9" x14ac:dyDescent="0.25">
      <c r="A10" s="5">
        <v>45300</v>
      </c>
      <c r="B10" s="6">
        <v>0.46875</v>
      </c>
      <c r="C10" s="3" t="s">
        <v>31</v>
      </c>
      <c r="D10" s="3">
        <v>135</v>
      </c>
      <c r="E10" s="3" t="s">
        <v>32</v>
      </c>
      <c r="F10" s="3" t="s">
        <v>30</v>
      </c>
      <c r="G10" s="4">
        <f t="shared" si="0"/>
        <v>947.5</v>
      </c>
      <c r="H10" s="4">
        <f t="shared" si="1"/>
        <v>10592.5</v>
      </c>
      <c r="I10" s="3" t="s">
        <v>38</v>
      </c>
    </row>
    <row r="11" spans="1:9" x14ac:dyDescent="0.25">
      <c r="A11" s="5">
        <v>45301</v>
      </c>
      <c r="B11" s="6">
        <v>0.48958333333333331</v>
      </c>
      <c r="C11" s="3" t="s">
        <v>31</v>
      </c>
      <c r="D11" s="3">
        <v>141</v>
      </c>
      <c r="E11" s="3" t="s">
        <v>33</v>
      </c>
      <c r="F11" s="3" t="s">
        <v>30</v>
      </c>
      <c r="G11" s="4">
        <f t="shared" si="0"/>
        <v>992.5</v>
      </c>
      <c r="H11" s="4">
        <f t="shared" si="1"/>
        <v>11585</v>
      </c>
      <c r="I11" s="3" t="s">
        <v>38</v>
      </c>
    </row>
    <row r="12" spans="1:9" x14ac:dyDescent="0.25">
      <c r="A12" s="5">
        <v>45303</v>
      </c>
      <c r="B12" s="6">
        <v>6.25E-2</v>
      </c>
      <c r="C12" s="3" t="s">
        <v>29</v>
      </c>
      <c r="D12" s="3">
        <v>-40</v>
      </c>
      <c r="E12" s="3" t="s">
        <v>35</v>
      </c>
      <c r="F12" s="3" t="s">
        <v>36</v>
      </c>
      <c r="G12" s="4">
        <f t="shared" si="0"/>
        <v>-365</v>
      </c>
      <c r="H12" s="4">
        <f t="shared" si="1"/>
        <v>11220</v>
      </c>
      <c r="I12" s="3" t="s">
        <v>38</v>
      </c>
    </row>
    <row r="13" spans="1:9" x14ac:dyDescent="0.25">
      <c r="A13" s="5">
        <v>45303</v>
      </c>
      <c r="B13" s="6">
        <v>8.6805555555555552E-2</v>
      </c>
      <c r="C13" s="3" t="s">
        <v>31</v>
      </c>
      <c r="D13" s="3">
        <v>60</v>
      </c>
      <c r="E13" s="3" t="s">
        <v>35</v>
      </c>
      <c r="F13" s="3" t="s">
        <v>36</v>
      </c>
      <c r="G13" s="4">
        <f t="shared" si="0"/>
        <v>385</v>
      </c>
      <c r="H13" s="4">
        <f t="shared" si="1"/>
        <v>11605</v>
      </c>
      <c r="I13" s="3" t="s">
        <v>38</v>
      </c>
    </row>
    <row r="14" spans="1:9" x14ac:dyDescent="0.25">
      <c r="A14" s="5">
        <v>45306</v>
      </c>
      <c r="B14" s="6">
        <v>0.40625</v>
      </c>
      <c r="C14" s="3" t="s">
        <v>31</v>
      </c>
      <c r="D14" s="3">
        <v>150</v>
      </c>
      <c r="E14" s="3" t="s">
        <v>28</v>
      </c>
      <c r="F14" s="3" t="s">
        <v>30</v>
      </c>
      <c r="G14" s="4">
        <f t="shared" si="0"/>
        <v>1060</v>
      </c>
      <c r="H14" s="4">
        <f t="shared" si="1"/>
        <v>12665</v>
      </c>
      <c r="I14" s="3" t="s">
        <v>38</v>
      </c>
    </row>
    <row r="15" spans="1:9" x14ac:dyDescent="0.25">
      <c r="A15" s="5">
        <v>45307</v>
      </c>
      <c r="B15" s="6">
        <v>0.50347222222222221</v>
      </c>
      <c r="C15" s="3" t="s">
        <v>31</v>
      </c>
      <c r="D15" s="3">
        <v>124</v>
      </c>
      <c r="E15" s="3" t="s">
        <v>32</v>
      </c>
      <c r="F15" s="3" t="s">
        <v>36</v>
      </c>
      <c r="G15" s="4">
        <f t="shared" si="0"/>
        <v>865</v>
      </c>
      <c r="H15" s="4">
        <f t="shared" si="1"/>
        <v>13530</v>
      </c>
      <c r="I15" s="3" t="s">
        <v>38</v>
      </c>
    </row>
    <row r="16" spans="1:9" x14ac:dyDescent="0.25">
      <c r="A16" s="5">
        <v>45308</v>
      </c>
      <c r="B16" s="6">
        <v>0.40972222222222221</v>
      </c>
      <c r="C16" s="3" t="s">
        <v>29</v>
      </c>
      <c r="D16" s="3">
        <v>-49</v>
      </c>
      <c r="E16" s="3" t="s">
        <v>33</v>
      </c>
      <c r="F16" s="3" t="s">
        <v>30</v>
      </c>
      <c r="G16" s="4">
        <f>(D16/2)*15-65</f>
        <v>-432.5</v>
      </c>
      <c r="H16" s="4">
        <f>(H15+G16)</f>
        <v>13097.5</v>
      </c>
      <c r="I16" s="3" t="s">
        <v>38</v>
      </c>
    </row>
    <row r="17" spans="1:9" x14ac:dyDescent="0.25">
      <c r="A17" s="5">
        <v>45308</v>
      </c>
      <c r="B17" s="6">
        <v>0.51736111111111116</v>
      </c>
      <c r="C17" s="3" t="s">
        <v>31</v>
      </c>
      <c r="D17" s="3">
        <v>76</v>
      </c>
      <c r="E17" s="3" t="s">
        <v>33</v>
      </c>
      <c r="F17" s="3" t="s">
        <v>36</v>
      </c>
      <c r="G17" s="4">
        <f t="shared" si="0"/>
        <v>505</v>
      </c>
      <c r="H17" s="4">
        <f>(H15+G17)</f>
        <v>14035</v>
      </c>
      <c r="I17" s="3" t="s">
        <v>38</v>
      </c>
    </row>
    <row r="18" spans="1:9" x14ac:dyDescent="0.25">
      <c r="A18" s="5">
        <v>45310</v>
      </c>
      <c r="B18" s="6">
        <v>0.44444444444444442</v>
      </c>
      <c r="C18" s="3" t="s">
        <v>31</v>
      </c>
      <c r="D18" s="3">
        <v>247</v>
      </c>
      <c r="E18" s="3" t="s">
        <v>35</v>
      </c>
      <c r="F18" s="3" t="s">
        <v>30</v>
      </c>
      <c r="G18" s="4">
        <f t="shared" si="0"/>
        <v>1787.5</v>
      </c>
      <c r="H18" s="4">
        <f t="shared" si="1"/>
        <v>15822.5</v>
      </c>
      <c r="I18" s="3" t="s">
        <v>38</v>
      </c>
    </row>
    <row r="19" spans="1:9" x14ac:dyDescent="0.25">
      <c r="A19" s="5">
        <v>45311</v>
      </c>
      <c r="B19" s="6">
        <v>6.25E-2</v>
      </c>
      <c r="C19" s="3" t="s">
        <v>31</v>
      </c>
      <c r="D19" s="3">
        <v>138</v>
      </c>
      <c r="E19" s="3" t="s">
        <v>37</v>
      </c>
      <c r="F19" s="3" t="s">
        <v>36</v>
      </c>
      <c r="G19" s="4">
        <f t="shared" si="0"/>
        <v>970</v>
      </c>
      <c r="H19" s="4">
        <f t="shared" si="1"/>
        <v>16792.5</v>
      </c>
      <c r="I19" s="3" t="s">
        <v>38</v>
      </c>
    </row>
    <row r="20" spans="1:9" x14ac:dyDescent="0.25">
      <c r="A20" s="5">
        <v>45314</v>
      </c>
      <c r="B20" s="6">
        <v>0.39930555555555558</v>
      </c>
      <c r="C20" s="3" t="s">
        <v>31</v>
      </c>
      <c r="D20" s="3">
        <v>287</v>
      </c>
      <c r="E20" s="3" t="s">
        <v>32</v>
      </c>
      <c r="F20" s="3" t="s">
        <v>30</v>
      </c>
      <c r="G20" s="4">
        <f t="shared" si="0"/>
        <v>2087.5</v>
      </c>
      <c r="H20" s="4">
        <f t="shared" si="1"/>
        <v>18880</v>
      </c>
      <c r="I20" s="3" t="s">
        <v>38</v>
      </c>
    </row>
    <row r="21" spans="1:9" x14ac:dyDescent="0.25">
      <c r="A21" s="5">
        <v>45315</v>
      </c>
      <c r="B21" s="6">
        <v>0.4375</v>
      </c>
      <c r="C21" s="3" t="s">
        <v>31</v>
      </c>
      <c r="D21" s="3">
        <v>320</v>
      </c>
      <c r="E21" s="3" t="s">
        <v>33</v>
      </c>
      <c r="F21" s="3" t="s">
        <v>30</v>
      </c>
      <c r="G21" s="4">
        <f t="shared" si="0"/>
        <v>2335</v>
      </c>
      <c r="H21" s="4">
        <f t="shared" si="1"/>
        <v>21215</v>
      </c>
      <c r="I21" s="3" t="s">
        <v>38</v>
      </c>
    </row>
    <row r="22" spans="1:9" x14ac:dyDescent="0.25">
      <c r="A22" s="5">
        <v>45316</v>
      </c>
      <c r="B22" s="6">
        <v>0.40277777777777779</v>
      </c>
      <c r="C22" s="3" t="s">
        <v>31</v>
      </c>
      <c r="D22" s="3">
        <v>59</v>
      </c>
      <c r="E22" s="3" t="s">
        <v>34</v>
      </c>
      <c r="F22" s="3" t="s">
        <v>30</v>
      </c>
      <c r="G22" s="4">
        <f>(D22/2)*15-65</f>
        <v>377.5</v>
      </c>
      <c r="H22" s="4">
        <f>(H21+G22)</f>
        <v>21592.5</v>
      </c>
      <c r="I22" s="3" t="s">
        <v>38</v>
      </c>
    </row>
    <row r="23" spans="1:9" x14ac:dyDescent="0.25">
      <c r="A23" s="5">
        <v>45316</v>
      </c>
      <c r="B23" s="6">
        <v>0.4236111111111111</v>
      </c>
      <c r="C23" s="3" t="s">
        <v>29</v>
      </c>
      <c r="D23" s="3">
        <v>-33</v>
      </c>
      <c r="E23" s="3" t="s">
        <v>34</v>
      </c>
      <c r="F23" s="3" t="s">
        <v>30</v>
      </c>
      <c r="G23" s="4">
        <f>(D23/2)*15-65</f>
        <v>-312.5</v>
      </c>
      <c r="H23" s="4">
        <f>(H21+G23)</f>
        <v>20902.5</v>
      </c>
      <c r="I23" s="3" t="s">
        <v>38</v>
      </c>
    </row>
    <row r="24" spans="1:9" x14ac:dyDescent="0.25">
      <c r="A24" s="5">
        <v>45316</v>
      </c>
      <c r="B24" s="6">
        <v>0.44444444444444442</v>
      </c>
      <c r="C24" s="3" t="s">
        <v>31</v>
      </c>
      <c r="D24" s="3">
        <v>40</v>
      </c>
      <c r="E24" s="3" t="s">
        <v>34</v>
      </c>
      <c r="F24" s="3" t="s">
        <v>30</v>
      </c>
      <c r="G24" s="4">
        <f>(D24/2)*15-65</f>
        <v>235</v>
      </c>
      <c r="H24" s="4">
        <f>(H21+G24)</f>
        <v>21450</v>
      </c>
      <c r="I24" s="3" t="s">
        <v>38</v>
      </c>
    </row>
    <row r="25" spans="1:9" x14ac:dyDescent="0.25">
      <c r="A25" s="5">
        <v>45316</v>
      </c>
      <c r="B25" s="6">
        <v>0.39583333333333331</v>
      </c>
      <c r="C25" s="3" t="s">
        <v>31</v>
      </c>
      <c r="D25" s="3">
        <v>86</v>
      </c>
      <c r="E25" s="3" t="s">
        <v>34</v>
      </c>
      <c r="F25" s="3" t="s">
        <v>30</v>
      </c>
      <c r="G25" s="4">
        <f t="shared" si="0"/>
        <v>580</v>
      </c>
      <c r="H25" s="4">
        <f>(H21+G25)</f>
        <v>21795</v>
      </c>
      <c r="I25" s="3" t="s">
        <v>38</v>
      </c>
    </row>
    <row r="26" spans="1:9" x14ac:dyDescent="0.25">
      <c r="A26" s="5">
        <v>45320</v>
      </c>
      <c r="B26" s="6">
        <v>0.51736111111111116</v>
      </c>
      <c r="C26" s="3" t="s">
        <v>31</v>
      </c>
      <c r="D26" s="3">
        <v>120</v>
      </c>
      <c r="E26" s="3" t="s">
        <v>28</v>
      </c>
      <c r="F26" s="3" t="s">
        <v>36</v>
      </c>
      <c r="G26" s="4">
        <f t="shared" si="0"/>
        <v>835</v>
      </c>
      <c r="H26" s="4">
        <f t="shared" si="1"/>
        <v>22630</v>
      </c>
      <c r="I26" s="3" t="s">
        <v>38</v>
      </c>
    </row>
    <row r="27" spans="1:9" x14ac:dyDescent="0.25">
      <c r="A27" s="5">
        <v>45321</v>
      </c>
      <c r="B27" s="6">
        <v>0.46180555555555558</v>
      </c>
      <c r="C27" s="3" t="s">
        <v>29</v>
      </c>
      <c r="D27" s="3">
        <v>-46</v>
      </c>
      <c r="E27" s="3" t="s">
        <v>32</v>
      </c>
      <c r="F27" s="3" t="s">
        <v>30</v>
      </c>
      <c r="G27" s="4">
        <f t="shared" si="0"/>
        <v>-410</v>
      </c>
      <c r="H27" s="4">
        <f t="shared" si="1"/>
        <v>22220</v>
      </c>
      <c r="I27" s="3" t="s">
        <v>38</v>
      </c>
    </row>
    <row r="28" spans="1:9" x14ac:dyDescent="0.25">
      <c r="A28" s="5">
        <v>45321</v>
      </c>
      <c r="B28" s="6">
        <v>0.50347222222222221</v>
      </c>
      <c r="C28" s="3" t="s">
        <v>31</v>
      </c>
      <c r="D28" s="3">
        <v>164</v>
      </c>
      <c r="E28" s="3" t="s">
        <v>32</v>
      </c>
      <c r="F28" s="3" t="s">
        <v>36</v>
      </c>
      <c r="G28" s="4">
        <f t="shared" si="0"/>
        <v>1165</v>
      </c>
      <c r="H28" s="4">
        <f t="shared" si="1"/>
        <v>23385</v>
      </c>
      <c r="I28" s="3" t="s">
        <v>38</v>
      </c>
    </row>
    <row r="29" spans="1:9" x14ac:dyDescent="0.25">
      <c r="A29" s="5">
        <v>45322</v>
      </c>
      <c r="B29" s="6">
        <v>0.4513888888888889</v>
      </c>
      <c r="C29" s="3" t="s">
        <v>29</v>
      </c>
      <c r="D29" s="3">
        <v>-80</v>
      </c>
      <c r="E29" s="3" t="s">
        <v>33</v>
      </c>
      <c r="F29" s="3" t="s">
        <v>30</v>
      </c>
      <c r="G29" s="4">
        <f>(D29/2)*15-65</f>
        <v>-665</v>
      </c>
      <c r="H29" s="4">
        <f>(H28+G29)</f>
        <v>22720</v>
      </c>
      <c r="I29" s="3" t="s">
        <v>38</v>
      </c>
    </row>
    <row r="30" spans="1:9" x14ac:dyDescent="0.25">
      <c r="A30" s="5">
        <v>45323</v>
      </c>
      <c r="B30" s="6">
        <v>0.51041666666666663</v>
      </c>
      <c r="C30" s="3" t="s">
        <v>29</v>
      </c>
      <c r="D30" s="3">
        <v>-80</v>
      </c>
      <c r="E30" s="3" t="s">
        <v>34</v>
      </c>
      <c r="F30" s="3" t="s">
        <v>36</v>
      </c>
      <c r="G30" s="4">
        <f t="shared" ref="G30:G44" si="2">(D30/2)*15-65</f>
        <v>-665</v>
      </c>
      <c r="H30" s="4">
        <f>(H28+G30)</f>
        <v>22720</v>
      </c>
      <c r="I30" s="3" t="s">
        <v>39</v>
      </c>
    </row>
    <row r="31" spans="1:9" x14ac:dyDescent="0.25">
      <c r="A31" s="5">
        <v>45323</v>
      </c>
      <c r="B31" s="6">
        <v>0.53819444444444442</v>
      </c>
      <c r="C31" s="3" t="s">
        <v>31</v>
      </c>
      <c r="D31" s="3">
        <v>200</v>
      </c>
      <c r="E31" s="3" t="s">
        <v>34</v>
      </c>
      <c r="F31" s="3" t="s">
        <v>36</v>
      </c>
      <c r="G31" s="4">
        <f t="shared" si="2"/>
        <v>1435</v>
      </c>
      <c r="H31" s="4">
        <f t="shared" ref="H31:H44" si="3">(H30+G31)</f>
        <v>24155</v>
      </c>
      <c r="I31" s="3" t="s">
        <v>39</v>
      </c>
    </row>
    <row r="32" spans="1:9" x14ac:dyDescent="0.25">
      <c r="A32" s="5">
        <v>45324</v>
      </c>
      <c r="B32" s="6">
        <v>0.39583333333333331</v>
      </c>
      <c r="C32" s="3" t="s">
        <v>29</v>
      </c>
      <c r="D32" s="3">
        <v>-80</v>
      </c>
      <c r="E32" s="3" t="s">
        <v>35</v>
      </c>
      <c r="F32" s="3" t="s">
        <v>30</v>
      </c>
      <c r="G32" s="4">
        <f t="shared" si="2"/>
        <v>-665</v>
      </c>
      <c r="H32" s="4">
        <f t="shared" si="3"/>
        <v>23490</v>
      </c>
      <c r="I32" s="3" t="s">
        <v>39</v>
      </c>
    </row>
    <row r="33" spans="1:9" x14ac:dyDescent="0.25">
      <c r="A33" s="5">
        <v>45324</v>
      </c>
      <c r="B33" s="6">
        <v>0.48958333333333331</v>
      </c>
      <c r="C33" s="3" t="s">
        <v>31</v>
      </c>
      <c r="D33" s="3">
        <v>400</v>
      </c>
      <c r="E33" s="3" t="s">
        <v>35</v>
      </c>
      <c r="F33" s="3" t="s">
        <v>30</v>
      </c>
      <c r="G33" s="4">
        <f t="shared" si="2"/>
        <v>2935</v>
      </c>
      <c r="H33" s="4">
        <f t="shared" si="3"/>
        <v>26425</v>
      </c>
      <c r="I33" s="3" t="s">
        <v>39</v>
      </c>
    </row>
    <row r="34" spans="1:9" x14ac:dyDescent="0.25">
      <c r="A34" s="5">
        <v>45327</v>
      </c>
      <c r="B34" s="6">
        <v>0.51736111111111116</v>
      </c>
      <c r="C34" s="3" t="s">
        <v>29</v>
      </c>
      <c r="D34" s="3">
        <v>-40</v>
      </c>
      <c r="E34" s="3" t="s">
        <v>28</v>
      </c>
      <c r="F34" s="3" t="s">
        <v>36</v>
      </c>
      <c r="G34" s="4">
        <f t="shared" si="2"/>
        <v>-365</v>
      </c>
      <c r="H34" s="4">
        <f t="shared" si="3"/>
        <v>26060</v>
      </c>
      <c r="I34" s="3" t="s">
        <v>39</v>
      </c>
    </row>
    <row r="35" spans="1:9" x14ac:dyDescent="0.25">
      <c r="A35" s="5">
        <v>45327</v>
      </c>
      <c r="B35" s="6">
        <v>9.0277777777777776E-2</v>
      </c>
      <c r="C35" s="3" t="s">
        <v>31</v>
      </c>
      <c r="D35" s="3">
        <v>120</v>
      </c>
      <c r="E35" s="3" t="s">
        <v>28</v>
      </c>
      <c r="F35" s="3" t="s">
        <v>36</v>
      </c>
      <c r="G35" s="4">
        <f t="shared" si="2"/>
        <v>835</v>
      </c>
      <c r="H35" s="4">
        <f t="shared" si="3"/>
        <v>26895</v>
      </c>
      <c r="I35" s="3" t="s">
        <v>39</v>
      </c>
    </row>
    <row r="36" spans="1:9" x14ac:dyDescent="0.25">
      <c r="A36" s="5">
        <v>45329</v>
      </c>
      <c r="B36" s="6">
        <v>5.9027777777777776E-2</v>
      </c>
      <c r="C36" s="3" t="s">
        <v>29</v>
      </c>
      <c r="D36" s="3">
        <v>-40</v>
      </c>
      <c r="E36" s="3" t="s">
        <v>33</v>
      </c>
      <c r="F36" s="3" t="s">
        <v>36</v>
      </c>
      <c r="G36" s="4">
        <f t="shared" si="2"/>
        <v>-365</v>
      </c>
      <c r="H36" s="4">
        <f t="shared" si="3"/>
        <v>26530</v>
      </c>
      <c r="I36" s="3" t="s">
        <v>39</v>
      </c>
    </row>
    <row r="37" spans="1:9" x14ac:dyDescent="0.25">
      <c r="A37" s="5">
        <v>45329</v>
      </c>
      <c r="B37" s="6">
        <v>7.2916666666666671E-2</v>
      </c>
      <c r="C37" s="3" t="s">
        <v>29</v>
      </c>
      <c r="D37" s="3">
        <v>-44</v>
      </c>
      <c r="E37" s="3" t="s">
        <v>33</v>
      </c>
      <c r="F37" s="3" t="s">
        <v>36</v>
      </c>
      <c r="G37" s="4">
        <f t="shared" si="2"/>
        <v>-395</v>
      </c>
      <c r="H37" s="4">
        <f t="shared" si="3"/>
        <v>26135</v>
      </c>
      <c r="I37" s="3" t="s">
        <v>39</v>
      </c>
    </row>
    <row r="38" spans="1:9" x14ac:dyDescent="0.25">
      <c r="A38" s="5">
        <v>45330</v>
      </c>
      <c r="B38" s="6">
        <v>5.2083333333333336E-2</v>
      </c>
      <c r="C38" s="3" t="s">
        <v>29</v>
      </c>
      <c r="D38" s="3">
        <v>-42</v>
      </c>
      <c r="E38" s="3" t="s">
        <v>34</v>
      </c>
      <c r="F38" s="3" t="s">
        <v>36</v>
      </c>
      <c r="G38" s="4">
        <f t="shared" si="2"/>
        <v>-380</v>
      </c>
      <c r="H38" s="4">
        <f t="shared" si="3"/>
        <v>25755</v>
      </c>
      <c r="I38" s="3" t="s">
        <v>39</v>
      </c>
    </row>
    <row r="39" spans="1:9" x14ac:dyDescent="0.25">
      <c r="A39" s="5">
        <v>45330</v>
      </c>
      <c r="B39" s="6">
        <v>6.5972222222222224E-2</v>
      </c>
      <c r="C39" s="3" t="s">
        <v>31</v>
      </c>
      <c r="D39" s="3">
        <v>158</v>
      </c>
      <c r="E39" s="3" t="s">
        <v>34</v>
      </c>
      <c r="F39" s="3" t="s">
        <v>36</v>
      </c>
      <c r="G39" s="4">
        <f t="shared" si="2"/>
        <v>1120</v>
      </c>
      <c r="H39" s="4">
        <f t="shared" si="3"/>
        <v>26875</v>
      </c>
      <c r="I39" s="3" t="s">
        <v>39</v>
      </c>
    </row>
    <row r="40" spans="1:9" x14ac:dyDescent="0.25">
      <c r="A40" s="5">
        <v>45331</v>
      </c>
      <c r="B40" s="6">
        <v>0.10069444444444445</v>
      </c>
      <c r="C40" s="3" t="s">
        <v>29</v>
      </c>
      <c r="D40" s="3">
        <v>-53</v>
      </c>
      <c r="E40" s="3" t="s">
        <v>35</v>
      </c>
      <c r="F40" s="3" t="s">
        <v>36</v>
      </c>
      <c r="G40" s="4">
        <f t="shared" si="2"/>
        <v>-462.5</v>
      </c>
      <c r="H40" s="4">
        <f t="shared" si="3"/>
        <v>26412.5</v>
      </c>
      <c r="I40" s="3" t="s">
        <v>39</v>
      </c>
    </row>
    <row r="41" spans="1:9" x14ac:dyDescent="0.25">
      <c r="A41" s="5">
        <v>45334</v>
      </c>
      <c r="B41" s="6">
        <v>0.46875</v>
      </c>
      <c r="C41" s="3" t="s">
        <v>31</v>
      </c>
      <c r="D41" s="3">
        <v>152</v>
      </c>
      <c r="E41" s="3" t="s">
        <v>28</v>
      </c>
      <c r="F41" s="3" t="s">
        <v>30</v>
      </c>
      <c r="G41" s="4">
        <f t="shared" si="2"/>
        <v>1075</v>
      </c>
      <c r="H41" s="4">
        <f t="shared" si="3"/>
        <v>27487.5</v>
      </c>
      <c r="I41" s="3" t="s">
        <v>39</v>
      </c>
    </row>
    <row r="42" spans="1:9" x14ac:dyDescent="0.25">
      <c r="A42" s="5">
        <v>45335</v>
      </c>
      <c r="B42" s="6">
        <v>4.5138888888888888E-2</v>
      </c>
      <c r="C42" s="3" t="s">
        <v>29</v>
      </c>
      <c r="D42" s="3">
        <v>-61</v>
      </c>
      <c r="E42" s="3" t="s">
        <v>32</v>
      </c>
      <c r="F42" s="3" t="s">
        <v>36</v>
      </c>
      <c r="G42" s="4">
        <f t="shared" si="2"/>
        <v>-522.5</v>
      </c>
      <c r="H42" s="4">
        <f t="shared" si="3"/>
        <v>26965</v>
      </c>
      <c r="I42" s="3" t="s">
        <v>39</v>
      </c>
    </row>
    <row r="43" spans="1:9" x14ac:dyDescent="0.25">
      <c r="A43" s="5">
        <v>45335</v>
      </c>
      <c r="B43" s="6">
        <v>0.125</v>
      </c>
      <c r="C43" s="3" t="s">
        <v>31</v>
      </c>
      <c r="D43" s="3">
        <v>153</v>
      </c>
      <c r="E43" s="3" t="s">
        <v>32</v>
      </c>
      <c r="F43" s="3" t="s">
        <v>36</v>
      </c>
      <c r="G43" s="4">
        <f t="shared" si="2"/>
        <v>1082.5</v>
      </c>
      <c r="H43" s="4">
        <f t="shared" si="3"/>
        <v>28047.5</v>
      </c>
      <c r="I43" s="3" t="s">
        <v>39</v>
      </c>
    </row>
    <row r="44" spans="1:9" x14ac:dyDescent="0.25">
      <c r="A44" s="5">
        <v>45336</v>
      </c>
      <c r="B44" s="6">
        <v>0.43402777777777779</v>
      </c>
      <c r="C44" s="3" t="s">
        <v>29</v>
      </c>
      <c r="D44" s="3">
        <v>-77</v>
      </c>
      <c r="E44" s="3" t="s">
        <v>33</v>
      </c>
      <c r="F44" s="3" t="s">
        <v>30</v>
      </c>
      <c r="G44" s="4">
        <f t="shared" si="2"/>
        <v>-642.5</v>
      </c>
      <c r="H44" s="4">
        <f t="shared" si="3"/>
        <v>27405</v>
      </c>
      <c r="I44" s="3" t="s">
        <v>39</v>
      </c>
    </row>
    <row r="45" spans="1:9" x14ac:dyDescent="0.25">
      <c r="A45" s="5">
        <v>45336</v>
      </c>
      <c r="B45" s="6">
        <v>0.52430555555555558</v>
      </c>
      <c r="C45" s="3" t="s">
        <v>29</v>
      </c>
      <c r="D45" s="3">
        <v>-66</v>
      </c>
      <c r="E45" s="3" t="s">
        <v>33</v>
      </c>
      <c r="F45" s="3" t="s">
        <v>36</v>
      </c>
      <c r="G45" s="4">
        <f t="shared" ref="G45:G46" si="4">(D45/2)*15-65</f>
        <v>-560</v>
      </c>
      <c r="H45" s="4">
        <f t="shared" ref="H45:H46" si="5">(H44+G45)</f>
        <v>26845</v>
      </c>
      <c r="I45" s="3" t="s">
        <v>39</v>
      </c>
    </row>
    <row r="46" spans="1:9" x14ac:dyDescent="0.25">
      <c r="A46" s="5">
        <v>45336</v>
      </c>
      <c r="B46" s="6">
        <v>4.8611111111111112E-2</v>
      </c>
      <c r="C46" s="3" t="s">
        <v>31</v>
      </c>
      <c r="D46" s="3">
        <v>240</v>
      </c>
      <c r="E46" s="3" t="s">
        <v>33</v>
      </c>
      <c r="F46" s="3" t="s">
        <v>36</v>
      </c>
      <c r="G46" s="4">
        <f t="shared" si="4"/>
        <v>1735</v>
      </c>
      <c r="H46" s="4">
        <f t="shared" si="5"/>
        <v>28580</v>
      </c>
      <c r="I46" s="3" t="s">
        <v>39</v>
      </c>
    </row>
    <row r="47" spans="1:9" x14ac:dyDescent="0.25">
      <c r="A47" s="5">
        <v>45338</v>
      </c>
      <c r="B47" s="6">
        <v>7.9861111111111105E-2</v>
      </c>
      <c r="C47" s="3" t="s">
        <v>31</v>
      </c>
      <c r="D47" s="3">
        <v>240</v>
      </c>
      <c r="E47" s="3" t="s">
        <v>35</v>
      </c>
      <c r="F47" s="3" t="s">
        <v>36</v>
      </c>
      <c r="G47" s="4">
        <f t="shared" ref="G47:G55" si="6">(D47/2)*15-65</f>
        <v>1735</v>
      </c>
      <c r="H47" s="4">
        <f t="shared" ref="H47:H55" si="7">(H46+G47)</f>
        <v>30315</v>
      </c>
      <c r="I47" s="3" t="s">
        <v>39</v>
      </c>
    </row>
    <row r="48" spans="1:9" x14ac:dyDescent="0.25">
      <c r="A48" s="5">
        <v>45341</v>
      </c>
      <c r="B48" s="6">
        <v>9.0277777777777776E-2</v>
      </c>
      <c r="C48" s="3" t="s">
        <v>31</v>
      </c>
      <c r="D48" s="3">
        <v>134</v>
      </c>
      <c r="E48" s="3" t="s">
        <v>28</v>
      </c>
      <c r="F48" s="3" t="s">
        <v>36</v>
      </c>
      <c r="G48" s="4">
        <f t="shared" si="6"/>
        <v>940</v>
      </c>
      <c r="H48" s="4">
        <f t="shared" si="7"/>
        <v>31255</v>
      </c>
      <c r="I48" s="3" t="s">
        <v>39</v>
      </c>
    </row>
    <row r="49" spans="1:9" x14ac:dyDescent="0.25">
      <c r="A49" s="5">
        <v>45342</v>
      </c>
      <c r="B49" s="6">
        <v>0.1111111111111111</v>
      </c>
      <c r="C49" s="3" t="s">
        <v>29</v>
      </c>
      <c r="D49" s="3">
        <v>-40</v>
      </c>
      <c r="E49" s="3" t="s">
        <v>32</v>
      </c>
      <c r="F49" s="3" t="s">
        <v>36</v>
      </c>
      <c r="G49" s="4">
        <f t="shared" si="6"/>
        <v>-365</v>
      </c>
      <c r="H49" s="4">
        <f t="shared" si="7"/>
        <v>30890</v>
      </c>
      <c r="I49" s="3" t="s">
        <v>39</v>
      </c>
    </row>
    <row r="50" spans="1:9" x14ac:dyDescent="0.25">
      <c r="A50" s="5">
        <v>45343</v>
      </c>
      <c r="B50" s="6">
        <v>0.4201388888888889</v>
      </c>
      <c r="C50" s="3" t="s">
        <v>31</v>
      </c>
      <c r="D50" s="3">
        <v>197</v>
      </c>
      <c r="E50" s="3" t="s">
        <v>33</v>
      </c>
      <c r="F50" s="3" t="s">
        <v>30</v>
      </c>
      <c r="G50" s="4">
        <f t="shared" si="6"/>
        <v>1412.5</v>
      </c>
      <c r="H50" s="4">
        <f t="shared" si="7"/>
        <v>32302.5</v>
      </c>
      <c r="I50" s="3" t="s">
        <v>39</v>
      </c>
    </row>
    <row r="51" spans="1:9" x14ac:dyDescent="0.25">
      <c r="A51" s="5">
        <v>45348</v>
      </c>
      <c r="B51" s="6">
        <v>0.52777777777777779</v>
      </c>
      <c r="C51" s="3" t="s">
        <v>29</v>
      </c>
      <c r="D51" s="3">
        <v>-50</v>
      </c>
      <c r="E51" s="3" t="s">
        <v>28</v>
      </c>
      <c r="F51" s="3" t="s">
        <v>36</v>
      </c>
      <c r="G51" s="4">
        <f t="shared" si="6"/>
        <v>-440</v>
      </c>
      <c r="H51" s="4">
        <f t="shared" si="7"/>
        <v>31862.5</v>
      </c>
      <c r="I51" s="3" t="s">
        <v>39</v>
      </c>
    </row>
    <row r="52" spans="1:9" x14ac:dyDescent="0.25">
      <c r="A52" s="5">
        <v>45348</v>
      </c>
      <c r="B52" s="6">
        <v>5.5555555555555552E-2</v>
      </c>
      <c r="C52" s="3" t="s">
        <v>31</v>
      </c>
      <c r="D52" s="3">
        <v>150</v>
      </c>
      <c r="E52" s="3" t="s">
        <v>28</v>
      </c>
      <c r="F52" s="3" t="s">
        <v>36</v>
      </c>
      <c r="G52" s="4">
        <f t="shared" si="6"/>
        <v>1060</v>
      </c>
      <c r="H52" s="4">
        <f t="shared" si="7"/>
        <v>32922.5</v>
      </c>
      <c r="I52" s="3" t="s">
        <v>39</v>
      </c>
    </row>
    <row r="53" spans="1:9" x14ac:dyDescent="0.25">
      <c r="A53" s="5">
        <v>45349</v>
      </c>
      <c r="B53" s="6">
        <v>0.4826388888888889</v>
      </c>
      <c r="C53" s="3" t="s">
        <v>29</v>
      </c>
      <c r="D53" s="3">
        <v>-40</v>
      </c>
      <c r="E53" s="3" t="s">
        <v>32</v>
      </c>
      <c r="F53" s="3" t="s">
        <v>30</v>
      </c>
      <c r="G53" s="4">
        <f t="shared" si="6"/>
        <v>-365</v>
      </c>
      <c r="H53" s="4">
        <f t="shared" si="7"/>
        <v>32557.5</v>
      </c>
      <c r="I53" s="3" t="s">
        <v>39</v>
      </c>
    </row>
    <row r="54" spans="1:9" x14ac:dyDescent="0.25">
      <c r="A54" s="5">
        <v>45349</v>
      </c>
      <c r="B54" s="6">
        <v>9.7222222222222224E-2</v>
      </c>
      <c r="C54" s="3" t="s">
        <v>29</v>
      </c>
      <c r="D54" s="3">
        <v>-40</v>
      </c>
      <c r="E54" s="3" t="s">
        <v>32</v>
      </c>
      <c r="F54" s="3" t="s">
        <v>36</v>
      </c>
      <c r="G54" s="4">
        <f t="shared" si="6"/>
        <v>-365</v>
      </c>
      <c r="H54" s="4">
        <f t="shared" si="7"/>
        <v>32192.5</v>
      </c>
      <c r="I54" s="3" t="s">
        <v>39</v>
      </c>
    </row>
    <row r="55" spans="1:9" x14ac:dyDescent="0.25">
      <c r="A55" s="5">
        <v>45350</v>
      </c>
      <c r="B55" s="6">
        <v>0.4375</v>
      </c>
      <c r="C55" s="3" t="s">
        <v>31</v>
      </c>
      <c r="D55" s="3">
        <v>270</v>
      </c>
      <c r="E55" s="3" t="s">
        <v>33</v>
      </c>
      <c r="F55" s="3" t="s">
        <v>30</v>
      </c>
      <c r="G55" s="4">
        <f t="shared" si="6"/>
        <v>1960</v>
      </c>
      <c r="H55" s="4">
        <f t="shared" si="7"/>
        <v>34152.5</v>
      </c>
      <c r="I55" s="3" t="s">
        <v>39</v>
      </c>
    </row>
    <row r="56" spans="1:9" x14ac:dyDescent="0.25">
      <c r="A56" s="5">
        <v>45352</v>
      </c>
      <c r="B56" s="6">
        <v>0.41319444444444442</v>
      </c>
      <c r="C56" s="3" t="s">
        <v>29</v>
      </c>
      <c r="D56" s="3">
        <v>-45</v>
      </c>
      <c r="E56" s="3" t="s">
        <v>35</v>
      </c>
      <c r="F56" s="3" t="s">
        <v>30</v>
      </c>
      <c r="G56" s="4">
        <f t="shared" ref="G56:G69" si="8">(D56/2)*15-65</f>
        <v>-402.5</v>
      </c>
      <c r="H56" s="4">
        <f t="shared" ref="H56:H69" si="9">(H55+G56)</f>
        <v>33750</v>
      </c>
      <c r="I56" s="3" t="s">
        <v>41</v>
      </c>
    </row>
    <row r="57" spans="1:9" x14ac:dyDescent="0.25">
      <c r="A57" s="5">
        <v>45355</v>
      </c>
      <c r="B57" s="6">
        <v>0.44791666666666669</v>
      </c>
      <c r="C57" s="3" t="s">
        <v>31</v>
      </c>
      <c r="D57" s="3">
        <v>182</v>
      </c>
      <c r="E57" s="3" t="s">
        <v>28</v>
      </c>
      <c r="F57" s="3" t="s">
        <v>30</v>
      </c>
      <c r="G57" s="4">
        <f t="shared" si="8"/>
        <v>1300</v>
      </c>
      <c r="H57" s="4">
        <f t="shared" si="9"/>
        <v>35050</v>
      </c>
      <c r="I57" s="3" t="s">
        <v>41</v>
      </c>
    </row>
    <row r="58" spans="1:9" x14ac:dyDescent="0.25">
      <c r="A58" s="5">
        <v>45356</v>
      </c>
      <c r="B58" s="6">
        <v>4.5138888888888888E-2</v>
      </c>
      <c r="C58" s="3" t="s">
        <v>29</v>
      </c>
      <c r="D58" s="3">
        <v>-40</v>
      </c>
      <c r="E58" s="3" t="s">
        <v>32</v>
      </c>
      <c r="F58" s="3" t="s">
        <v>36</v>
      </c>
      <c r="G58" s="4">
        <f t="shared" si="8"/>
        <v>-365</v>
      </c>
      <c r="H58" s="4">
        <f t="shared" si="9"/>
        <v>34685</v>
      </c>
      <c r="I58" s="3" t="s">
        <v>41</v>
      </c>
    </row>
    <row r="59" spans="1:9" x14ac:dyDescent="0.25">
      <c r="A59" s="5">
        <v>45357</v>
      </c>
      <c r="B59" s="6">
        <v>9.375E-2</v>
      </c>
      <c r="C59" s="3" t="s">
        <v>29</v>
      </c>
      <c r="D59" s="3">
        <v>-30</v>
      </c>
      <c r="E59" s="3" t="s">
        <v>33</v>
      </c>
      <c r="F59" s="3" t="s">
        <v>36</v>
      </c>
      <c r="G59" s="4">
        <f t="shared" si="8"/>
        <v>-290</v>
      </c>
      <c r="H59" s="4">
        <f t="shared" si="9"/>
        <v>34395</v>
      </c>
      <c r="I59" s="3" t="s">
        <v>41</v>
      </c>
    </row>
    <row r="60" spans="1:9" x14ac:dyDescent="0.25">
      <c r="A60" s="5">
        <v>45358</v>
      </c>
      <c r="B60" s="6">
        <v>0.1076388888888889</v>
      </c>
      <c r="C60" s="3" t="s">
        <v>31</v>
      </c>
      <c r="D60" s="3">
        <v>146</v>
      </c>
      <c r="E60" s="3" t="s">
        <v>34</v>
      </c>
      <c r="F60" s="3" t="s">
        <v>36</v>
      </c>
      <c r="G60" s="4">
        <f t="shared" si="8"/>
        <v>1030</v>
      </c>
      <c r="H60" s="4">
        <f t="shared" si="9"/>
        <v>35425</v>
      </c>
      <c r="I60" s="3" t="s">
        <v>41</v>
      </c>
    </row>
    <row r="61" spans="1:9" x14ac:dyDescent="0.25">
      <c r="A61" s="5">
        <v>45362</v>
      </c>
      <c r="B61" s="6">
        <v>0.53125</v>
      </c>
      <c r="C61" s="3" t="s">
        <v>31</v>
      </c>
      <c r="D61" s="3">
        <v>122</v>
      </c>
      <c r="E61" s="3" t="s">
        <v>28</v>
      </c>
      <c r="F61" s="3" t="s">
        <v>36</v>
      </c>
      <c r="G61" s="4">
        <f t="shared" si="8"/>
        <v>850</v>
      </c>
      <c r="H61" s="4">
        <f t="shared" si="9"/>
        <v>36275</v>
      </c>
      <c r="I61" s="3" t="s">
        <v>41</v>
      </c>
    </row>
    <row r="62" spans="1:9" x14ac:dyDescent="0.25">
      <c r="A62" s="5">
        <v>45363</v>
      </c>
      <c r="B62" s="6">
        <v>0.4201388888888889</v>
      </c>
      <c r="C62" s="3" t="s">
        <v>31</v>
      </c>
      <c r="D62" s="3">
        <v>665</v>
      </c>
      <c r="E62" s="3" t="s">
        <v>32</v>
      </c>
      <c r="F62" s="3" t="s">
        <v>30</v>
      </c>
      <c r="G62" s="4">
        <f t="shared" si="8"/>
        <v>4922.5</v>
      </c>
      <c r="H62" s="4">
        <f t="shared" si="9"/>
        <v>41197.5</v>
      </c>
      <c r="I62" s="3" t="s">
        <v>41</v>
      </c>
    </row>
    <row r="63" spans="1:9" x14ac:dyDescent="0.25">
      <c r="A63" s="5">
        <v>45365</v>
      </c>
      <c r="B63" s="6">
        <v>0.45833333333333331</v>
      </c>
      <c r="C63" s="3" t="s">
        <v>29</v>
      </c>
      <c r="D63" s="3">
        <v>-60</v>
      </c>
      <c r="E63" s="3" t="s">
        <v>34</v>
      </c>
      <c r="F63" s="3" t="s">
        <v>30</v>
      </c>
      <c r="G63" s="4">
        <f t="shared" si="8"/>
        <v>-515</v>
      </c>
      <c r="H63" s="4">
        <f t="shared" si="9"/>
        <v>40682.5</v>
      </c>
      <c r="I63" s="3" t="s">
        <v>41</v>
      </c>
    </row>
    <row r="64" spans="1:9" x14ac:dyDescent="0.25">
      <c r="A64" s="5">
        <v>45365</v>
      </c>
      <c r="B64" s="6">
        <v>4.1666666666666664E-2</v>
      </c>
      <c r="C64" s="3" t="s">
        <v>31</v>
      </c>
      <c r="D64" s="3">
        <v>168</v>
      </c>
      <c r="E64" s="3" t="s">
        <v>34</v>
      </c>
      <c r="F64" s="3" t="s">
        <v>36</v>
      </c>
      <c r="G64" s="4">
        <f t="shared" si="8"/>
        <v>1195</v>
      </c>
      <c r="H64" s="4">
        <f t="shared" si="9"/>
        <v>41877.5</v>
      </c>
      <c r="I64" s="3" t="s">
        <v>41</v>
      </c>
    </row>
    <row r="65" spans="1:9" x14ac:dyDescent="0.25">
      <c r="A65" s="5">
        <v>45366</v>
      </c>
      <c r="B65" s="6">
        <v>0.4548611111111111</v>
      </c>
      <c r="C65" s="3" t="s">
        <v>31</v>
      </c>
      <c r="D65" s="3">
        <v>163</v>
      </c>
      <c r="E65" s="3" t="s">
        <v>35</v>
      </c>
      <c r="F65" s="3" t="s">
        <v>30</v>
      </c>
      <c r="G65" s="4">
        <f t="shared" si="8"/>
        <v>1157.5</v>
      </c>
      <c r="H65" s="4">
        <f t="shared" si="9"/>
        <v>43035</v>
      </c>
      <c r="I65" s="3" t="s">
        <v>41</v>
      </c>
    </row>
    <row r="66" spans="1:9" x14ac:dyDescent="0.25">
      <c r="A66" s="5">
        <v>45370</v>
      </c>
      <c r="B66" s="6">
        <v>0.47569444444444442</v>
      </c>
      <c r="C66" s="3" t="s">
        <v>29</v>
      </c>
      <c r="D66" s="3">
        <v>-40</v>
      </c>
      <c r="E66" s="3" t="s">
        <v>32</v>
      </c>
      <c r="F66" s="3" t="s">
        <v>30</v>
      </c>
      <c r="G66" s="4">
        <f t="shared" si="8"/>
        <v>-365</v>
      </c>
      <c r="H66" s="4">
        <f t="shared" si="9"/>
        <v>42670</v>
      </c>
      <c r="I66" s="3" t="s">
        <v>41</v>
      </c>
    </row>
    <row r="67" spans="1:9" x14ac:dyDescent="0.25">
      <c r="A67" s="5">
        <v>45371</v>
      </c>
      <c r="B67" s="6">
        <v>0.53819444444444442</v>
      </c>
      <c r="C67" s="3" t="s">
        <v>29</v>
      </c>
      <c r="D67" s="3">
        <v>-40</v>
      </c>
      <c r="E67" s="3" t="s">
        <v>33</v>
      </c>
      <c r="F67" s="3" t="s">
        <v>36</v>
      </c>
      <c r="G67" s="4">
        <f t="shared" si="8"/>
        <v>-365</v>
      </c>
      <c r="H67" s="4">
        <f t="shared" si="9"/>
        <v>42305</v>
      </c>
      <c r="I67" s="3" t="s">
        <v>41</v>
      </c>
    </row>
    <row r="68" spans="1:9" x14ac:dyDescent="0.25">
      <c r="A68" s="5">
        <v>45371</v>
      </c>
      <c r="B68" s="6">
        <v>6.25E-2</v>
      </c>
      <c r="C68" s="3" t="s">
        <v>31</v>
      </c>
      <c r="D68" s="3">
        <v>201</v>
      </c>
      <c r="E68" s="3" t="s">
        <v>33</v>
      </c>
      <c r="F68" s="3" t="s">
        <v>36</v>
      </c>
      <c r="G68" s="4">
        <f t="shared" si="8"/>
        <v>1442.5</v>
      </c>
      <c r="H68" s="4">
        <f t="shared" si="9"/>
        <v>43747.5</v>
      </c>
      <c r="I68" s="3" t="s">
        <v>41</v>
      </c>
    </row>
    <row r="69" spans="1:9" x14ac:dyDescent="0.25">
      <c r="A69" s="5">
        <v>45377</v>
      </c>
      <c r="B69" s="6">
        <v>0.49305555555555558</v>
      </c>
      <c r="C69" s="3" t="s">
        <v>31</v>
      </c>
      <c r="D69" s="3">
        <v>90</v>
      </c>
      <c r="E69" s="3" t="s">
        <v>32</v>
      </c>
      <c r="F69" s="3" t="s">
        <v>30</v>
      </c>
      <c r="G69" s="4">
        <f t="shared" si="8"/>
        <v>610</v>
      </c>
      <c r="H69" s="4">
        <f t="shared" si="9"/>
        <v>44357.5</v>
      </c>
      <c r="I69" s="3" t="s">
        <v>41</v>
      </c>
    </row>
    <row r="70" spans="1:9" x14ac:dyDescent="0.25">
      <c r="A70" s="5">
        <v>45383</v>
      </c>
      <c r="B70" s="6">
        <v>0.40277777777777779</v>
      </c>
      <c r="C70" s="3" t="s">
        <v>29</v>
      </c>
      <c r="D70" s="3">
        <v>-64</v>
      </c>
      <c r="E70" s="3" t="s">
        <v>28</v>
      </c>
      <c r="F70" s="3" t="s">
        <v>30</v>
      </c>
      <c r="G70" s="4">
        <f t="shared" ref="G70:G78" si="10">(D70/2)*15-65</f>
        <v>-545</v>
      </c>
      <c r="H70" s="4">
        <f t="shared" ref="H70:H78" si="11">(H69+G70)</f>
        <v>43812.5</v>
      </c>
      <c r="I70" s="3" t="s">
        <v>42</v>
      </c>
    </row>
    <row r="71" spans="1:9" x14ac:dyDescent="0.25">
      <c r="A71" s="5">
        <v>45384</v>
      </c>
      <c r="B71" s="6">
        <v>0.53125</v>
      </c>
      <c r="C71" s="3" t="s">
        <v>31</v>
      </c>
      <c r="D71" s="3">
        <v>120</v>
      </c>
      <c r="E71" s="3" t="s">
        <v>32</v>
      </c>
      <c r="F71" s="3" t="s">
        <v>36</v>
      </c>
      <c r="G71" s="4">
        <f t="shared" si="10"/>
        <v>835</v>
      </c>
      <c r="H71" s="4">
        <f t="shared" si="11"/>
        <v>44647.5</v>
      </c>
      <c r="I71" s="3" t="s">
        <v>42</v>
      </c>
    </row>
    <row r="72" spans="1:9" x14ac:dyDescent="0.25">
      <c r="A72" s="5">
        <v>45385</v>
      </c>
      <c r="B72" s="6">
        <v>0.51388888888888884</v>
      </c>
      <c r="C72" s="3" t="s">
        <v>31</v>
      </c>
      <c r="D72" s="3">
        <v>120</v>
      </c>
      <c r="E72" s="3" t="s">
        <v>33</v>
      </c>
      <c r="F72" s="3" t="s">
        <v>36</v>
      </c>
      <c r="G72" s="4">
        <f t="shared" si="10"/>
        <v>835</v>
      </c>
      <c r="H72" s="4">
        <f t="shared" si="11"/>
        <v>45482.5</v>
      </c>
      <c r="I72" s="3" t="s">
        <v>42</v>
      </c>
    </row>
    <row r="73" spans="1:9" x14ac:dyDescent="0.25">
      <c r="A73" s="5">
        <v>45386</v>
      </c>
      <c r="B73" s="6">
        <v>0.3923611111111111</v>
      </c>
      <c r="C73" s="3" t="s">
        <v>31</v>
      </c>
      <c r="D73" s="3">
        <v>145</v>
      </c>
      <c r="E73" s="3" t="s">
        <v>34</v>
      </c>
      <c r="F73" s="3" t="s">
        <v>30</v>
      </c>
      <c r="G73" s="4">
        <f t="shared" si="10"/>
        <v>1022.5</v>
      </c>
      <c r="H73" s="4">
        <f t="shared" si="11"/>
        <v>46505</v>
      </c>
      <c r="I73" s="3" t="s">
        <v>42</v>
      </c>
    </row>
    <row r="74" spans="1:9" x14ac:dyDescent="0.25">
      <c r="A74" s="5">
        <v>45387</v>
      </c>
      <c r="B74" s="6">
        <v>9.0277777777777776E-2</v>
      </c>
      <c r="C74" s="3" t="s">
        <v>29</v>
      </c>
      <c r="D74" s="3">
        <v>-48</v>
      </c>
      <c r="E74" s="3" t="s">
        <v>35</v>
      </c>
      <c r="F74" s="3" t="s">
        <v>36</v>
      </c>
      <c r="G74" s="4">
        <f t="shared" si="10"/>
        <v>-425</v>
      </c>
      <c r="H74" s="4">
        <f t="shared" si="11"/>
        <v>46080</v>
      </c>
      <c r="I74" s="3" t="s">
        <v>42</v>
      </c>
    </row>
    <row r="75" spans="1:9" x14ac:dyDescent="0.25">
      <c r="A75" s="5">
        <v>45390</v>
      </c>
      <c r="B75" s="6">
        <v>0.51736111111111116</v>
      </c>
      <c r="C75" s="3" t="s">
        <v>29</v>
      </c>
      <c r="D75" s="3">
        <v>-30</v>
      </c>
      <c r="E75" s="3" t="s">
        <v>28</v>
      </c>
      <c r="F75" s="3" t="s">
        <v>36</v>
      </c>
      <c r="G75" s="4">
        <f t="shared" si="10"/>
        <v>-290</v>
      </c>
      <c r="H75" s="4">
        <f t="shared" si="11"/>
        <v>45790</v>
      </c>
      <c r="I75" s="3" t="s">
        <v>42</v>
      </c>
    </row>
    <row r="76" spans="1:9" x14ac:dyDescent="0.25">
      <c r="A76" s="5">
        <v>45390</v>
      </c>
      <c r="B76" s="6">
        <v>0.53125</v>
      </c>
      <c r="C76" s="3" t="s">
        <v>29</v>
      </c>
      <c r="D76" s="3">
        <v>-30</v>
      </c>
      <c r="E76" s="3" t="s">
        <v>28</v>
      </c>
      <c r="F76" s="3" t="s">
        <v>36</v>
      </c>
      <c r="G76" s="4">
        <f t="shared" si="10"/>
        <v>-290</v>
      </c>
      <c r="H76" s="4">
        <f t="shared" si="11"/>
        <v>45500</v>
      </c>
      <c r="I76" s="3" t="s">
        <v>42</v>
      </c>
    </row>
    <row r="77" spans="1:9" x14ac:dyDescent="0.25">
      <c r="A77" s="5">
        <v>45390</v>
      </c>
      <c r="B77" s="6">
        <v>5.9027777777777776E-2</v>
      </c>
      <c r="C77" s="3" t="s">
        <v>31</v>
      </c>
      <c r="D77" s="3">
        <v>150</v>
      </c>
      <c r="E77" s="3" t="s">
        <v>28</v>
      </c>
      <c r="F77" s="3" t="s">
        <v>36</v>
      </c>
      <c r="G77" s="4">
        <f t="shared" si="10"/>
        <v>1060</v>
      </c>
      <c r="H77" s="4">
        <f t="shared" si="11"/>
        <v>46560</v>
      </c>
      <c r="I77" s="3" t="s">
        <v>42</v>
      </c>
    </row>
    <row r="78" spans="1:9" x14ac:dyDescent="0.25">
      <c r="A78" s="5">
        <v>45391</v>
      </c>
      <c r="B78" s="6">
        <v>0.44791666666666669</v>
      </c>
      <c r="C78" s="3" t="s">
        <v>29</v>
      </c>
      <c r="D78" s="3">
        <v>-49</v>
      </c>
      <c r="E78" s="3" t="s">
        <v>32</v>
      </c>
      <c r="F78" s="3" t="s">
        <v>30</v>
      </c>
      <c r="G78" s="4">
        <f t="shared" si="10"/>
        <v>-432.5</v>
      </c>
      <c r="H78" s="4">
        <f t="shared" si="11"/>
        <v>46127.5</v>
      </c>
      <c r="I78" s="3" t="s">
        <v>42</v>
      </c>
    </row>
    <row r="79" spans="1:9" x14ac:dyDescent="0.25">
      <c r="A79" s="5">
        <v>45397</v>
      </c>
      <c r="B79" s="6">
        <v>0.46180555555555558</v>
      </c>
      <c r="C79" s="3" t="s">
        <v>29</v>
      </c>
      <c r="D79" s="3">
        <v>-40</v>
      </c>
      <c r="E79" s="3" t="s">
        <v>28</v>
      </c>
      <c r="F79" s="3" t="s">
        <v>30</v>
      </c>
      <c r="G79" s="4">
        <f t="shared" ref="G79:G84" si="12">(D79/2)*15-65</f>
        <v>-365</v>
      </c>
      <c r="H79" s="4">
        <f>(H78+G79)</f>
        <v>45762.5</v>
      </c>
      <c r="I79" s="3" t="s">
        <v>42</v>
      </c>
    </row>
    <row r="80" spans="1:9" x14ac:dyDescent="0.25">
      <c r="A80" s="5">
        <v>45400</v>
      </c>
      <c r="B80" s="6">
        <v>0.39583333333333331</v>
      </c>
      <c r="C80" s="3" t="s">
        <v>31</v>
      </c>
      <c r="D80" s="3">
        <v>162</v>
      </c>
      <c r="E80" s="3" t="s">
        <v>34</v>
      </c>
      <c r="F80" s="3" t="s">
        <v>30</v>
      </c>
      <c r="G80" s="4">
        <f t="shared" si="12"/>
        <v>1150</v>
      </c>
      <c r="H80" s="4">
        <f>(H79+G80)</f>
        <v>46912.5</v>
      </c>
      <c r="I80" s="3" t="s">
        <v>42</v>
      </c>
    </row>
    <row r="81" spans="1:9" x14ac:dyDescent="0.25">
      <c r="A81" s="5">
        <v>45401</v>
      </c>
      <c r="B81" s="6">
        <v>0.49305555555555558</v>
      </c>
      <c r="C81" s="3" t="s">
        <v>29</v>
      </c>
      <c r="D81" s="3">
        <v>-40</v>
      </c>
      <c r="E81" s="3" t="s">
        <v>35</v>
      </c>
      <c r="F81" s="3" t="s">
        <v>30</v>
      </c>
      <c r="G81" s="4">
        <f t="shared" si="12"/>
        <v>-365</v>
      </c>
      <c r="H81" s="4">
        <f>(H79+G81)</f>
        <v>45397.5</v>
      </c>
      <c r="I81" s="3" t="s">
        <v>42</v>
      </c>
    </row>
    <row r="82" spans="1:9" x14ac:dyDescent="0.25">
      <c r="A82" s="5">
        <v>45404</v>
      </c>
      <c r="B82" s="6">
        <v>0.39930555555555558</v>
      </c>
      <c r="C82" s="3" t="s">
        <v>29</v>
      </c>
      <c r="D82" s="3">
        <v>-55</v>
      </c>
      <c r="E82" s="3" t="s">
        <v>28</v>
      </c>
      <c r="F82" s="3" t="s">
        <v>30</v>
      </c>
      <c r="G82" s="4">
        <f t="shared" si="12"/>
        <v>-477.5</v>
      </c>
      <c r="H82" s="4">
        <f>(H79+G82)</f>
        <v>45285</v>
      </c>
      <c r="I82" s="3" t="s">
        <v>42</v>
      </c>
    </row>
    <row r="83" spans="1:9" x14ac:dyDescent="0.25">
      <c r="A83" s="5">
        <v>45404</v>
      </c>
      <c r="B83" s="6">
        <v>0.43402777777777779</v>
      </c>
      <c r="C83" s="3" t="s">
        <v>29</v>
      </c>
      <c r="D83" s="3">
        <v>-50</v>
      </c>
      <c r="E83" s="3" t="s">
        <v>28</v>
      </c>
      <c r="F83" s="3" t="s">
        <v>30</v>
      </c>
      <c r="G83" s="4">
        <f t="shared" si="12"/>
        <v>-440</v>
      </c>
      <c r="H83" s="4">
        <f t="shared" ref="H83:H88" si="13">(H82+G83)</f>
        <v>44845</v>
      </c>
      <c r="I83" s="3" t="s">
        <v>42</v>
      </c>
    </row>
    <row r="84" spans="1:9" x14ac:dyDescent="0.25">
      <c r="A84" s="5">
        <v>45404</v>
      </c>
      <c r="B84" s="6">
        <v>0.11805555555555555</v>
      </c>
      <c r="C84" s="3" t="s">
        <v>29</v>
      </c>
      <c r="D84" s="3">
        <v>-55</v>
      </c>
      <c r="E84" s="3" t="s">
        <v>28</v>
      </c>
      <c r="F84" s="3" t="s">
        <v>36</v>
      </c>
      <c r="G84" s="4">
        <f t="shared" si="12"/>
        <v>-477.5</v>
      </c>
      <c r="H84" s="4">
        <f t="shared" si="13"/>
        <v>44367.5</v>
      </c>
      <c r="I84" s="3" t="s">
        <v>42</v>
      </c>
    </row>
    <row r="85" spans="1:9" x14ac:dyDescent="0.25">
      <c r="A85" s="5">
        <v>45405</v>
      </c>
      <c r="B85" s="6">
        <v>0.52083333333333337</v>
      </c>
      <c r="C85" s="3" t="s">
        <v>31</v>
      </c>
      <c r="D85" s="3">
        <v>122</v>
      </c>
      <c r="E85" s="3" t="s">
        <v>32</v>
      </c>
      <c r="F85" s="3" t="s">
        <v>36</v>
      </c>
      <c r="G85" s="4">
        <f t="shared" ref="G85:G90" si="14">(D85/2)*15-65</f>
        <v>850</v>
      </c>
      <c r="H85" s="4">
        <f t="shared" si="13"/>
        <v>45217.5</v>
      </c>
      <c r="I85" s="3" t="s">
        <v>42</v>
      </c>
    </row>
    <row r="86" spans="1:9" x14ac:dyDescent="0.25">
      <c r="A86" s="5">
        <v>45406</v>
      </c>
      <c r="B86" s="6">
        <v>0.43402777777777779</v>
      </c>
      <c r="C86" s="3" t="s">
        <v>29</v>
      </c>
      <c r="D86" s="3">
        <v>-42</v>
      </c>
      <c r="E86" s="3" t="s">
        <v>33</v>
      </c>
      <c r="F86" s="3" t="s">
        <v>30</v>
      </c>
      <c r="G86" s="4">
        <f t="shared" si="14"/>
        <v>-380</v>
      </c>
      <c r="H86" s="4">
        <f t="shared" si="13"/>
        <v>44837.5</v>
      </c>
      <c r="I86" s="3" t="s">
        <v>42</v>
      </c>
    </row>
    <row r="87" spans="1:9" x14ac:dyDescent="0.25">
      <c r="A87" s="5">
        <v>45407</v>
      </c>
      <c r="B87" s="6">
        <v>0.43402777777777779</v>
      </c>
      <c r="C87" s="3" t="s">
        <v>31</v>
      </c>
      <c r="D87" s="3">
        <v>65</v>
      </c>
      <c r="E87" s="3" t="s">
        <v>34</v>
      </c>
      <c r="F87" s="3" t="s">
        <v>30</v>
      </c>
      <c r="G87" s="4">
        <f t="shared" si="14"/>
        <v>422.5</v>
      </c>
      <c r="H87" s="4">
        <f t="shared" si="13"/>
        <v>45260</v>
      </c>
      <c r="I87" s="3" t="s">
        <v>42</v>
      </c>
    </row>
    <row r="88" spans="1:9" x14ac:dyDescent="0.25">
      <c r="A88" s="5">
        <v>45408</v>
      </c>
      <c r="B88" s="6">
        <v>0.40277777777777779</v>
      </c>
      <c r="C88" s="3" t="s">
        <v>31</v>
      </c>
      <c r="D88" s="3">
        <v>79</v>
      </c>
      <c r="E88" s="3" t="s">
        <v>35</v>
      </c>
      <c r="F88" s="3" t="s">
        <v>30</v>
      </c>
      <c r="G88" s="4">
        <f t="shared" si="14"/>
        <v>527.5</v>
      </c>
      <c r="H88" s="4">
        <f t="shared" si="13"/>
        <v>45787.5</v>
      </c>
      <c r="I88" s="3" t="s">
        <v>42</v>
      </c>
    </row>
    <row r="89" spans="1:9" x14ac:dyDescent="0.25">
      <c r="A89" s="5">
        <v>45411</v>
      </c>
      <c r="B89" s="6">
        <v>0.39930555555555558</v>
      </c>
      <c r="C89" s="3" t="s">
        <v>29</v>
      </c>
      <c r="D89" s="3">
        <v>-67</v>
      </c>
      <c r="E89" s="3" t="s">
        <v>28</v>
      </c>
      <c r="F89" s="3" t="s">
        <v>30</v>
      </c>
      <c r="G89" s="4">
        <f t="shared" si="14"/>
        <v>-567.5</v>
      </c>
      <c r="H89" s="4">
        <f t="shared" ref="H89:H114" si="15">(H88+G89)</f>
        <v>45220</v>
      </c>
      <c r="I89" s="3" t="s">
        <v>42</v>
      </c>
    </row>
    <row r="90" spans="1:9" x14ac:dyDescent="0.25">
      <c r="A90" s="5">
        <v>45411</v>
      </c>
      <c r="B90" s="6">
        <v>0.44444444444444442</v>
      </c>
      <c r="C90" s="3" t="s">
        <v>29</v>
      </c>
      <c r="D90" s="3">
        <v>-54</v>
      </c>
      <c r="E90" s="3" t="s">
        <v>28</v>
      </c>
      <c r="F90" s="3" t="s">
        <v>30</v>
      </c>
      <c r="G90" s="4">
        <f t="shared" si="14"/>
        <v>-470</v>
      </c>
      <c r="H90" s="4">
        <f t="shared" si="15"/>
        <v>44750</v>
      </c>
      <c r="I90" s="3" t="s">
        <v>42</v>
      </c>
    </row>
    <row r="91" spans="1:9" x14ac:dyDescent="0.25">
      <c r="A91" s="5">
        <v>45412</v>
      </c>
      <c r="B91" s="6">
        <v>0.4201388888888889</v>
      </c>
      <c r="C91" s="3" t="s">
        <v>31</v>
      </c>
      <c r="D91" s="3">
        <v>209</v>
      </c>
      <c r="E91" s="3" t="s">
        <v>32</v>
      </c>
      <c r="F91" s="3" t="s">
        <v>30</v>
      </c>
      <c r="G91" s="4">
        <f t="shared" ref="G91:G114" si="16">(D91/2)*15-65</f>
        <v>1502.5</v>
      </c>
      <c r="H91" s="4">
        <f t="shared" si="15"/>
        <v>46252.5</v>
      </c>
      <c r="I91" s="3" t="s">
        <v>42</v>
      </c>
    </row>
    <row r="92" spans="1:9" x14ac:dyDescent="0.25">
      <c r="A92" s="5">
        <v>45414</v>
      </c>
      <c r="B92" s="6">
        <v>0.4861111111111111</v>
      </c>
      <c r="C92" s="3" t="s">
        <v>29</v>
      </c>
      <c r="D92" s="3">
        <v>-40</v>
      </c>
      <c r="E92" s="3" t="s">
        <v>34</v>
      </c>
      <c r="F92" s="3" t="s">
        <v>30</v>
      </c>
      <c r="G92" s="4">
        <f t="shared" si="16"/>
        <v>-365</v>
      </c>
      <c r="H92" s="4">
        <f t="shared" si="15"/>
        <v>45887.5</v>
      </c>
      <c r="I92" s="3" t="s">
        <v>20</v>
      </c>
    </row>
    <row r="93" spans="1:9" x14ac:dyDescent="0.25">
      <c r="A93" s="5">
        <v>45415</v>
      </c>
      <c r="B93" s="6">
        <v>0.39583333333333331</v>
      </c>
      <c r="C93" s="3" t="s">
        <v>31</v>
      </c>
      <c r="D93" s="3">
        <v>214</v>
      </c>
      <c r="E93" s="3" t="s">
        <v>35</v>
      </c>
      <c r="F93" s="3" t="s">
        <v>30</v>
      </c>
      <c r="G93" s="4">
        <f t="shared" si="16"/>
        <v>1540</v>
      </c>
      <c r="H93" s="4">
        <f t="shared" si="15"/>
        <v>47427.5</v>
      </c>
      <c r="I93" s="3" t="s">
        <v>20</v>
      </c>
    </row>
    <row r="94" spans="1:9" x14ac:dyDescent="0.25">
      <c r="A94" s="5">
        <v>45419</v>
      </c>
      <c r="B94" s="6">
        <v>7.2916666666666671E-2</v>
      </c>
      <c r="C94" s="3" t="s">
        <v>31</v>
      </c>
      <c r="D94" s="3">
        <v>121</v>
      </c>
      <c r="E94" s="3" t="s">
        <v>32</v>
      </c>
      <c r="F94" s="3" t="s">
        <v>36</v>
      </c>
      <c r="G94" s="4">
        <f t="shared" si="16"/>
        <v>842.5</v>
      </c>
      <c r="H94" s="4">
        <f t="shared" si="15"/>
        <v>48270</v>
      </c>
      <c r="I94" s="3" t="s">
        <v>20</v>
      </c>
    </row>
    <row r="95" spans="1:9" x14ac:dyDescent="0.25">
      <c r="A95" s="5">
        <v>45420</v>
      </c>
      <c r="B95" s="6">
        <v>0.47569444444444442</v>
      </c>
      <c r="C95" s="3" t="s">
        <v>29</v>
      </c>
      <c r="D95" s="3">
        <v>-80</v>
      </c>
      <c r="E95" s="3" t="s">
        <v>33</v>
      </c>
      <c r="F95" s="3" t="s">
        <v>30</v>
      </c>
      <c r="G95" s="4">
        <f t="shared" si="16"/>
        <v>-665</v>
      </c>
      <c r="H95" s="4">
        <f t="shared" si="15"/>
        <v>47605</v>
      </c>
      <c r="I95" s="3" t="s">
        <v>20</v>
      </c>
    </row>
    <row r="96" spans="1:9" x14ac:dyDescent="0.25">
      <c r="A96" s="5">
        <v>45421</v>
      </c>
      <c r="B96" s="6">
        <v>0.51736111111111116</v>
      </c>
      <c r="C96" s="3" t="s">
        <v>31</v>
      </c>
      <c r="D96" s="3">
        <v>180</v>
      </c>
      <c r="E96" s="3" t="s">
        <v>34</v>
      </c>
      <c r="F96" s="3" t="s">
        <v>36</v>
      </c>
      <c r="G96" s="4">
        <f t="shared" si="16"/>
        <v>1285</v>
      </c>
      <c r="H96" s="4">
        <f t="shared" si="15"/>
        <v>48890</v>
      </c>
      <c r="I96" s="3" t="s">
        <v>20</v>
      </c>
    </row>
    <row r="97" spans="1:9" x14ac:dyDescent="0.25">
      <c r="A97" s="5">
        <v>45422</v>
      </c>
      <c r="B97" s="6">
        <v>0.42708333333333331</v>
      </c>
      <c r="C97" s="3" t="s">
        <v>31</v>
      </c>
      <c r="D97" s="3">
        <v>181</v>
      </c>
      <c r="E97" s="3" t="s">
        <v>35</v>
      </c>
      <c r="F97" s="3" t="s">
        <v>30</v>
      </c>
      <c r="G97" s="4">
        <f t="shared" si="16"/>
        <v>1292.5</v>
      </c>
      <c r="H97" s="4">
        <f t="shared" si="15"/>
        <v>50182.5</v>
      </c>
      <c r="I97" s="3" t="s">
        <v>20</v>
      </c>
    </row>
    <row r="98" spans="1:9" x14ac:dyDescent="0.25">
      <c r="A98" s="5">
        <v>45425</v>
      </c>
      <c r="B98" s="6">
        <v>0.48958333333333331</v>
      </c>
      <c r="C98" s="3" t="s">
        <v>29</v>
      </c>
      <c r="D98" s="3">
        <v>-40</v>
      </c>
      <c r="E98" s="3" t="s">
        <v>28</v>
      </c>
      <c r="F98" s="3" t="s">
        <v>30</v>
      </c>
      <c r="G98" s="4">
        <f t="shared" si="16"/>
        <v>-365</v>
      </c>
      <c r="H98" s="4">
        <f t="shared" si="15"/>
        <v>49817.5</v>
      </c>
      <c r="I98" s="3" t="s">
        <v>20</v>
      </c>
    </row>
    <row r="99" spans="1:9" x14ac:dyDescent="0.25">
      <c r="A99" s="5">
        <v>45425</v>
      </c>
      <c r="B99" s="6">
        <v>0.53125</v>
      </c>
      <c r="C99" s="3" t="s">
        <v>31</v>
      </c>
      <c r="D99" s="3">
        <v>224</v>
      </c>
      <c r="E99" s="3" t="s">
        <v>32</v>
      </c>
      <c r="F99" s="3" t="s">
        <v>36</v>
      </c>
      <c r="G99" s="4">
        <f t="shared" si="16"/>
        <v>1615</v>
      </c>
      <c r="H99" s="4">
        <f t="shared" si="15"/>
        <v>51432.5</v>
      </c>
      <c r="I99" s="3" t="s">
        <v>20</v>
      </c>
    </row>
    <row r="100" spans="1:9" x14ac:dyDescent="0.25">
      <c r="A100" s="5">
        <v>45428</v>
      </c>
      <c r="B100" s="6">
        <v>0.51388888888888884</v>
      </c>
      <c r="C100" s="3" t="s">
        <v>31</v>
      </c>
      <c r="D100" s="3">
        <v>240</v>
      </c>
      <c r="E100" s="3" t="s">
        <v>34</v>
      </c>
      <c r="F100" s="3" t="s">
        <v>36</v>
      </c>
      <c r="G100" s="4">
        <f t="shared" si="16"/>
        <v>1735</v>
      </c>
      <c r="H100" s="4">
        <f t="shared" si="15"/>
        <v>53167.5</v>
      </c>
      <c r="I100" s="3" t="s">
        <v>20</v>
      </c>
    </row>
    <row r="101" spans="1:9" x14ac:dyDescent="0.25">
      <c r="A101" s="5">
        <v>45429</v>
      </c>
      <c r="B101" s="6">
        <v>0.47222222222222221</v>
      </c>
      <c r="C101" s="3" t="s">
        <v>29</v>
      </c>
      <c r="D101" s="3">
        <v>-50</v>
      </c>
      <c r="E101" s="3" t="s">
        <v>35</v>
      </c>
      <c r="F101" s="3" t="s">
        <v>30</v>
      </c>
      <c r="G101" s="4">
        <f t="shared" si="16"/>
        <v>-440</v>
      </c>
      <c r="H101" s="4">
        <f t="shared" si="15"/>
        <v>52727.5</v>
      </c>
      <c r="I101" s="3" t="s">
        <v>20</v>
      </c>
    </row>
    <row r="102" spans="1:9" x14ac:dyDescent="0.25">
      <c r="A102" s="5">
        <v>45433</v>
      </c>
      <c r="B102" s="6">
        <v>4.5138888888888888E-2</v>
      </c>
      <c r="C102" s="3" t="s">
        <v>31</v>
      </c>
      <c r="D102" s="3">
        <v>120</v>
      </c>
      <c r="E102" s="3" t="s">
        <v>32</v>
      </c>
      <c r="F102" s="3" t="s">
        <v>36</v>
      </c>
      <c r="G102" s="4">
        <f t="shared" si="16"/>
        <v>835</v>
      </c>
      <c r="H102" s="4">
        <f t="shared" si="15"/>
        <v>53562.5</v>
      </c>
      <c r="I102" s="3" t="s">
        <v>20</v>
      </c>
    </row>
    <row r="103" spans="1:9" x14ac:dyDescent="0.25">
      <c r="A103" s="5">
        <v>45434</v>
      </c>
      <c r="B103" s="6">
        <v>6.5972222222222224E-2</v>
      </c>
      <c r="C103" s="3" t="s">
        <v>29</v>
      </c>
      <c r="D103" s="3">
        <v>-30</v>
      </c>
      <c r="E103" s="3" t="s">
        <v>33</v>
      </c>
      <c r="F103" s="3" t="s">
        <v>36</v>
      </c>
      <c r="G103" s="4">
        <f t="shared" si="16"/>
        <v>-290</v>
      </c>
      <c r="H103" s="4">
        <f t="shared" si="15"/>
        <v>53272.5</v>
      </c>
      <c r="I103" s="3" t="s">
        <v>20</v>
      </c>
    </row>
    <row r="104" spans="1:9" x14ac:dyDescent="0.25">
      <c r="A104" s="5">
        <v>45435</v>
      </c>
      <c r="B104" s="6">
        <v>0.44097222222222221</v>
      </c>
      <c r="C104" s="3" t="s">
        <v>29</v>
      </c>
      <c r="D104" s="3">
        <v>-40</v>
      </c>
      <c r="E104" s="3" t="s">
        <v>34</v>
      </c>
      <c r="F104" s="3" t="s">
        <v>30</v>
      </c>
      <c r="G104" s="4">
        <f t="shared" si="16"/>
        <v>-365</v>
      </c>
      <c r="H104" s="4">
        <f t="shared" si="15"/>
        <v>52907.5</v>
      </c>
      <c r="I104" s="3" t="s">
        <v>20</v>
      </c>
    </row>
    <row r="105" spans="1:9" x14ac:dyDescent="0.25">
      <c r="A105" s="5">
        <v>45435</v>
      </c>
      <c r="B105" s="6">
        <v>4.8611111111111112E-2</v>
      </c>
      <c r="C105" s="3" t="s">
        <v>31</v>
      </c>
      <c r="D105" s="3">
        <v>80</v>
      </c>
      <c r="E105" s="3" t="s">
        <v>34</v>
      </c>
      <c r="F105" s="3" t="s">
        <v>36</v>
      </c>
      <c r="G105" s="4">
        <f t="shared" si="16"/>
        <v>535</v>
      </c>
      <c r="H105" s="4">
        <f t="shared" si="15"/>
        <v>53442.5</v>
      </c>
      <c r="I105" s="3" t="s">
        <v>20</v>
      </c>
    </row>
    <row r="106" spans="1:9" x14ac:dyDescent="0.25">
      <c r="A106" s="5">
        <v>45436</v>
      </c>
      <c r="B106" s="6">
        <v>4.8611111111111112E-2</v>
      </c>
      <c r="C106" s="3" t="s">
        <v>31</v>
      </c>
      <c r="D106" s="3">
        <v>56</v>
      </c>
      <c r="E106" s="3" t="s">
        <v>35</v>
      </c>
      <c r="F106" s="3" t="s">
        <v>36</v>
      </c>
      <c r="G106" s="4">
        <f t="shared" si="16"/>
        <v>355</v>
      </c>
      <c r="H106" s="4">
        <f t="shared" si="15"/>
        <v>53797.5</v>
      </c>
      <c r="I106" s="3" t="s">
        <v>20</v>
      </c>
    </row>
    <row r="107" spans="1:9" x14ac:dyDescent="0.25">
      <c r="A107" s="5">
        <v>45439</v>
      </c>
      <c r="B107" s="6">
        <v>0.41319444444444442</v>
      </c>
      <c r="C107" s="3" t="s">
        <v>29</v>
      </c>
      <c r="D107" s="3">
        <v>-46</v>
      </c>
      <c r="E107" s="3" t="s">
        <v>28</v>
      </c>
      <c r="F107" s="3" t="s">
        <v>30</v>
      </c>
      <c r="G107" s="4">
        <f t="shared" si="16"/>
        <v>-410</v>
      </c>
      <c r="H107" s="4">
        <f t="shared" si="15"/>
        <v>53387.5</v>
      </c>
      <c r="I107" s="3" t="s">
        <v>20</v>
      </c>
    </row>
    <row r="108" spans="1:9" x14ac:dyDescent="0.25">
      <c r="A108" s="5">
        <v>45439</v>
      </c>
      <c r="B108" s="6">
        <v>0.53125</v>
      </c>
      <c r="C108" s="3" t="s">
        <v>31</v>
      </c>
      <c r="D108" s="3">
        <v>157</v>
      </c>
      <c r="E108" s="3" t="s">
        <v>28</v>
      </c>
      <c r="F108" s="3" t="s">
        <v>36</v>
      </c>
      <c r="G108" s="4">
        <f t="shared" si="16"/>
        <v>1112.5</v>
      </c>
      <c r="H108" s="4">
        <f t="shared" si="15"/>
        <v>54500</v>
      </c>
      <c r="I108" s="3" t="s">
        <v>20</v>
      </c>
    </row>
    <row r="109" spans="1:9" x14ac:dyDescent="0.25">
      <c r="A109" s="5">
        <v>45440</v>
      </c>
      <c r="B109" s="6">
        <v>0.4375</v>
      </c>
      <c r="C109" s="3" t="s">
        <v>31</v>
      </c>
      <c r="D109" s="3">
        <v>106</v>
      </c>
      <c r="E109" s="3" t="s">
        <v>32</v>
      </c>
      <c r="F109" s="3" t="s">
        <v>30</v>
      </c>
      <c r="G109" s="4">
        <f t="shared" si="16"/>
        <v>730</v>
      </c>
      <c r="H109" s="4">
        <f t="shared" si="15"/>
        <v>55230</v>
      </c>
      <c r="I109" s="3" t="s">
        <v>20</v>
      </c>
    </row>
    <row r="110" spans="1:9" x14ac:dyDescent="0.25">
      <c r="A110" s="5">
        <v>45442</v>
      </c>
      <c r="B110" s="6">
        <v>4.5138888888888888E-2</v>
      </c>
      <c r="C110" s="3" t="s">
        <v>29</v>
      </c>
      <c r="D110" s="3">
        <v>-40</v>
      </c>
      <c r="E110" s="3" t="s">
        <v>34</v>
      </c>
      <c r="F110" s="3" t="s">
        <v>36</v>
      </c>
      <c r="G110" s="4">
        <f t="shared" si="16"/>
        <v>-365</v>
      </c>
      <c r="H110" s="4">
        <f t="shared" si="15"/>
        <v>54865</v>
      </c>
      <c r="I110" s="3" t="s">
        <v>20</v>
      </c>
    </row>
    <row r="111" spans="1:9" x14ac:dyDescent="0.25">
      <c r="A111" s="5">
        <v>45442</v>
      </c>
      <c r="B111" s="6">
        <v>7.9861111111111105E-2</v>
      </c>
      <c r="C111" s="3" t="s">
        <v>31</v>
      </c>
      <c r="D111" s="3">
        <v>230</v>
      </c>
      <c r="E111" s="3" t="s">
        <v>34</v>
      </c>
      <c r="F111" s="3" t="s">
        <v>36</v>
      </c>
      <c r="G111" s="4">
        <f t="shared" si="16"/>
        <v>1660</v>
      </c>
      <c r="H111" s="4">
        <f t="shared" si="15"/>
        <v>56525</v>
      </c>
      <c r="I111" s="3" t="s">
        <v>20</v>
      </c>
    </row>
    <row r="112" spans="1:9" x14ac:dyDescent="0.25">
      <c r="A112" s="5">
        <v>45443</v>
      </c>
      <c r="B112" s="6">
        <v>0.50347222222222221</v>
      </c>
      <c r="C112" s="3" t="s">
        <v>29</v>
      </c>
      <c r="D112" s="3">
        <v>-42</v>
      </c>
      <c r="E112" s="3" t="s">
        <v>35</v>
      </c>
      <c r="F112" s="3" t="s">
        <v>36</v>
      </c>
      <c r="G112" s="4">
        <f t="shared" si="16"/>
        <v>-380</v>
      </c>
      <c r="H112" s="4">
        <f t="shared" si="15"/>
        <v>56145</v>
      </c>
      <c r="I112" s="3" t="s">
        <v>20</v>
      </c>
    </row>
    <row r="113" spans="1:9" x14ac:dyDescent="0.25">
      <c r="A113" s="5">
        <v>45443</v>
      </c>
      <c r="B113" s="6">
        <v>8.6805555555555552E-2</v>
      </c>
      <c r="C113" s="3" t="s">
        <v>31</v>
      </c>
      <c r="D113" s="3">
        <v>284</v>
      </c>
      <c r="E113" s="3" t="s">
        <v>35</v>
      </c>
      <c r="F113" s="3" t="s">
        <v>36</v>
      </c>
      <c r="G113" s="4">
        <f t="shared" si="16"/>
        <v>2065</v>
      </c>
      <c r="H113" s="4">
        <f t="shared" si="15"/>
        <v>58210</v>
      </c>
      <c r="I113" s="3" t="s">
        <v>20</v>
      </c>
    </row>
    <row r="114" spans="1:9" x14ac:dyDescent="0.25">
      <c r="A114" s="5">
        <v>12577</v>
      </c>
      <c r="B114" s="6">
        <v>0.46875</v>
      </c>
      <c r="C114" s="3" t="s">
        <v>29</v>
      </c>
      <c r="D114" s="3">
        <v>-45</v>
      </c>
      <c r="E114" s="3" t="s">
        <v>35</v>
      </c>
      <c r="F114" s="3" t="s">
        <v>30</v>
      </c>
      <c r="G114" s="4">
        <f t="shared" si="16"/>
        <v>-402.5</v>
      </c>
      <c r="H114" s="4">
        <f t="shared" si="15"/>
        <v>57807.5</v>
      </c>
      <c r="I114" s="3" t="s">
        <v>43</v>
      </c>
    </row>
    <row r="115" spans="1:9" x14ac:dyDescent="0.25">
      <c r="A115" s="5">
        <v>45453</v>
      </c>
      <c r="B115" s="6">
        <v>0.39583333333333331</v>
      </c>
      <c r="C115" s="3" t="s">
        <v>31</v>
      </c>
      <c r="D115" s="3">
        <v>300</v>
      </c>
      <c r="E115" s="3" t="s">
        <v>28</v>
      </c>
      <c r="F115" s="3" t="s">
        <v>30</v>
      </c>
      <c r="G115" s="4">
        <f t="shared" ref="G115:G127" si="17">(D115/2)*15-65</f>
        <v>2185</v>
      </c>
      <c r="H115" s="4">
        <f t="shared" ref="H115:H127" si="18">(H114+G115)</f>
        <v>59992.5</v>
      </c>
      <c r="I115" s="3" t="s">
        <v>43</v>
      </c>
    </row>
    <row r="116" spans="1:9" x14ac:dyDescent="0.25">
      <c r="A116" s="5">
        <v>45455</v>
      </c>
      <c r="B116" s="6">
        <v>0.42708333333333331</v>
      </c>
      <c r="C116" s="3" t="s">
        <v>29</v>
      </c>
      <c r="D116" s="3">
        <v>-50</v>
      </c>
      <c r="E116" s="3" t="s">
        <v>33</v>
      </c>
      <c r="F116" s="3" t="s">
        <v>30</v>
      </c>
      <c r="G116" s="4">
        <f t="shared" si="17"/>
        <v>-440</v>
      </c>
      <c r="H116" s="4">
        <f t="shared" si="18"/>
        <v>59552.5</v>
      </c>
      <c r="I116" s="3" t="s">
        <v>43</v>
      </c>
    </row>
    <row r="117" spans="1:9" x14ac:dyDescent="0.25">
      <c r="A117" s="5">
        <v>45455</v>
      </c>
      <c r="B117" s="6">
        <v>6.9444444444444448E-2</v>
      </c>
      <c r="C117" s="3" t="s">
        <v>31</v>
      </c>
      <c r="D117" s="3">
        <v>120</v>
      </c>
      <c r="E117" s="3" t="s">
        <v>33</v>
      </c>
      <c r="F117" s="3" t="s">
        <v>36</v>
      </c>
      <c r="G117" s="4">
        <f t="shared" si="17"/>
        <v>835</v>
      </c>
      <c r="H117" s="4">
        <f t="shared" si="18"/>
        <v>60387.5</v>
      </c>
      <c r="I117" s="3" t="s">
        <v>43</v>
      </c>
    </row>
    <row r="118" spans="1:9" x14ac:dyDescent="0.25">
      <c r="A118" s="5">
        <v>45456</v>
      </c>
      <c r="B118" s="6">
        <v>0.39583333333333331</v>
      </c>
      <c r="C118" s="3" t="s">
        <v>31</v>
      </c>
      <c r="D118" s="3">
        <v>214</v>
      </c>
      <c r="E118" s="3" t="s">
        <v>34</v>
      </c>
      <c r="F118" s="3" t="s">
        <v>30</v>
      </c>
      <c r="G118" s="4">
        <f t="shared" si="17"/>
        <v>1540</v>
      </c>
      <c r="H118" s="4">
        <f t="shared" si="18"/>
        <v>61927.5</v>
      </c>
      <c r="I118" s="3" t="s">
        <v>43</v>
      </c>
    </row>
    <row r="119" spans="1:9" x14ac:dyDescent="0.25">
      <c r="A119" s="5">
        <v>45457</v>
      </c>
      <c r="B119" s="6">
        <v>0.43402777777777779</v>
      </c>
      <c r="C119" s="3" t="s">
        <v>31</v>
      </c>
      <c r="D119" s="3">
        <v>93</v>
      </c>
      <c r="E119" s="3" t="s">
        <v>35</v>
      </c>
      <c r="F119" s="3" t="s">
        <v>30</v>
      </c>
      <c r="G119" s="4">
        <f t="shared" si="17"/>
        <v>632.5</v>
      </c>
      <c r="H119" s="4">
        <f t="shared" si="18"/>
        <v>62560</v>
      </c>
      <c r="I119" s="3" t="s">
        <v>43</v>
      </c>
    </row>
    <row r="120" spans="1:9" x14ac:dyDescent="0.25">
      <c r="A120" s="5">
        <v>45461</v>
      </c>
      <c r="B120" s="6">
        <v>0.4236111111111111</v>
      </c>
      <c r="C120" s="3" t="s">
        <v>31</v>
      </c>
      <c r="D120" s="3">
        <v>120</v>
      </c>
      <c r="E120" s="3" t="s">
        <v>28</v>
      </c>
      <c r="F120" s="3" t="s">
        <v>30</v>
      </c>
      <c r="G120" s="4">
        <f t="shared" si="17"/>
        <v>835</v>
      </c>
      <c r="H120" s="4">
        <f t="shared" si="18"/>
        <v>63395</v>
      </c>
      <c r="I120" s="3" t="s">
        <v>43</v>
      </c>
    </row>
    <row r="121" spans="1:9" x14ac:dyDescent="0.25">
      <c r="A121" s="5">
        <v>45462</v>
      </c>
      <c r="B121" s="6">
        <v>0.47222222222222221</v>
      </c>
      <c r="C121" s="3" t="s">
        <v>31</v>
      </c>
      <c r="D121" s="3">
        <v>140</v>
      </c>
      <c r="E121" s="3" t="s">
        <v>32</v>
      </c>
      <c r="F121" s="3" t="s">
        <v>30</v>
      </c>
      <c r="G121" s="4">
        <f t="shared" si="17"/>
        <v>985</v>
      </c>
      <c r="H121" s="4">
        <f t="shared" si="18"/>
        <v>64380</v>
      </c>
      <c r="I121" s="3" t="s">
        <v>43</v>
      </c>
    </row>
    <row r="122" spans="1:9" x14ac:dyDescent="0.25">
      <c r="A122" s="5">
        <v>45462</v>
      </c>
      <c r="B122" s="6">
        <v>0.11458333333333333</v>
      </c>
      <c r="C122" s="3" t="s">
        <v>31</v>
      </c>
      <c r="D122" s="3">
        <v>464</v>
      </c>
      <c r="E122" s="3" t="s">
        <v>32</v>
      </c>
      <c r="F122" s="3" t="s">
        <v>36</v>
      </c>
      <c r="G122" s="4">
        <f t="shared" si="17"/>
        <v>3415</v>
      </c>
      <c r="H122" s="4">
        <f t="shared" si="18"/>
        <v>67795</v>
      </c>
      <c r="I122" s="3" t="s">
        <v>43</v>
      </c>
    </row>
    <row r="123" spans="1:9" x14ac:dyDescent="0.25">
      <c r="A123" s="5">
        <v>45464</v>
      </c>
      <c r="B123" s="6">
        <v>9.0277777777777776E-2</v>
      </c>
      <c r="C123" s="3" t="s">
        <v>31</v>
      </c>
      <c r="D123" s="3">
        <v>320</v>
      </c>
      <c r="E123" s="3" t="s">
        <v>35</v>
      </c>
      <c r="F123" s="3" t="s">
        <v>36</v>
      </c>
      <c r="G123" s="4">
        <f t="shared" si="17"/>
        <v>2335</v>
      </c>
      <c r="H123" s="4">
        <f t="shared" si="18"/>
        <v>70130</v>
      </c>
      <c r="I123" s="3" t="s">
        <v>43</v>
      </c>
    </row>
    <row r="124" spans="1:9" x14ac:dyDescent="0.25">
      <c r="A124" s="5">
        <v>45467</v>
      </c>
      <c r="B124" s="6">
        <v>0.4826388888888889</v>
      </c>
      <c r="C124" s="3" t="s">
        <v>31</v>
      </c>
      <c r="D124" s="3">
        <v>140</v>
      </c>
      <c r="E124" s="3" t="s">
        <v>28</v>
      </c>
      <c r="F124" s="3" t="s">
        <v>30</v>
      </c>
      <c r="G124" s="4">
        <f t="shared" si="17"/>
        <v>985</v>
      </c>
      <c r="H124" s="4">
        <f t="shared" si="18"/>
        <v>71115</v>
      </c>
      <c r="I124" s="3" t="s">
        <v>43</v>
      </c>
    </row>
    <row r="125" spans="1:9" x14ac:dyDescent="0.25">
      <c r="A125" s="5">
        <v>45468</v>
      </c>
      <c r="B125" s="6">
        <v>0.11805555555555555</v>
      </c>
      <c r="C125" s="3" t="s">
        <v>31</v>
      </c>
      <c r="D125" s="3">
        <v>151</v>
      </c>
      <c r="E125" s="3" t="s">
        <v>32</v>
      </c>
      <c r="F125" s="3" t="s">
        <v>36</v>
      </c>
      <c r="G125" s="4">
        <f t="shared" si="17"/>
        <v>1067.5</v>
      </c>
      <c r="H125" s="4">
        <f t="shared" si="18"/>
        <v>72182.5</v>
      </c>
      <c r="I125" s="3" t="s">
        <v>43</v>
      </c>
    </row>
    <row r="126" spans="1:9" x14ac:dyDescent="0.25">
      <c r="A126" s="5">
        <v>45470</v>
      </c>
      <c r="B126" s="6">
        <v>0.4236111111111111</v>
      </c>
      <c r="C126" s="3" t="s">
        <v>31</v>
      </c>
      <c r="D126" s="3">
        <v>215</v>
      </c>
      <c r="E126" s="3" t="s">
        <v>34</v>
      </c>
      <c r="F126" s="3" t="s">
        <v>30</v>
      </c>
      <c r="G126" s="4">
        <f t="shared" si="17"/>
        <v>1547.5</v>
      </c>
      <c r="H126" s="4">
        <f t="shared" si="18"/>
        <v>73730</v>
      </c>
      <c r="I126" s="3" t="s">
        <v>43</v>
      </c>
    </row>
    <row r="127" spans="1:9" x14ac:dyDescent="0.25">
      <c r="A127" s="5">
        <v>45471</v>
      </c>
      <c r="B127" s="6">
        <v>7.6388888888888895E-2</v>
      </c>
      <c r="C127" s="3" t="s">
        <v>29</v>
      </c>
      <c r="D127" s="3">
        <v>-63</v>
      </c>
      <c r="E127" s="3" t="s">
        <v>35</v>
      </c>
      <c r="F127" s="3" t="s">
        <v>36</v>
      </c>
      <c r="G127" s="4">
        <f t="shared" si="17"/>
        <v>-537.5</v>
      </c>
      <c r="H127" s="4">
        <f t="shared" si="18"/>
        <v>73192.5</v>
      </c>
      <c r="I127" s="3" t="s">
        <v>43</v>
      </c>
    </row>
    <row r="128" spans="1:9" x14ac:dyDescent="0.25">
      <c r="A128" s="5">
        <v>45471</v>
      </c>
      <c r="B128" s="6">
        <v>9.375E-2</v>
      </c>
      <c r="C128" s="3" t="s">
        <v>31</v>
      </c>
      <c r="D128" s="3">
        <v>190</v>
      </c>
      <c r="E128" s="3" t="s">
        <v>35</v>
      </c>
      <c r="F128" s="3" t="s">
        <v>36</v>
      </c>
      <c r="G128" s="4">
        <f t="shared" ref="G128:G137" si="19">(D128/2)*15-65</f>
        <v>1360</v>
      </c>
      <c r="H128" s="4">
        <f t="shared" ref="H128:H137" si="20">(H127+G128)</f>
        <v>74552.5</v>
      </c>
      <c r="I128" s="3" t="s">
        <v>43</v>
      </c>
    </row>
    <row r="129" spans="1:9" x14ac:dyDescent="0.25">
      <c r="A129" s="5">
        <v>45474</v>
      </c>
      <c r="B129" s="6">
        <v>0.41666666666666669</v>
      </c>
      <c r="C129" s="3" t="s">
        <v>29</v>
      </c>
      <c r="D129" s="3">
        <v>-80</v>
      </c>
      <c r="E129" s="3" t="s">
        <v>28</v>
      </c>
      <c r="F129" s="3" t="s">
        <v>30</v>
      </c>
      <c r="G129" s="4">
        <f t="shared" si="19"/>
        <v>-665</v>
      </c>
      <c r="H129" s="4">
        <f t="shared" si="20"/>
        <v>73887.5</v>
      </c>
      <c r="I129" s="3" t="s">
        <v>44</v>
      </c>
    </row>
    <row r="130" spans="1:9" x14ac:dyDescent="0.25">
      <c r="A130" s="5">
        <v>45474</v>
      </c>
      <c r="B130" s="6">
        <v>0.47916666666666669</v>
      </c>
      <c r="C130" s="3" t="s">
        <v>29</v>
      </c>
      <c r="D130" s="3">
        <v>-53</v>
      </c>
      <c r="E130" s="3" t="s">
        <v>28</v>
      </c>
      <c r="F130" s="3" t="s">
        <v>30</v>
      </c>
      <c r="G130" s="4">
        <f t="shared" si="19"/>
        <v>-462.5</v>
      </c>
      <c r="H130" s="4">
        <f t="shared" si="20"/>
        <v>73425</v>
      </c>
      <c r="I130" s="3" t="s">
        <v>44</v>
      </c>
    </row>
    <row r="131" spans="1:9" x14ac:dyDescent="0.25">
      <c r="A131" s="5">
        <v>45474</v>
      </c>
      <c r="B131" s="6">
        <v>7.2916666666666671E-2</v>
      </c>
      <c r="C131" s="3" t="s">
        <v>31</v>
      </c>
      <c r="D131" s="3">
        <v>100</v>
      </c>
      <c r="E131" s="3" t="s">
        <v>28</v>
      </c>
      <c r="F131" s="3" t="s">
        <v>36</v>
      </c>
      <c r="G131" s="4">
        <f t="shared" si="19"/>
        <v>685</v>
      </c>
      <c r="H131" s="4">
        <f t="shared" si="20"/>
        <v>74110</v>
      </c>
      <c r="I131" s="3" t="s">
        <v>44</v>
      </c>
    </row>
    <row r="132" spans="1:9" x14ac:dyDescent="0.25">
      <c r="A132" s="5">
        <v>45475</v>
      </c>
      <c r="B132" s="6">
        <v>0.47222222222222221</v>
      </c>
      <c r="C132" s="3" t="s">
        <v>31</v>
      </c>
      <c r="D132" s="3">
        <v>232</v>
      </c>
      <c r="E132" s="3" t="s">
        <v>32</v>
      </c>
      <c r="F132" s="3" t="s">
        <v>30</v>
      </c>
      <c r="G132" s="4">
        <f t="shared" si="19"/>
        <v>1675</v>
      </c>
      <c r="H132" s="4">
        <f t="shared" si="20"/>
        <v>75785</v>
      </c>
      <c r="I132" s="3" t="s">
        <v>44</v>
      </c>
    </row>
    <row r="133" spans="1:9" x14ac:dyDescent="0.25">
      <c r="A133" s="5">
        <v>45476</v>
      </c>
      <c r="B133" s="6">
        <v>0.41319444444444442</v>
      </c>
      <c r="C133" s="3" t="s">
        <v>29</v>
      </c>
      <c r="D133" s="3">
        <v>-70</v>
      </c>
      <c r="E133" s="3" t="s">
        <v>33</v>
      </c>
      <c r="F133" s="3" t="s">
        <v>30</v>
      </c>
      <c r="G133" s="4">
        <f t="shared" si="19"/>
        <v>-590</v>
      </c>
      <c r="H133" s="4">
        <f t="shared" si="20"/>
        <v>75195</v>
      </c>
      <c r="I133" s="3" t="s">
        <v>44</v>
      </c>
    </row>
    <row r="134" spans="1:9" x14ac:dyDescent="0.25">
      <c r="A134" s="5">
        <v>45476</v>
      </c>
      <c r="B134" s="6">
        <v>0.44097222222222221</v>
      </c>
      <c r="C134" s="3" t="s">
        <v>31</v>
      </c>
      <c r="D134" s="3">
        <v>70</v>
      </c>
      <c r="E134" s="3" t="s">
        <v>33</v>
      </c>
      <c r="F134" s="3" t="s">
        <v>30</v>
      </c>
      <c r="G134" s="4">
        <f t="shared" si="19"/>
        <v>460</v>
      </c>
      <c r="H134" s="4">
        <f t="shared" si="20"/>
        <v>75655</v>
      </c>
      <c r="I134" s="3" t="s">
        <v>44</v>
      </c>
    </row>
    <row r="135" spans="1:9" x14ac:dyDescent="0.25">
      <c r="A135" s="5">
        <v>45476</v>
      </c>
      <c r="B135" s="6">
        <v>7.9861111111111105E-2</v>
      </c>
      <c r="C135" s="3" t="s">
        <v>31</v>
      </c>
      <c r="D135" s="3">
        <v>102</v>
      </c>
      <c r="E135" s="3" t="s">
        <v>33</v>
      </c>
      <c r="F135" s="3" t="s">
        <v>36</v>
      </c>
      <c r="G135" s="4">
        <f t="shared" si="19"/>
        <v>700</v>
      </c>
      <c r="H135" s="4">
        <f t="shared" si="20"/>
        <v>76355</v>
      </c>
      <c r="I135" s="3" t="s">
        <v>44</v>
      </c>
    </row>
    <row r="136" spans="1:9" x14ac:dyDescent="0.25">
      <c r="A136" s="5">
        <v>45477</v>
      </c>
      <c r="B136" s="6">
        <v>0.4201388888888889</v>
      </c>
      <c r="C136" s="3" t="s">
        <v>31</v>
      </c>
      <c r="D136" s="3">
        <v>121</v>
      </c>
      <c r="E136" s="3" t="s">
        <v>34</v>
      </c>
      <c r="F136" s="3" t="s">
        <v>30</v>
      </c>
      <c r="G136" s="4">
        <f t="shared" si="19"/>
        <v>842.5</v>
      </c>
      <c r="H136" s="4">
        <f t="shared" si="20"/>
        <v>77197.5</v>
      </c>
      <c r="I136" s="3" t="s">
        <v>44</v>
      </c>
    </row>
    <row r="137" spans="1:9" x14ac:dyDescent="0.25">
      <c r="A137" s="5">
        <v>45478</v>
      </c>
      <c r="B137" s="6">
        <v>0.46180555555555558</v>
      </c>
      <c r="C137" s="3" t="s">
        <v>29</v>
      </c>
      <c r="D137" s="3">
        <v>-36</v>
      </c>
      <c r="E137" s="3" t="s">
        <v>35</v>
      </c>
      <c r="F137" s="3" t="s">
        <v>30</v>
      </c>
      <c r="G137" s="4">
        <f t="shared" si="19"/>
        <v>-335</v>
      </c>
      <c r="H137" s="4">
        <f t="shared" si="20"/>
        <v>76862.5</v>
      </c>
      <c r="I137" s="3" t="s">
        <v>44</v>
      </c>
    </row>
    <row r="138" spans="1:9" x14ac:dyDescent="0.25">
      <c r="A138" s="5">
        <v>45478</v>
      </c>
      <c r="B138" s="6">
        <v>6.9444444444444448E-2</v>
      </c>
      <c r="C138" s="3" t="s">
        <v>31</v>
      </c>
      <c r="D138" s="3">
        <v>92</v>
      </c>
      <c r="E138" s="3" t="s">
        <v>35</v>
      </c>
      <c r="F138" s="3" t="s">
        <v>36</v>
      </c>
      <c r="G138" s="4">
        <f t="shared" ref="G138:G160" si="21">(D138/2)*15-65</f>
        <v>625</v>
      </c>
      <c r="H138" s="4">
        <f t="shared" ref="H138:H160" si="22">(H137+G138)</f>
        <v>77487.5</v>
      </c>
      <c r="I138" s="3" t="s">
        <v>44</v>
      </c>
    </row>
    <row r="139" spans="1:9" x14ac:dyDescent="0.25">
      <c r="A139" s="5">
        <v>45481</v>
      </c>
      <c r="B139" s="6">
        <v>0.40277777777777779</v>
      </c>
      <c r="C139" s="3" t="s">
        <v>31</v>
      </c>
      <c r="D139" s="3">
        <v>210</v>
      </c>
      <c r="E139" s="3" t="s">
        <v>28</v>
      </c>
      <c r="F139" s="3" t="s">
        <v>30</v>
      </c>
      <c r="G139" s="4">
        <f t="shared" si="21"/>
        <v>1510</v>
      </c>
      <c r="H139" s="4">
        <f t="shared" si="22"/>
        <v>78997.5</v>
      </c>
      <c r="I139" s="3" t="s">
        <v>44</v>
      </c>
    </row>
    <row r="140" spans="1:9" x14ac:dyDescent="0.25">
      <c r="A140" s="5">
        <v>45483</v>
      </c>
      <c r="B140" s="6">
        <v>0.41666666666666669</v>
      </c>
      <c r="C140" s="3" t="s">
        <v>31</v>
      </c>
      <c r="D140" s="3">
        <v>129</v>
      </c>
      <c r="E140" s="3" t="s">
        <v>33</v>
      </c>
      <c r="F140" s="3" t="s">
        <v>30</v>
      </c>
      <c r="G140" s="4">
        <f t="shared" si="21"/>
        <v>902.5</v>
      </c>
      <c r="H140" s="4">
        <f t="shared" si="22"/>
        <v>79900</v>
      </c>
      <c r="I140" s="3" t="s">
        <v>44</v>
      </c>
    </row>
    <row r="141" spans="1:9" x14ac:dyDescent="0.25">
      <c r="A141" s="5">
        <v>45484</v>
      </c>
      <c r="B141" s="6">
        <v>0.4236111111111111</v>
      </c>
      <c r="C141" s="3" t="s">
        <v>31</v>
      </c>
      <c r="D141" s="3">
        <v>299</v>
      </c>
      <c r="E141" s="3" t="s">
        <v>34</v>
      </c>
      <c r="F141" s="3" t="s">
        <v>30</v>
      </c>
      <c r="G141" s="4">
        <f t="shared" si="21"/>
        <v>2177.5</v>
      </c>
      <c r="H141" s="4">
        <f t="shared" si="22"/>
        <v>82077.5</v>
      </c>
      <c r="I141" s="3" t="s">
        <v>44</v>
      </c>
    </row>
    <row r="142" spans="1:9" x14ac:dyDescent="0.25">
      <c r="A142" s="5">
        <v>45485</v>
      </c>
      <c r="B142" s="6">
        <v>0.39930555555555558</v>
      </c>
      <c r="C142" s="3" t="s">
        <v>29</v>
      </c>
      <c r="D142" s="3">
        <v>-54</v>
      </c>
      <c r="E142" s="3" t="s">
        <v>35</v>
      </c>
      <c r="F142" s="3" t="s">
        <v>30</v>
      </c>
      <c r="G142" s="4">
        <f t="shared" si="21"/>
        <v>-470</v>
      </c>
      <c r="H142" s="4">
        <f t="shared" si="22"/>
        <v>81607.5</v>
      </c>
      <c r="I142" s="3" t="s">
        <v>44</v>
      </c>
    </row>
    <row r="143" spans="1:9" x14ac:dyDescent="0.25">
      <c r="A143" s="5">
        <v>45485</v>
      </c>
      <c r="B143" s="6">
        <v>0.46527777777777779</v>
      </c>
      <c r="C143" s="3" t="s">
        <v>31</v>
      </c>
      <c r="D143" s="3">
        <v>211</v>
      </c>
      <c r="E143" s="3" t="s">
        <v>35</v>
      </c>
      <c r="F143" s="3" t="s">
        <v>30</v>
      </c>
      <c r="G143" s="4">
        <f t="shared" si="21"/>
        <v>1517.5</v>
      </c>
      <c r="H143" s="4">
        <f t="shared" si="22"/>
        <v>83125</v>
      </c>
      <c r="I143" s="3" t="s">
        <v>44</v>
      </c>
    </row>
    <row r="144" spans="1:9" x14ac:dyDescent="0.25">
      <c r="A144" s="5">
        <v>45488</v>
      </c>
      <c r="B144" s="6">
        <v>6.9444444444444448E-2</v>
      </c>
      <c r="C144" s="3" t="s">
        <v>29</v>
      </c>
      <c r="D144" s="3">
        <v>-50</v>
      </c>
      <c r="E144" s="3" t="s">
        <v>28</v>
      </c>
      <c r="F144" s="3" t="s">
        <v>36</v>
      </c>
      <c r="G144" s="4">
        <f t="shared" si="21"/>
        <v>-440</v>
      </c>
      <c r="H144" s="4">
        <f t="shared" si="22"/>
        <v>82685</v>
      </c>
      <c r="I144" s="3" t="s">
        <v>44</v>
      </c>
    </row>
    <row r="145" spans="1:9" x14ac:dyDescent="0.25">
      <c r="A145" s="5">
        <v>45489</v>
      </c>
      <c r="B145" s="6">
        <v>0.3923611111111111</v>
      </c>
      <c r="C145" s="3" t="s">
        <v>31</v>
      </c>
      <c r="D145" s="3">
        <v>164</v>
      </c>
      <c r="E145" s="3" t="s">
        <v>32</v>
      </c>
      <c r="F145" s="3" t="s">
        <v>30</v>
      </c>
      <c r="G145" s="4">
        <f t="shared" si="21"/>
        <v>1165</v>
      </c>
      <c r="H145" s="4">
        <f t="shared" si="22"/>
        <v>83850</v>
      </c>
      <c r="I145" s="3" t="s">
        <v>44</v>
      </c>
    </row>
    <row r="146" spans="1:9" x14ac:dyDescent="0.25">
      <c r="A146" s="5">
        <v>45491</v>
      </c>
      <c r="B146" s="6">
        <v>0.41319444444444442</v>
      </c>
      <c r="C146" s="3" t="s">
        <v>29</v>
      </c>
      <c r="D146" s="3">
        <v>-64</v>
      </c>
      <c r="E146" s="3" t="s">
        <v>34</v>
      </c>
      <c r="F146" s="3" t="s">
        <v>30</v>
      </c>
      <c r="G146" s="4">
        <f t="shared" si="21"/>
        <v>-545</v>
      </c>
      <c r="H146" s="4">
        <f t="shared" si="22"/>
        <v>83305</v>
      </c>
      <c r="I146" s="3" t="s">
        <v>44</v>
      </c>
    </row>
    <row r="147" spans="1:9" x14ac:dyDescent="0.25">
      <c r="A147" s="5">
        <v>45491</v>
      </c>
      <c r="B147" s="6">
        <v>0.43055555555555558</v>
      </c>
      <c r="C147" s="3" t="s">
        <v>31</v>
      </c>
      <c r="D147" s="3">
        <v>148</v>
      </c>
      <c r="E147" s="3" t="s">
        <v>34</v>
      </c>
      <c r="F147" s="3" t="s">
        <v>30</v>
      </c>
      <c r="G147" s="4">
        <f t="shared" si="21"/>
        <v>1045</v>
      </c>
      <c r="H147" s="4">
        <f t="shared" si="22"/>
        <v>84350</v>
      </c>
      <c r="I147" s="3" t="s">
        <v>44</v>
      </c>
    </row>
    <row r="148" spans="1:9" x14ac:dyDescent="0.25">
      <c r="A148" s="5">
        <v>45495</v>
      </c>
      <c r="B148" s="6">
        <v>6.5972222222222224E-2</v>
      </c>
      <c r="C148" s="3" t="s">
        <v>29</v>
      </c>
      <c r="D148" s="3">
        <v>-37</v>
      </c>
      <c r="E148" s="3" t="s">
        <v>28</v>
      </c>
      <c r="F148" s="3" t="s">
        <v>36</v>
      </c>
      <c r="G148" s="4">
        <f t="shared" si="21"/>
        <v>-342.5</v>
      </c>
      <c r="H148" s="4">
        <f t="shared" si="22"/>
        <v>84007.5</v>
      </c>
      <c r="I148" s="3" t="s">
        <v>44</v>
      </c>
    </row>
    <row r="149" spans="1:9" x14ac:dyDescent="0.25">
      <c r="A149" s="5">
        <v>45496</v>
      </c>
      <c r="B149" s="6">
        <v>0.46527777777777779</v>
      </c>
      <c r="C149" s="3" t="s">
        <v>31</v>
      </c>
      <c r="D149" s="3">
        <v>502</v>
      </c>
      <c r="E149" s="3" t="s">
        <v>32</v>
      </c>
      <c r="F149" s="3" t="s">
        <v>30</v>
      </c>
      <c r="G149" s="4">
        <f t="shared" si="21"/>
        <v>3700</v>
      </c>
      <c r="H149" s="4">
        <f t="shared" si="22"/>
        <v>87707.5</v>
      </c>
      <c r="I149" s="3" t="s">
        <v>44</v>
      </c>
    </row>
    <row r="150" spans="1:9" x14ac:dyDescent="0.25">
      <c r="A150" s="5">
        <v>45497</v>
      </c>
      <c r="B150" s="6">
        <v>7.9861111111111105E-2</v>
      </c>
      <c r="C150" s="3" t="s">
        <v>31</v>
      </c>
      <c r="D150" s="3">
        <v>200</v>
      </c>
      <c r="E150" s="3" t="s">
        <v>33</v>
      </c>
      <c r="F150" s="3" t="s">
        <v>36</v>
      </c>
      <c r="G150" s="4">
        <f t="shared" si="21"/>
        <v>1435</v>
      </c>
      <c r="H150" s="4">
        <f t="shared" si="22"/>
        <v>89142.5</v>
      </c>
      <c r="I150" s="3" t="s">
        <v>44</v>
      </c>
    </row>
    <row r="151" spans="1:9" x14ac:dyDescent="0.25">
      <c r="A151" s="5">
        <v>45498</v>
      </c>
      <c r="B151" s="6">
        <v>0.49305555555555558</v>
      </c>
      <c r="C151" s="3" t="s">
        <v>29</v>
      </c>
      <c r="D151" s="3">
        <v>-40</v>
      </c>
      <c r="E151" s="3" t="s">
        <v>34</v>
      </c>
      <c r="F151" s="3" t="s">
        <v>30</v>
      </c>
      <c r="G151" s="4">
        <f t="shared" si="21"/>
        <v>-365</v>
      </c>
      <c r="H151" s="4">
        <f t="shared" si="22"/>
        <v>88777.5</v>
      </c>
      <c r="I151" s="3" t="s">
        <v>44</v>
      </c>
    </row>
    <row r="152" spans="1:9" x14ac:dyDescent="0.25">
      <c r="A152" s="5">
        <v>45499</v>
      </c>
      <c r="B152" s="6">
        <v>0.50347222222222221</v>
      </c>
      <c r="C152" s="3" t="s">
        <v>29</v>
      </c>
      <c r="D152" s="3">
        <v>-53</v>
      </c>
      <c r="E152" s="3" t="s">
        <v>35</v>
      </c>
      <c r="F152" s="3" t="s">
        <v>36</v>
      </c>
      <c r="G152" s="4">
        <f t="shared" si="21"/>
        <v>-462.5</v>
      </c>
      <c r="H152" s="4">
        <f t="shared" si="22"/>
        <v>88315</v>
      </c>
      <c r="I152" s="3" t="s">
        <v>44</v>
      </c>
    </row>
    <row r="153" spans="1:9" x14ac:dyDescent="0.25">
      <c r="A153" s="5">
        <v>45502</v>
      </c>
      <c r="B153" s="6">
        <v>0.47569444444444442</v>
      </c>
      <c r="C153" s="3" t="s">
        <v>29</v>
      </c>
      <c r="D153" s="3">
        <v>-46</v>
      </c>
      <c r="E153" s="3" t="s">
        <v>28</v>
      </c>
      <c r="F153" s="3" t="s">
        <v>30</v>
      </c>
      <c r="G153" s="4">
        <f t="shared" si="21"/>
        <v>-410</v>
      </c>
      <c r="H153" s="4">
        <f t="shared" si="22"/>
        <v>87905</v>
      </c>
      <c r="I153" s="3" t="s">
        <v>44</v>
      </c>
    </row>
    <row r="154" spans="1:9" x14ac:dyDescent="0.25">
      <c r="A154" s="5">
        <v>45502</v>
      </c>
      <c r="B154" s="6">
        <v>0.49652777777777779</v>
      </c>
      <c r="C154" s="3" t="s">
        <v>31</v>
      </c>
      <c r="D154" s="3">
        <v>409</v>
      </c>
      <c r="E154" s="3" t="s">
        <v>28</v>
      </c>
      <c r="F154" s="3" t="s">
        <v>30</v>
      </c>
      <c r="G154" s="4">
        <f t="shared" si="21"/>
        <v>3002.5</v>
      </c>
      <c r="H154" s="4">
        <f t="shared" si="22"/>
        <v>90907.5</v>
      </c>
      <c r="I154" s="3" t="s">
        <v>44</v>
      </c>
    </row>
    <row r="155" spans="1:9" x14ac:dyDescent="0.25">
      <c r="A155" s="5">
        <v>45503</v>
      </c>
      <c r="B155" s="6">
        <v>0.44791666666666669</v>
      </c>
      <c r="C155" s="3" t="s">
        <v>29</v>
      </c>
      <c r="D155" s="3">
        <v>-48</v>
      </c>
      <c r="E155" s="3" t="s">
        <v>32</v>
      </c>
      <c r="F155" s="3" t="s">
        <v>30</v>
      </c>
      <c r="G155" s="4">
        <f t="shared" si="21"/>
        <v>-425</v>
      </c>
      <c r="H155" s="4">
        <f t="shared" si="22"/>
        <v>90482.5</v>
      </c>
      <c r="I155" s="3" t="s">
        <v>44</v>
      </c>
    </row>
    <row r="156" spans="1:9" x14ac:dyDescent="0.25">
      <c r="A156" s="5">
        <v>45503</v>
      </c>
      <c r="B156" s="6">
        <v>0.48958333333333331</v>
      </c>
      <c r="C156" s="3" t="s">
        <v>29</v>
      </c>
      <c r="D156" s="3">
        <v>-40</v>
      </c>
      <c r="E156" s="3" t="s">
        <v>32</v>
      </c>
      <c r="F156" s="3" t="s">
        <v>30</v>
      </c>
      <c r="G156" s="4">
        <f t="shared" si="21"/>
        <v>-365</v>
      </c>
      <c r="H156" s="4">
        <f t="shared" si="22"/>
        <v>90117.5</v>
      </c>
      <c r="I156" s="3" t="s">
        <v>44</v>
      </c>
    </row>
    <row r="157" spans="1:9" x14ac:dyDescent="0.25">
      <c r="A157" s="5">
        <v>45503</v>
      </c>
      <c r="B157" s="6">
        <v>5.2083333333333336E-2</v>
      </c>
      <c r="C157" s="3" t="s">
        <v>31</v>
      </c>
      <c r="D157" s="3">
        <v>139</v>
      </c>
      <c r="E157" s="3" t="s">
        <v>32</v>
      </c>
      <c r="F157" s="3" t="s">
        <v>36</v>
      </c>
      <c r="G157" s="4">
        <f t="shared" si="21"/>
        <v>977.5</v>
      </c>
      <c r="H157" s="4">
        <f t="shared" si="22"/>
        <v>91095</v>
      </c>
      <c r="I157" s="3" t="s">
        <v>44</v>
      </c>
    </row>
    <row r="158" spans="1:9" x14ac:dyDescent="0.25">
      <c r="A158" s="5">
        <v>45505</v>
      </c>
      <c r="B158" s="6">
        <v>0.44444444444444442</v>
      </c>
      <c r="C158" s="3" t="s">
        <v>29</v>
      </c>
      <c r="D158" s="3">
        <v>-59</v>
      </c>
      <c r="E158" s="3" t="s">
        <v>35</v>
      </c>
      <c r="F158" s="3" t="s">
        <v>30</v>
      </c>
      <c r="G158" s="4">
        <f t="shared" si="21"/>
        <v>-507.5</v>
      </c>
      <c r="H158" s="4">
        <f t="shared" si="22"/>
        <v>90587.5</v>
      </c>
      <c r="I158" s="3" t="s">
        <v>45</v>
      </c>
    </row>
    <row r="159" spans="1:9" x14ac:dyDescent="0.25">
      <c r="A159" s="5">
        <v>45505</v>
      </c>
      <c r="B159" s="6">
        <v>0.4548611111111111</v>
      </c>
      <c r="C159" s="3" t="s">
        <v>29</v>
      </c>
      <c r="D159" s="3">
        <v>-70</v>
      </c>
      <c r="E159" s="3" t="s">
        <v>35</v>
      </c>
      <c r="F159" s="3" t="s">
        <v>30</v>
      </c>
      <c r="G159" s="4">
        <f t="shared" si="21"/>
        <v>-590</v>
      </c>
      <c r="H159" s="4">
        <f t="shared" si="22"/>
        <v>89997.5</v>
      </c>
      <c r="I159" s="3" t="s">
        <v>45</v>
      </c>
    </row>
    <row r="160" spans="1:9" x14ac:dyDescent="0.25">
      <c r="A160" s="5">
        <v>45505</v>
      </c>
      <c r="B160" s="6">
        <v>0.49305555555555558</v>
      </c>
      <c r="C160" s="3" t="s">
        <v>29</v>
      </c>
      <c r="D160" s="3">
        <v>-54</v>
      </c>
      <c r="E160" s="3" t="s">
        <v>35</v>
      </c>
      <c r="F160" s="3" t="s">
        <v>30</v>
      </c>
      <c r="G160" s="4">
        <f t="shared" si="21"/>
        <v>-470</v>
      </c>
      <c r="H160" s="4">
        <f t="shared" si="22"/>
        <v>89527.5</v>
      </c>
      <c r="I160" s="3" t="s">
        <v>45</v>
      </c>
    </row>
    <row r="161" spans="1:9" x14ac:dyDescent="0.25">
      <c r="A161" s="5">
        <v>45509</v>
      </c>
      <c r="B161" s="6">
        <v>0.51388888888888884</v>
      </c>
      <c r="C161" s="3" t="s">
        <v>31</v>
      </c>
      <c r="D161" s="3">
        <v>177</v>
      </c>
      <c r="E161" s="3" t="s">
        <v>28</v>
      </c>
      <c r="F161" s="3" t="s">
        <v>36</v>
      </c>
      <c r="G161" s="4">
        <f t="shared" ref="G161:G178" si="23">(D161/2)*15-65</f>
        <v>1262.5</v>
      </c>
      <c r="H161" s="4">
        <f t="shared" ref="H161:H178" si="24">(H160+G161)</f>
        <v>90790</v>
      </c>
      <c r="I161" s="3" t="s">
        <v>45</v>
      </c>
    </row>
    <row r="162" spans="1:9" x14ac:dyDescent="0.25">
      <c r="A162" s="5">
        <v>45510</v>
      </c>
      <c r="B162" s="6">
        <v>0.3923611111111111</v>
      </c>
      <c r="C162" s="3" t="s">
        <v>31</v>
      </c>
      <c r="D162" s="3">
        <v>472</v>
      </c>
      <c r="E162" s="3" t="s">
        <v>32</v>
      </c>
      <c r="F162" s="3" t="s">
        <v>30</v>
      </c>
      <c r="G162" s="4">
        <f t="shared" si="23"/>
        <v>3475</v>
      </c>
      <c r="H162" s="4">
        <f t="shared" si="24"/>
        <v>94265</v>
      </c>
      <c r="I162" s="3" t="s">
        <v>45</v>
      </c>
    </row>
    <row r="163" spans="1:9" x14ac:dyDescent="0.25">
      <c r="A163" s="5">
        <v>45511</v>
      </c>
      <c r="B163" s="6">
        <v>0.3888888888888889</v>
      </c>
      <c r="C163" s="3" t="s">
        <v>31</v>
      </c>
      <c r="D163" s="3">
        <v>280</v>
      </c>
      <c r="E163" s="3" t="s">
        <v>33</v>
      </c>
      <c r="F163" s="3" t="s">
        <v>30</v>
      </c>
      <c r="G163" s="4">
        <f t="shared" si="23"/>
        <v>2035</v>
      </c>
      <c r="H163" s="4">
        <f t="shared" si="24"/>
        <v>96300</v>
      </c>
      <c r="I163" s="3" t="s">
        <v>45</v>
      </c>
    </row>
    <row r="164" spans="1:9" x14ac:dyDescent="0.25">
      <c r="A164" s="5">
        <v>45513</v>
      </c>
      <c r="B164" s="6">
        <v>7.6388888888888895E-2</v>
      </c>
      <c r="C164" s="3" t="s">
        <v>31</v>
      </c>
      <c r="D164" s="3">
        <v>129</v>
      </c>
      <c r="E164" s="3" t="s">
        <v>35</v>
      </c>
      <c r="F164" s="3" t="s">
        <v>36</v>
      </c>
      <c r="G164" s="4">
        <f t="shared" si="23"/>
        <v>902.5</v>
      </c>
      <c r="H164" s="4">
        <f t="shared" si="24"/>
        <v>97202.5</v>
      </c>
      <c r="I164" s="3" t="s">
        <v>45</v>
      </c>
    </row>
    <row r="165" spans="1:9" x14ac:dyDescent="0.25">
      <c r="A165" s="5">
        <v>45516</v>
      </c>
      <c r="B165" s="6">
        <v>0.43402777777777779</v>
      </c>
      <c r="C165" s="3" t="s">
        <v>29</v>
      </c>
      <c r="D165" s="3">
        <v>-76</v>
      </c>
      <c r="E165" s="3" t="s">
        <v>28</v>
      </c>
      <c r="F165" s="3" t="s">
        <v>30</v>
      </c>
      <c r="G165" s="4">
        <f t="shared" si="23"/>
        <v>-635</v>
      </c>
      <c r="H165" s="4">
        <f t="shared" si="24"/>
        <v>96567.5</v>
      </c>
      <c r="I165" s="3" t="s">
        <v>45</v>
      </c>
    </row>
    <row r="166" spans="1:9" x14ac:dyDescent="0.25">
      <c r="A166" s="5">
        <v>45516</v>
      </c>
      <c r="B166" s="6">
        <v>0.47569444444444442</v>
      </c>
      <c r="C166" s="3" t="s">
        <v>29</v>
      </c>
      <c r="D166" s="3">
        <v>-49</v>
      </c>
      <c r="E166" s="3" t="s">
        <v>28</v>
      </c>
      <c r="F166" s="3" t="s">
        <v>30</v>
      </c>
      <c r="G166" s="4">
        <f t="shared" si="23"/>
        <v>-432.5</v>
      </c>
      <c r="H166" s="4">
        <f t="shared" si="24"/>
        <v>96135</v>
      </c>
      <c r="I166" s="3" t="s">
        <v>45</v>
      </c>
    </row>
    <row r="167" spans="1:9" x14ac:dyDescent="0.25">
      <c r="A167" s="5">
        <v>45518</v>
      </c>
      <c r="B167" s="6">
        <v>4.1666666666666664E-2</v>
      </c>
      <c r="C167" s="3" t="s">
        <v>29</v>
      </c>
      <c r="D167" s="3">
        <v>-30</v>
      </c>
      <c r="E167" s="3" t="s">
        <v>33</v>
      </c>
      <c r="F167" s="3" t="s">
        <v>36</v>
      </c>
      <c r="G167" s="4">
        <f t="shared" si="23"/>
        <v>-290</v>
      </c>
      <c r="H167" s="4">
        <f t="shared" si="24"/>
        <v>95845</v>
      </c>
      <c r="I167" s="3" t="s">
        <v>45</v>
      </c>
    </row>
    <row r="168" spans="1:9" x14ac:dyDescent="0.25">
      <c r="A168" s="5">
        <v>45520</v>
      </c>
      <c r="B168" s="6">
        <v>0.39583333333333331</v>
      </c>
      <c r="C168" s="3" t="s">
        <v>31</v>
      </c>
      <c r="D168" s="3">
        <v>212</v>
      </c>
      <c r="E168" s="3" t="s">
        <v>35</v>
      </c>
      <c r="F168" s="3" t="s">
        <v>30</v>
      </c>
      <c r="G168" s="4">
        <f t="shared" si="23"/>
        <v>1525</v>
      </c>
      <c r="H168" s="4">
        <f t="shared" si="24"/>
        <v>97370</v>
      </c>
      <c r="I168" s="3" t="s">
        <v>45</v>
      </c>
    </row>
    <row r="169" spans="1:9" x14ac:dyDescent="0.25">
      <c r="A169" s="5">
        <v>45523</v>
      </c>
      <c r="B169" s="6">
        <v>0.44791666666666669</v>
      </c>
      <c r="C169" s="3" t="s">
        <v>29</v>
      </c>
      <c r="D169" s="3">
        <v>-32</v>
      </c>
      <c r="E169" s="3" t="s">
        <v>28</v>
      </c>
      <c r="F169" s="3" t="s">
        <v>30</v>
      </c>
      <c r="G169" s="4">
        <f t="shared" si="23"/>
        <v>-305</v>
      </c>
      <c r="H169" s="4">
        <f t="shared" si="24"/>
        <v>97065</v>
      </c>
      <c r="I169" s="3" t="s">
        <v>45</v>
      </c>
    </row>
    <row r="170" spans="1:9" x14ac:dyDescent="0.25">
      <c r="A170" s="5">
        <v>45523</v>
      </c>
      <c r="B170" s="6">
        <v>0.4826388888888889</v>
      </c>
      <c r="C170" s="3" t="s">
        <v>31</v>
      </c>
      <c r="D170" s="3">
        <v>-51</v>
      </c>
      <c r="E170" s="3" t="s">
        <v>28</v>
      </c>
      <c r="F170" s="3" t="s">
        <v>30</v>
      </c>
      <c r="G170" s="4">
        <f t="shared" si="23"/>
        <v>-447.5</v>
      </c>
      <c r="H170" s="4">
        <f t="shared" si="24"/>
        <v>96617.5</v>
      </c>
      <c r="I170" s="3" t="s">
        <v>45</v>
      </c>
    </row>
    <row r="171" spans="1:9" x14ac:dyDescent="0.25">
      <c r="A171" s="5">
        <v>45524</v>
      </c>
      <c r="B171" s="6">
        <v>0.43055555555555558</v>
      </c>
      <c r="C171" s="3" t="s">
        <v>29</v>
      </c>
      <c r="D171" s="3">
        <v>-40</v>
      </c>
      <c r="E171" s="3" t="s">
        <v>32</v>
      </c>
      <c r="F171" s="3" t="s">
        <v>30</v>
      </c>
      <c r="G171" s="4">
        <f t="shared" si="23"/>
        <v>-365</v>
      </c>
      <c r="H171" s="4">
        <f t="shared" si="24"/>
        <v>96252.5</v>
      </c>
      <c r="I171" s="3" t="s">
        <v>45</v>
      </c>
    </row>
    <row r="172" spans="1:9" x14ac:dyDescent="0.25">
      <c r="A172" s="5">
        <v>45524</v>
      </c>
      <c r="B172" s="6">
        <v>0.44444444444444442</v>
      </c>
      <c r="C172" s="3" t="s">
        <v>29</v>
      </c>
      <c r="D172" s="3">
        <v>-53</v>
      </c>
      <c r="E172" s="3" t="s">
        <v>32</v>
      </c>
      <c r="F172" s="3" t="s">
        <v>30</v>
      </c>
      <c r="G172" s="4">
        <f t="shared" si="23"/>
        <v>-462.5</v>
      </c>
      <c r="H172" s="4">
        <f t="shared" si="24"/>
        <v>95790</v>
      </c>
      <c r="I172" s="3" t="s">
        <v>45</v>
      </c>
    </row>
    <row r="173" spans="1:9" x14ac:dyDescent="0.25">
      <c r="A173" s="5">
        <v>45524</v>
      </c>
      <c r="B173" s="6">
        <v>0.4826388888888889</v>
      </c>
      <c r="C173" s="3" t="s">
        <v>29</v>
      </c>
      <c r="D173" s="3">
        <v>-53</v>
      </c>
      <c r="E173" s="3" t="s">
        <v>32</v>
      </c>
      <c r="F173" s="3" t="s">
        <v>30</v>
      </c>
      <c r="G173" s="4">
        <f t="shared" si="23"/>
        <v>-462.5</v>
      </c>
      <c r="H173" s="4">
        <f t="shared" si="24"/>
        <v>95327.5</v>
      </c>
      <c r="I173" s="3" t="s">
        <v>45</v>
      </c>
    </row>
    <row r="174" spans="1:9" x14ac:dyDescent="0.25">
      <c r="A174" s="5">
        <v>45525</v>
      </c>
      <c r="B174" s="6">
        <v>0.4375</v>
      </c>
      <c r="C174" s="3" t="s">
        <v>31</v>
      </c>
      <c r="D174" s="3">
        <v>152</v>
      </c>
      <c r="E174" s="3" t="s">
        <v>33</v>
      </c>
      <c r="F174" s="3" t="s">
        <v>30</v>
      </c>
      <c r="G174" s="4">
        <f t="shared" si="23"/>
        <v>1075</v>
      </c>
      <c r="H174" s="4">
        <f t="shared" si="24"/>
        <v>96402.5</v>
      </c>
      <c r="I174" s="3" t="s">
        <v>45</v>
      </c>
    </row>
    <row r="175" spans="1:9" x14ac:dyDescent="0.25">
      <c r="A175" s="5">
        <v>45526</v>
      </c>
      <c r="B175" s="6">
        <v>0.40625</v>
      </c>
      <c r="C175" s="3" t="s">
        <v>29</v>
      </c>
      <c r="D175" s="3">
        <v>-42</v>
      </c>
      <c r="E175" s="3" t="s">
        <v>34</v>
      </c>
      <c r="F175" s="3" t="s">
        <v>30</v>
      </c>
      <c r="G175" s="4">
        <f t="shared" si="23"/>
        <v>-380</v>
      </c>
      <c r="H175" s="4">
        <f t="shared" si="24"/>
        <v>96022.5</v>
      </c>
      <c r="I175" s="3" t="s">
        <v>45</v>
      </c>
    </row>
    <row r="176" spans="1:9" x14ac:dyDescent="0.25">
      <c r="A176" s="5">
        <v>45526</v>
      </c>
      <c r="B176" s="6">
        <v>7.6388888888888895E-2</v>
      </c>
      <c r="C176" s="3" t="s">
        <v>31</v>
      </c>
      <c r="D176" s="3">
        <v>93</v>
      </c>
      <c r="E176" s="3" t="s">
        <v>34</v>
      </c>
      <c r="F176" s="3" t="s">
        <v>36</v>
      </c>
      <c r="G176" s="4">
        <f t="shared" si="23"/>
        <v>632.5</v>
      </c>
      <c r="H176" s="4">
        <f t="shared" si="24"/>
        <v>96655</v>
      </c>
      <c r="I176" s="3" t="s">
        <v>45</v>
      </c>
    </row>
    <row r="177" spans="1:9" x14ac:dyDescent="0.25">
      <c r="A177" s="5">
        <v>45527</v>
      </c>
      <c r="B177" s="6">
        <v>0.39583333333333331</v>
      </c>
      <c r="C177" s="3" t="s">
        <v>31</v>
      </c>
      <c r="D177" s="3">
        <v>125</v>
      </c>
      <c r="E177" s="3" t="s">
        <v>35</v>
      </c>
      <c r="F177" s="3" t="s">
        <v>30</v>
      </c>
      <c r="G177" s="4">
        <f t="shared" si="23"/>
        <v>872.5</v>
      </c>
      <c r="H177" s="4">
        <f t="shared" si="24"/>
        <v>97527.5</v>
      </c>
      <c r="I177" s="3" t="s">
        <v>45</v>
      </c>
    </row>
    <row r="178" spans="1:9" x14ac:dyDescent="0.25">
      <c r="A178" s="5">
        <v>45530</v>
      </c>
      <c r="B178" s="6">
        <v>4.5138888888888888E-2</v>
      </c>
      <c r="C178" s="3" t="s">
        <v>29</v>
      </c>
      <c r="D178" s="3">
        <v>-20</v>
      </c>
      <c r="E178" s="3" t="s">
        <v>28</v>
      </c>
      <c r="F178" s="3" t="s">
        <v>36</v>
      </c>
      <c r="G178" s="4">
        <f t="shared" si="23"/>
        <v>-215</v>
      </c>
      <c r="H178" s="4">
        <f t="shared" si="24"/>
        <v>97312.5</v>
      </c>
      <c r="I178" s="3" t="s">
        <v>45</v>
      </c>
    </row>
    <row r="179" spans="1:9" x14ac:dyDescent="0.25">
      <c r="A179" s="5">
        <v>45531</v>
      </c>
      <c r="B179" s="6">
        <v>0.4236111111111111</v>
      </c>
      <c r="C179" s="3" t="s">
        <v>31</v>
      </c>
      <c r="D179" s="3">
        <v>192</v>
      </c>
      <c r="E179" s="3" t="s">
        <v>32</v>
      </c>
      <c r="F179" s="3" t="s">
        <v>30</v>
      </c>
      <c r="G179" s="4">
        <f t="shared" ref="G179:G183" si="25">(D179/2)*15-65</f>
        <v>1375</v>
      </c>
      <c r="H179" s="4">
        <f t="shared" ref="H179:H183" si="26">(H178+G179)</f>
        <v>98687.5</v>
      </c>
      <c r="I179" s="3" t="s">
        <v>45</v>
      </c>
    </row>
    <row r="180" spans="1:9" x14ac:dyDescent="0.25">
      <c r="A180" s="5">
        <v>45533</v>
      </c>
      <c r="B180" s="6">
        <v>0.42708333333333331</v>
      </c>
      <c r="C180" s="3" t="s">
        <v>31</v>
      </c>
      <c r="D180" s="3">
        <v>86</v>
      </c>
      <c r="E180" s="3" t="s">
        <v>34</v>
      </c>
      <c r="F180" s="3" t="s">
        <v>30</v>
      </c>
      <c r="G180" s="4">
        <f t="shared" si="25"/>
        <v>580</v>
      </c>
      <c r="H180" s="4">
        <f t="shared" si="26"/>
        <v>99267.5</v>
      </c>
      <c r="I180" s="3" t="s">
        <v>45</v>
      </c>
    </row>
    <row r="181" spans="1:9" x14ac:dyDescent="0.25">
      <c r="A181" s="5">
        <v>45537</v>
      </c>
      <c r="B181" s="6">
        <v>0.40625</v>
      </c>
      <c r="C181" s="3" t="s">
        <v>29</v>
      </c>
      <c r="D181" s="3">
        <v>-40</v>
      </c>
      <c r="E181" s="3" t="s">
        <v>28</v>
      </c>
      <c r="F181" s="3" t="s">
        <v>30</v>
      </c>
      <c r="G181" s="4">
        <f t="shared" si="25"/>
        <v>-365</v>
      </c>
      <c r="H181" s="4">
        <f t="shared" si="26"/>
        <v>98902.5</v>
      </c>
      <c r="I181" s="3" t="s">
        <v>46</v>
      </c>
    </row>
    <row r="182" spans="1:9" x14ac:dyDescent="0.25">
      <c r="A182" s="5">
        <v>45537</v>
      </c>
      <c r="B182" s="6">
        <v>9.7222222222222224E-2</v>
      </c>
      <c r="C182" s="3" t="s">
        <v>31</v>
      </c>
      <c r="D182" s="3">
        <v>118</v>
      </c>
      <c r="E182" s="3" t="s">
        <v>28</v>
      </c>
      <c r="F182" s="3" t="s">
        <v>36</v>
      </c>
      <c r="G182" s="4">
        <f t="shared" si="25"/>
        <v>820</v>
      </c>
      <c r="H182" s="4">
        <f t="shared" si="26"/>
        <v>99722.5</v>
      </c>
      <c r="I182" s="3" t="s">
        <v>46</v>
      </c>
    </row>
    <row r="183" spans="1:9" x14ac:dyDescent="0.25">
      <c r="A183" s="5">
        <v>45538</v>
      </c>
      <c r="B183" s="6">
        <v>0.43055555555555558</v>
      </c>
      <c r="C183" s="3" t="s">
        <v>31</v>
      </c>
      <c r="D183" s="3">
        <v>93</v>
      </c>
      <c r="E183" s="3" t="s">
        <v>32</v>
      </c>
      <c r="F183" s="3" t="s">
        <v>30</v>
      </c>
      <c r="G183" s="4">
        <f t="shared" si="25"/>
        <v>632.5</v>
      </c>
      <c r="H183" s="4">
        <f t="shared" si="26"/>
        <v>100355</v>
      </c>
      <c r="I183" s="3" t="s">
        <v>46</v>
      </c>
    </row>
    <row r="184" spans="1:9" x14ac:dyDescent="0.25">
      <c r="A184" s="5">
        <v>45539</v>
      </c>
      <c r="B184" s="6">
        <v>0.46875</v>
      </c>
      <c r="C184" s="3" t="s">
        <v>29</v>
      </c>
      <c r="D184" s="3">
        <v>-30</v>
      </c>
      <c r="E184" s="3" t="s">
        <v>33</v>
      </c>
      <c r="F184" s="3" t="s">
        <v>30</v>
      </c>
      <c r="G184" s="4">
        <f t="shared" ref="G184:G203" si="27">(D184/2)*15-65</f>
        <v>-290</v>
      </c>
      <c r="H184" s="4">
        <f t="shared" ref="H184:H203" si="28">(H183+G184)</f>
        <v>100065</v>
      </c>
      <c r="I184" s="3" t="s">
        <v>46</v>
      </c>
    </row>
    <row r="185" spans="1:9" x14ac:dyDescent="0.25">
      <c r="A185" s="5">
        <v>45540</v>
      </c>
      <c r="B185" s="6">
        <v>0.39583333333333331</v>
      </c>
      <c r="C185" s="3" t="s">
        <v>31</v>
      </c>
      <c r="D185" s="3">
        <v>111</v>
      </c>
      <c r="E185" s="3" t="s">
        <v>34</v>
      </c>
      <c r="F185" s="3" t="s">
        <v>30</v>
      </c>
      <c r="G185" s="4">
        <f t="shared" si="27"/>
        <v>767.5</v>
      </c>
      <c r="H185" s="4">
        <f t="shared" si="28"/>
        <v>100832.5</v>
      </c>
      <c r="I185" s="3" t="s">
        <v>46</v>
      </c>
    </row>
    <row r="186" spans="1:9" x14ac:dyDescent="0.25">
      <c r="A186" s="5">
        <v>45541</v>
      </c>
      <c r="B186" s="6">
        <v>0.51736111111111116</v>
      </c>
      <c r="C186" s="3" t="s">
        <v>31</v>
      </c>
      <c r="D186" s="3">
        <v>122</v>
      </c>
      <c r="E186" s="3" t="s">
        <v>35</v>
      </c>
      <c r="F186" s="3" t="s">
        <v>36</v>
      </c>
      <c r="G186" s="4">
        <f t="shared" si="27"/>
        <v>850</v>
      </c>
      <c r="H186" s="4">
        <f t="shared" si="28"/>
        <v>101682.5</v>
      </c>
      <c r="I186" s="3" t="s">
        <v>46</v>
      </c>
    </row>
    <row r="187" spans="1:9" x14ac:dyDescent="0.25">
      <c r="A187" s="5">
        <v>45544</v>
      </c>
      <c r="B187" s="6">
        <v>0.4548611111111111</v>
      </c>
      <c r="C187" s="3" t="s">
        <v>29</v>
      </c>
      <c r="D187" s="3">
        <v>-40</v>
      </c>
      <c r="E187" s="3" t="s">
        <v>28</v>
      </c>
      <c r="F187" s="3" t="s">
        <v>30</v>
      </c>
      <c r="G187" s="4">
        <f t="shared" si="27"/>
        <v>-365</v>
      </c>
      <c r="H187" s="4">
        <f t="shared" si="28"/>
        <v>101317.5</v>
      </c>
      <c r="I187" s="3" t="s">
        <v>46</v>
      </c>
    </row>
    <row r="188" spans="1:9" x14ac:dyDescent="0.25">
      <c r="A188" s="5">
        <v>45544</v>
      </c>
      <c r="B188" s="6">
        <v>0.5</v>
      </c>
      <c r="C188" s="3" t="s">
        <v>31</v>
      </c>
      <c r="D188" s="3">
        <v>183</v>
      </c>
      <c r="E188" s="3" t="s">
        <v>28</v>
      </c>
      <c r="F188" s="3" t="s">
        <v>36</v>
      </c>
      <c r="G188" s="4">
        <f t="shared" si="27"/>
        <v>1307.5</v>
      </c>
      <c r="H188" s="4">
        <f t="shared" si="28"/>
        <v>102625</v>
      </c>
      <c r="I188" s="3" t="s">
        <v>46</v>
      </c>
    </row>
    <row r="189" spans="1:9" x14ac:dyDescent="0.25">
      <c r="A189" s="5">
        <v>45545</v>
      </c>
      <c r="B189" s="6">
        <v>0.44444444444444442</v>
      </c>
      <c r="C189" s="3" t="s">
        <v>31</v>
      </c>
      <c r="D189" s="3">
        <v>87</v>
      </c>
      <c r="E189" s="3" t="s">
        <v>32</v>
      </c>
      <c r="F189" s="3" t="s">
        <v>30</v>
      </c>
      <c r="G189" s="4">
        <f t="shared" si="27"/>
        <v>587.5</v>
      </c>
      <c r="H189" s="4">
        <f t="shared" si="28"/>
        <v>103212.5</v>
      </c>
      <c r="I189" s="3" t="s">
        <v>46</v>
      </c>
    </row>
    <row r="190" spans="1:9" x14ac:dyDescent="0.25">
      <c r="A190" s="5">
        <v>45546</v>
      </c>
      <c r="B190" s="6">
        <v>0.40972222222222221</v>
      </c>
      <c r="C190" s="3" t="s">
        <v>29</v>
      </c>
      <c r="D190" s="3">
        <v>-40</v>
      </c>
      <c r="E190" s="3" t="s">
        <v>33</v>
      </c>
      <c r="F190" s="3" t="s">
        <v>30</v>
      </c>
      <c r="G190" s="4">
        <f t="shared" si="27"/>
        <v>-365</v>
      </c>
      <c r="H190" s="4">
        <f t="shared" si="28"/>
        <v>102847.5</v>
      </c>
      <c r="I190" s="3" t="s">
        <v>46</v>
      </c>
    </row>
    <row r="191" spans="1:9" x14ac:dyDescent="0.25">
      <c r="A191" s="5">
        <v>45546</v>
      </c>
      <c r="B191" s="6">
        <v>0.44791666666666669</v>
      </c>
      <c r="C191" s="3" t="s">
        <v>31</v>
      </c>
      <c r="D191" s="3">
        <v>141</v>
      </c>
      <c r="E191" s="3" t="s">
        <v>33</v>
      </c>
      <c r="F191" s="3" t="s">
        <v>30</v>
      </c>
      <c r="G191" s="4">
        <f t="shared" si="27"/>
        <v>992.5</v>
      </c>
      <c r="H191" s="4">
        <f t="shared" si="28"/>
        <v>103840</v>
      </c>
      <c r="I191" s="3" t="s">
        <v>46</v>
      </c>
    </row>
    <row r="192" spans="1:9" x14ac:dyDescent="0.25">
      <c r="A192" s="5">
        <v>45547</v>
      </c>
      <c r="B192" s="6">
        <v>0.13541666666666666</v>
      </c>
      <c r="C192" s="3" t="s">
        <v>31</v>
      </c>
      <c r="D192" s="3">
        <v>170</v>
      </c>
      <c r="E192" s="3" t="s">
        <v>34</v>
      </c>
      <c r="F192" s="3" t="s">
        <v>36</v>
      </c>
      <c r="G192" s="4">
        <f t="shared" si="27"/>
        <v>1210</v>
      </c>
      <c r="H192" s="4">
        <f t="shared" si="28"/>
        <v>105050</v>
      </c>
      <c r="I192" s="3" t="s">
        <v>46</v>
      </c>
    </row>
    <row r="193" spans="1:9" x14ac:dyDescent="0.25">
      <c r="A193" s="5">
        <v>45548</v>
      </c>
      <c r="B193" s="6">
        <v>0.10416666666666667</v>
      </c>
      <c r="C193" s="3" t="s">
        <v>31</v>
      </c>
      <c r="D193" s="3">
        <v>81</v>
      </c>
      <c r="E193" s="3" t="s">
        <v>35</v>
      </c>
      <c r="F193" s="3" t="s">
        <v>36</v>
      </c>
      <c r="G193" s="4">
        <f t="shared" si="27"/>
        <v>542.5</v>
      </c>
      <c r="H193" s="4">
        <f t="shared" si="28"/>
        <v>105592.5</v>
      </c>
      <c r="I193" s="3" t="s">
        <v>46</v>
      </c>
    </row>
    <row r="194" spans="1:9" x14ac:dyDescent="0.25">
      <c r="A194" s="5">
        <v>45551</v>
      </c>
      <c r="B194" s="6">
        <v>0.40972222222222221</v>
      </c>
      <c r="C194" s="3" t="s">
        <v>31</v>
      </c>
      <c r="D194" s="3">
        <v>128</v>
      </c>
      <c r="E194" s="3" t="s">
        <v>28</v>
      </c>
      <c r="F194" s="3" t="s">
        <v>30</v>
      </c>
      <c r="G194" s="4">
        <f t="shared" si="27"/>
        <v>895</v>
      </c>
      <c r="H194" s="4">
        <f t="shared" si="28"/>
        <v>106487.5</v>
      </c>
      <c r="I194" s="3" t="s">
        <v>46</v>
      </c>
    </row>
    <row r="195" spans="1:9" x14ac:dyDescent="0.25">
      <c r="A195" s="5">
        <v>45552</v>
      </c>
      <c r="B195" s="6">
        <v>0.40972222222222221</v>
      </c>
      <c r="C195" s="3" t="s">
        <v>29</v>
      </c>
      <c r="D195" s="3">
        <v>-45</v>
      </c>
      <c r="E195" s="3" t="s">
        <v>32</v>
      </c>
      <c r="F195" s="3" t="s">
        <v>30</v>
      </c>
      <c r="G195" s="4">
        <f t="shared" si="27"/>
        <v>-402.5</v>
      </c>
      <c r="H195" s="4">
        <f t="shared" si="28"/>
        <v>106085</v>
      </c>
      <c r="I195" s="3" t="s">
        <v>46</v>
      </c>
    </row>
    <row r="196" spans="1:9" x14ac:dyDescent="0.25">
      <c r="A196" s="5">
        <v>45553</v>
      </c>
      <c r="B196" s="6">
        <v>0.4513888888888889</v>
      </c>
      <c r="C196" s="3" t="s">
        <v>29</v>
      </c>
      <c r="D196" s="3">
        <v>-50</v>
      </c>
      <c r="E196" s="3" t="s">
        <v>33</v>
      </c>
      <c r="F196" s="3" t="s">
        <v>30</v>
      </c>
      <c r="G196" s="4">
        <f t="shared" si="27"/>
        <v>-440</v>
      </c>
      <c r="H196" s="4">
        <f t="shared" si="28"/>
        <v>105645</v>
      </c>
      <c r="I196" s="3" t="s">
        <v>46</v>
      </c>
    </row>
    <row r="197" spans="1:9" x14ac:dyDescent="0.25">
      <c r="A197" s="5">
        <v>45553</v>
      </c>
      <c r="B197" s="6">
        <v>0.53472222222222221</v>
      </c>
      <c r="C197" s="3" t="s">
        <v>31</v>
      </c>
      <c r="D197" s="3">
        <v>194</v>
      </c>
      <c r="E197" s="3" t="s">
        <v>33</v>
      </c>
      <c r="F197" s="3" t="s">
        <v>36</v>
      </c>
      <c r="G197" s="4">
        <f t="shared" si="27"/>
        <v>1390</v>
      </c>
      <c r="H197" s="4">
        <f t="shared" si="28"/>
        <v>107035</v>
      </c>
      <c r="I197" s="3" t="s">
        <v>46</v>
      </c>
    </row>
    <row r="198" spans="1:9" x14ac:dyDescent="0.25">
      <c r="A198" s="5">
        <v>45554</v>
      </c>
      <c r="B198" s="6">
        <v>0.53819444444444442</v>
      </c>
      <c r="C198" s="3" t="s">
        <v>31</v>
      </c>
      <c r="D198" s="3">
        <v>80</v>
      </c>
      <c r="E198" s="3" t="s">
        <v>34</v>
      </c>
      <c r="F198" s="3" t="s">
        <v>36</v>
      </c>
      <c r="G198" s="4">
        <f t="shared" si="27"/>
        <v>535</v>
      </c>
      <c r="H198" s="4">
        <f t="shared" si="28"/>
        <v>107570</v>
      </c>
      <c r="I198" s="3" t="s">
        <v>46</v>
      </c>
    </row>
    <row r="199" spans="1:9" x14ac:dyDescent="0.25">
      <c r="A199" s="5">
        <v>45555</v>
      </c>
      <c r="B199" s="6">
        <v>0.42708333333333331</v>
      </c>
      <c r="C199" s="3" t="s">
        <v>29</v>
      </c>
      <c r="D199" s="3">
        <v>-70</v>
      </c>
      <c r="E199" s="3" t="s">
        <v>35</v>
      </c>
      <c r="F199" s="3" t="s">
        <v>30</v>
      </c>
      <c r="G199" s="4">
        <f t="shared" si="27"/>
        <v>-590</v>
      </c>
      <c r="H199" s="4">
        <f t="shared" si="28"/>
        <v>106980</v>
      </c>
      <c r="I199" s="3" t="s">
        <v>46</v>
      </c>
    </row>
    <row r="200" spans="1:9" x14ac:dyDescent="0.25">
      <c r="A200" s="5">
        <v>45555</v>
      </c>
      <c r="B200" s="6">
        <v>0.45833333333333331</v>
      </c>
      <c r="C200" s="3" t="s">
        <v>29</v>
      </c>
      <c r="D200" s="3">
        <v>-56</v>
      </c>
      <c r="E200" s="3" t="s">
        <v>35</v>
      </c>
      <c r="F200" s="3" t="s">
        <v>30</v>
      </c>
      <c r="G200" s="4">
        <f t="shared" si="27"/>
        <v>-485</v>
      </c>
      <c r="H200" s="4">
        <f t="shared" si="28"/>
        <v>106495</v>
      </c>
      <c r="I200" s="3" t="s">
        <v>46</v>
      </c>
    </row>
    <row r="201" spans="1:9" x14ac:dyDescent="0.25">
      <c r="A201" s="5">
        <v>45555</v>
      </c>
      <c r="B201" s="6">
        <v>0.53819444444444442</v>
      </c>
      <c r="C201" s="3" t="s">
        <v>31</v>
      </c>
      <c r="D201" s="3">
        <v>324</v>
      </c>
      <c r="E201" s="3" t="s">
        <v>35</v>
      </c>
      <c r="F201" s="3" t="s">
        <v>36</v>
      </c>
      <c r="G201" s="4">
        <f t="shared" si="27"/>
        <v>2365</v>
      </c>
      <c r="H201" s="4">
        <f t="shared" si="28"/>
        <v>108860</v>
      </c>
      <c r="I201" s="3" t="s">
        <v>46</v>
      </c>
    </row>
    <row r="202" spans="1:9" x14ac:dyDescent="0.25">
      <c r="A202" s="5">
        <v>45558</v>
      </c>
      <c r="B202" s="6">
        <v>0.10416666666666667</v>
      </c>
      <c r="C202" s="3" t="s">
        <v>29</v>
      </c>
      <c r="D202" s="3">
        <v>-41</v>
      </c>
      <c r="E202" s="3" t="s">
        <v>28</v>
      </c>
      <c r="F202" s="3" t="s">
        <v>36</v>
      </c>
      <c r="G202" s="4">
        <f t="shared" si="27"/>
        <v>-372.5</v>
      </c>
      <c r="H202" s="4">
        <f t="shared" si="28"/>
        <v>108487.5</v>
      </c>
      <c r="I202" s="3" t="s">
        <v>46</v>
      </c>
    </row>
    <row r="203" spans="1:9" x14ac:dyDescent="0.25">
      <c r="A203" s="5">
        <v>45559</v>
      </c>
      <c r="B203" s="6">
        <v>0.52777777777777779</v>
      </c>
      <c r="C203" s="3" t="s">
        <v>29</v>
      </c>
      <c r="D203" s="3">
        <v>-31</v>
      </c>
      <c r="E203" s="3" t="s">
        <v>32</v>
      </c>
      <c r="F203" s="3" t="s">
        <v>36</v>
      </c>
      <c r="G203" s="4">
        <f t="shared" si="27"/>
        <v>-297.5</v>
      </c>
      <c r="H203" s="4">
        <f t="shared" si="28"/>
        <v>108190</v>
      </c>
      <c r="I203" s="3" t="s">
        <v>46</v>
      </c>
    </row>
    <row r="204" spans="1:9" x14ac:dyDescent="0.25">
      <c r="A204" s="5">
        <v>45560</v>
      </c>
      <c r="B204" s="6">
        <v>0.44791666666666669</v>
      </c>
      <c r="C204" s="3" t="s">
        <v>29</v>
      </c>
      <c r="D204" s="3">
        <v>-50</v>
      </c>
      <c r="E204" s="3" t="s">
        <v>33</v>
      </c>
      <c r="F204" s="3" t="s">
        <v>30</v>
      </c>
      <c r="G204" s="4">
        <f t="shared" ref="G204:G207" si="29">(D204/2)*15-65</f>
        <v>-440</v>
      </c>
      <c r="H204" s="4">
        <f t="shared" ref="H204:H207" si="30">(H203+G204)</f>
        <v>107750</v>
      </c>
      <c r="I204" s="3" t="s">
        <v>46</v>
      </c>
    </row>
    <row r="205" spans="1:9" x14ac:dyDescent="0.25">
      <c r="A205" s="5">
        <v>45561</v>
      </c>
      <c r="B205" s="6">
        <v>6.25E-2</v>
      </c>
      <c r="C205" s="3" t="s">
        <v>31</v>
      </c>
      <c r="D205" s="3">
        <v>97</v>
      </c>
      <c r="E205" s="3" t="s">
        <v>34</v>
      </c>
      <c r="F205" s="3" t="s">
        <v>36</v>
      </c>
      <c r="G205" s="4">
        <f t="shared" si="29"/>
        <v>662.5</v>
      </c>
      <c r="H205" s="4">
        <f t="shared" si="30"/>
        <v>108412.5</v>
      </c>
      <c r="I205" s="3" t="s">
        <v>46</v>
      </c>
    </row>
    <row r="206" spans="1:9" x14ac:dyDescent="0.25">
      <c r="A206" s="5">
        <v>45565</v>
      </c>
      <c r="B206" s="6">
        <v>0.4513888888888889</v>
      </c>
      <c r="C206" s="3" t="s">
        <v>29</v>
      </c>
      <c r="D206" s="3">
        <v>-50</v>
      </c>
      <c r="E206" s="3" t="s">
        <v>28</v>
      </c>
      <c r="F206" s="3" t="s">
        <v>30</v>
      </c>
      <c r="G206" s="4">
        <f t="shared" si="29"/>
        <v>-440</v>
      </c>
      <c r="H206" s="4">
        <f t="shared" si="30"/>
        <v>107972.5</v>
      </c>
      <c r="I206" s="3" t="s">
        <v>46</v>
      </c>
    </row>
    <row r="207" spans="1:9" x14ac:dyDescent="0.25">
      <c r="A207" s="5">
        <v>45565</v>
      </c>
      <c r="B207" s="6">
        <v>8.6805555555555552E-2</v>
      </c>
      <c r="C207" s="3" t="s">
        <v>31</v>
      </c>
      <c r="D207" s="3">
        <v>117</v>
      </c>
      <c r="E207" s="3" t="s">
        <v>28</v>
      </c>
      <c r="F207" s="3" t="s">
        <v>36</v>
      </c>
      <c r="G207" s="4">
        <f t="shared" si="29"/>
        <v>812.5</v>
      </c>
      <c r="H207" s="4">
        <f t="shared" si="30"/>
        <v>108785</v>
      </c>
      <c r="I207" s="3" t="s">
        <v>46</v>
      </c>
    </row>
    <row r="208" spans="1:9" x14ac:dyDescent="0.25">
      <c r="A208" s="5">
        <v>45566</v>
      </c>
      <c r="B208" s="6">
        <v>0.46527777777777779</v>
      </c>
      <c r="C208" s="3" t="s">
        <v>29</v>
      </c>
      <c r="D208" s="3">
        <v>-52</v>
      </c>
      <c r="E208" s="3" t="s">
        <v>32</v>
      </c>
      <c r="F208" s="3" t="s">
        <v>30</v>
      </c>
      <c r="G208" s="4">
        <f>(D208/2)*15-65</f>
        <v>-455</v>
      </c>
      <c r="H208" s="4">
        <f>(H207+G208)</f>
        <v>108330</v>
      </c>
      <c r="I208" s="3" t="s">
        <v>47</v>
      </c>
    </row>
    <row r="209" spans="1:9" x14ac:dyDescent="0.25">
      <c r="A209" s="5">
        <v>45569</v>
      </c>
      <c r="B209" s="6">
        <v>0.46527777777777779</v>
      </c>
      <c r="C209" s="3" t="s">
        <v>31</v>
      </c>
      <c r="D209" s="3">
        <v>154</v>
      </c>
      <c r="E209" s="3" t="s">
        <v>35</v>
      </c>
      <c r="F209" s="3" t="s">
        <v>30</v>
      </c>
      <c r="G209" s="4">
        <f t="shared" ref="G209:G236" si="31">(D209/2)*15-65</f>
        <v>1090</v>
      </c>
      <c r="H209" s="4">
        <f t="shared" ref="H209:H236" si="32">(H208+G209)</f>
        <v>109420</v>
      </c>
      <c r="I209" s="3" t="s">
        <v>47</v>
      </c>
    </row>
    <row r="210" spans="1:9" x14ac:dyDescent="0.25">
      <c r="A210" s="5">
        <v>45572</v>
      </c>
      <c r="B210" s="6">
        <v>0.12152777777777778</v>
      </c>
      <c r="C210" s="3" t="s">
        <v>31</v>
      </c>
      <c r="D210" s="3">
        <v>490</v>
      </c>
      <c r="E210" s="3" t="s">
        <v>28</v>
      </c>
      <c r="F210" s="3" t="s">
        <v>36</v>
      </c>
      <c r="G210" s="4">
        <f t="shared" si="31"/>
        <v>3610</v>
      </c>
      <c r="H210" s="4">
        <f t="shared" si="32"/>
        <v>113030</v>
      </c>
      <c r="I210" s="3" t="s">
        <v>47</v>
      </c>
    </row>
    <row r="211" spans="1:9" x14ac:dyDescent="0.25">
      <c r="A211" s="5">
        <v>45573</v>
      </c>
      <c r="B211" s="6">
        <v>0.44791666666666669</v>
      </c>
      <c r="C211" s="3" t="s">
        <v>29</v>
      </c>
      <c r="D211" s="3">
        <v>-70</v>
      </c>
      <c r="E211" s="3" t="s">
        <v>32</v>
      </c>
      <c r="F211" s="3" t="s">
        <v>30</v>
      </c>
      <c r="G211" s="4">
        <f t="shared" si="31"/>
        <v>-590</v>
      </c>
      <c r="H211" s="4">
        <f t="shared" si="32"/>
        <v>112440</v>
      </c>
      <c r="I211" s="3" t="s">
        <v>47</v>
      </c>
    </row>
    <row r="212" spans="1:9" x14ac:dyDescent="0.25">
      <c r="A212" s="5">
        <v>45573</v>
      </c>
      <c r="B212" s="6">
        <v>5.2083333333333336E-2</v>
      </c>
      <c r="C212" s="3" t="s">
        <v>29</v>
      </c>
      <c r="D212" s="3">
        <v>-41</v>
      </c>
      <c r="E212" s="3" t="s">
        <v>32</v>
      </c>
      <c r="F212" s="3" t="s">
        <v>36</v>
      </c>
      <c r="G212" s="4">
        <f t="shared" si="31"/>
        <v>-372.5</v>
      </c>
      <c r="H212" s="4">
        <f t="shared" si="32"/>
        <v>112067.5</v>
      </c>
      <c r="I212" s="3" t="s">
        <v>47</v>
      </c>
    </row>
    <row r="213" spans="1:9" x14ac:dyDescent="0.25">
      <c r="A213" s="5">
        <v>45574</v>
      </c>
      <c r="B213" s="6">
        <v>0.43055555555555558</v>
      </c>
      <c r="C213" s="3" t="s">
        <v>31</v>
      </c>
      <c r="D213" s="3">
        <v>207</v>
      </c>
      <c r="E213" s="3" t="s">
        <v>33</v>
      </c>
      <c r="F213" s="3" t="s">
        <v>30</v>
      </c>
      <c r="G213" s="4">
        <f t="shared" si="31"/>
        <v>1487.5</v>
      </c>
      <c r="H213" s="4">
        <f t="shared" si="32"/>
        <v>113555</v>
      </c>
      <c r="I213" s="3" t="s">
        <v>47</v>
      </c>
    </row>
    <row r="214" spans="1:9" x14ac:dyDescent="0.25">
      <c r="A214" s="5">
        <v>45575</v>
      </c>
      <c r="B214" s="6">
        <v>0.42708333333333331</v>
      </c>
      <c r="C214" s="3" t="s">
        <v>29</v>
      </c>
      <c r="D214" s="3">
        <v>-55</v>
      </c>
      <c r="E214" s="3" t="s">
        <v>34</v>
      </c>
      <c r="F214" s="3" t="s">
        <v>30</v>
      </c>
      <c r="G214" s="4">
        <f t="shared" si="31"/>
        <v>-477.5</v>
      </c>
      <c r="H214" s="4">
        <f t="shared" si="32"/>
        <v>113077.5</v>
      </c>
      <c r="I214" s="3" t="s">
        <v>47</v>
      </c>
    </row>
    <row r="215" spans="1:9" x14ac:dyDescent="0.25">
      <c r="A215" s="5">
        <v>45575</v>
      </c>
      <c r="B215" s="6">
        <v>6.25E-2</v>
      </c>
      <c r="C215" s="3" t="s">
        <v>29</v>
      </c>
      <c r="D215" s="3">
        <v>-64</v>
      </c>
      <c r="E215" s="3" t="s">
        <v>34</v>
      </c>
      <c r="F215" s="3" t="s">
        <v>36</v>
      </c>
      <c r="G215" s="4">
        <f t="shared" si="31"/>
        <v>-545</v>
      </c>
      <c r="H215" s="4">
        <f t="shared" si="32"/>
        <v>112532.5</v>
      </c>
      <c r="I215" s="3" t="s">
        <v>47</v>
      </c>
    </row>
    <row r="216" spans="1:9" x14ac:dyDescent="0.25">
      <c r="A216" s="5">
        <v>45576</v>
      </c>
      <c r="B216" s="6">
        <v>0.41666666666666669</v>
      </c>
      <c r="C216" s="3" t="s">
        <v>29</v>
      </c>
      <c r="D216" s="3">
        <v>-67</v>
      </c>
      <c r="E216" s="3" t="s">
        <v>35</v>
      </c>
      <c r="F216" s="3" t="s">
        <v>30</v>
      </c>
      <c r="G216" s="4">
        <f t="shared" si="31"/>
        <v>-567.5</v>
      </c>
      <c r="H216" s="4">
        <f t="shared" si="32"/>
        <v>111965</v>
      </c>
      <c r="I216" s="3" t="s">
        <v>47</v>
      </c>
    </row>
    <row r="217" spans="1:9" x14ac:dyDescent="0.25">
      <c r="A217" s="5">
        <v>45576</v>
      </c>
      <c r="B217" s="6">
        <v>0.52430555555555558</v>
      </c>
      <c r="C217" s="3" t="s">
        <v>29</v>
      </c>
      <c r="D217" s="3">
        <v>-32</v>
      </c>
      <c r="E217" s="3" t="s">
        <v>35</v>
      </c>
      <c r="F217" s="3" t="s">
        <v>36</v>
      </c>
      <c r="G217" s="4">
        <f t="shared" si="31"/>
        <v>-305</v>
      </c>
      <c r="H217" s="4">
        <f t="shared" si="32"/>
        <v>111660</v>
      </c>
      <c r="I217" s="3" t="s">
        <v>47</v>
      </c>
    </row>
    <row r="218" spans="1:9" x14ac:dyDescent="0.25">
      <c r="A218" s="5">
        <v>45579</v>
      </c>
      <c r="B218" s="6">
        <v>0.4201388888888889</v>
      </c>
      <c r="C218" s="3" t="s">
        <v>29</v>
      </c>
      <c r="D218" s="3">
        <v>-50</v>
      </c>
      <c r="E218" s="3" t="s">
        <v>28</v>
      </c>
      <c r="F218" s="3" t="s">
        <v>30</v>
      </c>
      <c r="G218" s="4">
        <f t="shared" si="31"/>
        <v>-440</v>
      </c>
      <c r="H218" s="4">
        <f t="shared" si="32"/>
        <v>111220</v>
      </c>
      <c r="I218" s="3" t="s">
        <v>47</v>
      </c>
    </row>
    <row r="219" spans="1:9" x14ac:dyDescent="0.25">
      <c r="A219" s="5">
        <v>45579</v>
      </c>
      <c r="B219" s="6">
        <v>0.47569444444444442</v>
      </c>
      <c r="C219" s="3" t="s">
        <v>31</v>
      </c>
      <c r="D219" s="3">
        <v>51</v>
      </c>
      <c r="E219" s="3" t="s">
        <v>28</v>
      </c>
      <c r="F219" s="3" t="s">
        <v>30</v>
      </c>
      <c r="G219" s="4">
        <f t="shared" si="31"/>
        <v>317.5</v>
      </c>
      <c r="H219" s="4">
        <f t="shared" si="32"/>
        <v>111537.5</v>
      </c>
      <c r="I219" s="3" t="s">
        <v>47</v>
      </c>
    </row>
    <row r="220" spans="1:9" x14ac:dyDescent="0.25">
      <c r="A220" s="5">
        <v>45580</v>
      </c>
      <c r="B220" s="6">
        <v>0.44791666666666669</v>
      </c>
      <c r="C220" s="3" t="s">
        <v>31</v>
      </c>
      <c r="D220" s="3">
        <v>149</v>
      </c>
      <c r="E220" s="3" t="s">
        <v>32</v>
      </c>
      <c r="F220" s="3" t="s">
        <v>30</v>
      </c>
      <c r="G220" s="4">
        <f t="shared" si="31"/>
        <v>1052.5</v>
      </c>
      <c r="H220" s="4">
        <f t="shared" si="32"/>
        <v>112590</v>
      </c>
      <c r="I220" s="3" t="s">
        <v>47</v>
      </c>
    </row>
    <row r="221" spans="1:9" x14ac:dyDescent="0.25">
      <c r="A221" s="5">
        <v>45581</v>
      </c>
      <c r="B221" s="6">
        <v>0.41666666666666669</v>
      </c>
      <c r="C221" s="3" t="s">
        <v>31</v>
      </c>
      <c r="D221" s="3">
        <v>114</v>
      </c>
      <c r="E221" s="3" t="s">
        <v>33</v>
      </c>
      <c r="F221" s="3" t="s">
        <v>30</v>
      </c>
      <c r="G221" s="4">
        <f t="shared" si="31"/>
        <v>790</v>
      </c>
      <c r="H221" s="4">
        <f t="shared" si="32"/>
        <v>113380</v>
      </c>
      <c r="I221" s="3" t="s">
        <v>47</v>
      </c>
    </row>
    <row r="222" spans="1:9" x14ac:dyDescent="0.25">
      <c r="A222" s="5">
        <v>45582</v>
      </c>
      <c r="B222" s="6">
        <v>0.4513888888888889</v>
      </c>
      <c r="C222" s="3" t="s">
        <v>31</v>
      </c>
      <c r="D222" s="3">
        <v>170</v>
      </c>
      <c r="E222" s="3" t="s">
        <v>34</v>
      </c>
      <c r="F222" s="3" t="s">
        <v>30</v>
      </c>
      <c r="G222" s="4">
        <f t="shared" si="31"/>
        <v>1210</v>
      </c>
      <c r="H222" s="4">
        <f t="shared" si="32"/>
        <v>114590</v>
      </c>
      <c r="I222" s="3" t="s">
        <v>47</v>
      </c>
    </row>
    <row r="223" spans="1:9" x14ac:dyDescent="0.25">
      <c r="A223" s="5">
        <v>45583</v>
      </c>
      <c r="B223" s="6">
        <v>7.6388888888888895E-2</v>
      </c>
      <c r="C223" s="3" t="s">
        <v>29</v>
      </c>
      <c r="D223" s="3">
        <v>-50</v>
      </c>
      <c r="E223" s="3" t="s">
        <v>35</v>
      </c>
      <c r="F223" s="3" t="s">
        <v>36</v>
      </c>
      <c r="G223" s="4">
        <f t="shared" si="31"/>
        <v>-440</v>
      </c>
      <c r="H223" s="4">
        <f t="shared" si="32"/>
        <v>114150</v>
      </c>
      <c r="I223" s="3" t="s">
        <v>47</v>
      </c>
    </row>
    <row r="224" spans="1:9" x14ac:dyDescent="0.25">
      <c r="A224" s="5">
        <v>45586</v>
      </c>
      <c r="B224" s="6">
        <v>0.4236111111111111</v>
      </c>
      <c r="C224" s="3" t="s">
        <v>31</v>
      </c>
      <c r="D224" s="3">
        <v>252</v>
      </c>
      <c r="E224" s="3" t="s">
        <v>28</v>
      </c>
      <c r="F224" s="3" t="s">
        <v>30</v>
      </c>
      <c r="G224" s="4">
        <f t="shared" si="31"/>
        <v>1825</v>
      </c>
      <c r="H224" s="4">
        <f t="shared" si="32"/>
        <v>115975</v>
      </c>
      <c r="I224" s="3" t="s">
        <v>47</v>
      </c>
    </row>
    <row r="225" spans="1:9" x14ac:dyDescent="0.25">
      <c r="A225" s="5">
        <v>45588</v>
      </c>
      <c r="B225" s="6">
        <v>0.41666666666666669</v>
      </c>
      <c r="C225" s="3" t="s">
        <v>31</v>
      </c>
      <c r="D225" s="3">
        <v>244</v>
      </c>
      <c r="E225" s="3" t="s">
        <v>33</v>
      </c>
      <c r="F225" s="3" t="s">
        <v>30</v>
      </c>
      <c r="G225" s="4">
        <f t="shared" si="31"/>
        <v>1765</v>
      </c>
      <c r="H225" s="4">
        <f t="shared" si="32"/>
        <v>117740</v>
      </c>
      <c r="I225" s="3" t="s">
        <v>47</v>
      </c>
    </row>
    <row r="226" spans="1:9" x14ac:dyDescent="0.25">
      <c r="A226" s="5">
        <v>45589</v>
      </c>
      <c r="B226" s="6">
        <v>0.43055555555555558</v>
      </c>
      <c r="C226" s="3" t="s">
        <v>29</v>
      </c>
      <c r="D226" s="3">
        <v>-60</v>
      </c>
      <c r="E226" s="3" t="s">
        <v>34</v>
      </c>
      <c r="F226" s="3" t="s">
        <v>30</v>
      </c>
      <c r="G226" s="4">
        <f t="shared" si="31"/>
        <v>-515</v>
      </c>
      <c r="H226" s="4">
        <f t="shared" si="32"/>
        <v>117225</v>
      </c>
      <c r="I226" s="3" t="s">
        <v>47</v>
      </c>
    </row>
    <row r="227" spans="1:9" x14ac:dyDescent="0.25">
      <c r="A227" s="5">
        <v>45590</v>
      </c>
      <c r="B227" s="6">
        <v>0.47569444444444442</v>
      </c>
      <c r="C227" s="3" t="s">
        <v>31</v>
      </c>
      <c r="D227" s="3">
        <v>201</v>
      </c>
      <c r="E227" s="3" t="s">
        <v>35</v>
      </c>
      <c r="F227" s="3" t="s">
        <v>30</v>
      </c>
      <c r="G227" s="4">
        <f t="shared" si="31"/>
        <v>1442.5</v>
      </c>
      <c r="H227" s="4">
        <f t="shared" si="32"/>
        <v>118667.5</v>
      </c>
      <c r="I227" s="3" t="s">
        <v>47</v>
      </c>
    </row>
    <row r="228" spans="1:9" x14ac:dyDescent="0.25">
      <c r="A228" s="5"/>
      <c r="B228" s="6"/>
      <c r="G228" s="4">
        <f t="shared" si="31"/>
        <v>-65</v>
      </c>
      <c r="H228" s="4">
        <f t="shared" si="32"/>
        <v>118602.5</v>
      </c>
    </row>
    <row r="229" spans="1:9" x14ac:dyDescent="0.25">
      <c r="A229" s="5"/>
      <c r="B229" s="6"/>
      <c r="G229" s="4">
        <f t="shared" si="31"/>
        <v>-65</v>
      </c>
      <c r="H229" s="4">
        <f t="shared" si="32"/>
        <v>118537.5</v>
      </c>
    </row>
    <row r="230" spans="1:9" x14ac:dyDescent="0.25">
      <c r="A230" s="5"/>
      <c r="B230" s="6"/>
      <c r="G230" s="4">
        <f t="shared" si="31"/>
        <v>-65</v>
      </c>
      <c r="H230" s="4">
        <f t="shared" si="32"/>
        <v>118472.5</v>
      </c>
    </row>
    <row r="231" spans="1:9" x14ac:dyDescent="0.25">
      <c r="A231" s="5"/>
      <c r="B231" s="6"/>
      <c r="G231" s="4">
        <f t="shared" si="31"/>
        <v>-65</v>
      </c>
      <c r="H231" s="4">
        <f t="shared" si="32"/>
        <v>118407.5</v>
      </c>
    </row>
    <row r="232" spans="1:9" x14ac:dyDescent="0.25">
      <c r="A232" s="5"/>
      <c r="B232" s="6"/>
      <c r="G232" s="4">
        <f t="shared" si="31"/>
        <v>-65</v>
      </c>
      <c r="H232" s="4">
        <f t="shared" si="32"/>
        <v>118342.5</v>
      </c>
    </row>
    <row r="233" spans="1:9" x14ac:dyDescent="0.25">
      <c r="A233" s="5"/>
      <c r="B233" s="6"/>
      <c r="G233" s="4">
        <f t="shared" si="31"/>
        <v>-65</v>
      </c>
      <c r="H233" s="4">
        <f t="shared" si="32"/>
        <v>118277.5</v>
      </c>
    </row>
    <row r="234" spans="1:9" x14ac:dyDescent="0.25">
      <c r="A234" s="5"/>
      <c r="B234" s="6"/>
      <c r="G234" s="4">
        <f t="shared" si="31"/>
        <v>-65</v>
      </c>
      <c r="H234" s="4">
        <f t="shared" si="32"/>
        <v>118212.5</v>
      </c>
    </row>
    <row r="235" spans="1:9" x14ac:dyDescent="0.25">
      <c r="A235" s="5"/>
      <c r="B235" s="6"/>
      <c r="G235" s="4">
        <f t="shared" si="31"/>
        <v>-65</v>
      </c>
      <c r="H235" s="4">
        <f t="shared" si="32"/>
        <v>118147.5</v>
      </c>
    </row>
    <row r="236" spans="1:9" x14ac:dyDescent="0.25">
      <c r="A236" s="5"/>
      <c r="B236" s="6"/>
      <c r="G236" s="4">
        <f t="shared" si="31"/>
        <v>-65</v>
      </c>
      <c r="H236" s="4">
        <f t="shared" si="32"/>
        <v>118082.5</v>
      </c>
    </row>
  </sheetData>
  <phoneticPr fontId="2" type="noConversion"/>
  <conditionalFormatting sqref="C1:C1048576">
    <cfRule type="containsText" dxfId="3" priority="7" operator="containsText" text="TARGET">
      <formula>NOT(ISERROR(SEARCH("TARGET",C1)))</formula>
    </cfRule>
    <cfRule type="containsText" dxfId="2" priority="8" operator="containsText" text="STOPLOSS">
      <formula>NOT(ISERROR(SEARCH("STOPLOSS",C1)))</formula>
    </cfRule>
  </conditionalFormatting>
  <conditionalFormatting sqref="G1:G1048576">
    <cfRule type="cellIs" dxfId="1" priority="1" operator="greaterThan">
      <formula>0</formula>
    </cfRule>
    <cfRule type="cellIs" dxfId="0" priority="2" operator="lessThan">
      <formula>0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3">
    <dataValidation type="list" allowBlank="1" showInputMessage="1" showErrorMessage="1" sqref="E2:E1048576" xr:uid="{1616B558-C610-4C7B-847B-66B1DD0872E8}">
      <formula1>"MON,TUE,WED,THU,FRI,SAT,SUN"</formula1>
    </dataValidation>
    <dataValidation type="list" allowBlank="1" showInputMessage="1" showErrorMessage="1" sqref="F2:F1048576" xr:uid="{BF4FEF3F-9BDB-427B-B08C-B56ED3BF1708}">
      <formula1>"1st HALF, 2nd HALF"</formula1>
    </dataValidation>
    <dataValidation type="list" allowBlank="1" showInputMessage="1" showErrorMessage="1" sqref="C2:C1048576" xr:uid="{8A6AAE61-1137-43E4-B99A-22A1CAAEACF3}">
      <formula1>"STOPLOSS,TARGET"</formula1>
    </dataValidation>
  </dataValidations>
  <pageMargins left="0.7" right="0.7" top="0.75" bottom="0.75" header="0.3" footer="0.3"/>
  <ignoredErrors>
    <ignoredError sqref="H2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B94C-B8FA-490B-8F48-E6974FC3C686}">
  <dimension ref="A1:I13"/>
  <sheetViews>
    <sheetView zoomScale="130" zoomScaleNormal="130" workbookViewId="0">
      <selection activeCell="D18" sqref="D18"/>
    </sheetView>
  </sheetViews>
  <sheetFormatPr defaultRowHeight="15" x14ac:dyDescent="0.25"/>
  <cols>
    <col min="1" max="1" width="11.42578125" customWidth="1"/>
    <col min="2" max="2" width="10.140625" customWidth="1"/>
    <col min="3" max="3" width="11.7109375" style="8" customWidth="1"/>
    <col min="4" max="4" width="11.5703125" style="9" bestFit="1" customWidth="1"/>
    <col min="5" max="5" width="12.85546875" customWidth="1"/>
    <col min="6" max="6" width="13.7109375" customWidth="1"/>
    <col min="7" max="7" width="17.140625" customWidth="1"/>
    <col min="8" max="8" width="13.28515625" style="8" customWidth="1"/>
    <col min="9" max="9" width="12.28515625" style="9" customWidth="1"/>
  </cols>
  <sheetData>
    <row r="1" spans="1:9" x14ac:dyDescent="0.25">
      <c r="A1" s="1" t="s">
        <v>8</v>
      </c>
      <c r="B1" s="1" t="s">
        <v>9</v>
      </c>
      <c r="C1" s="7" t="s">
        <v>10</v>
      </c>
      <c r="D1" s="2" t="s">
        <v>40</v>
      </c>
      <c r="E1" s="1" t="s">
        <v>11</v>
      </c>
      <c r="F1" s="1" t="s">
        <v>12</v>
      </c>
      <c r="G1" s="1" t="s">
        <v>13</v>
      </c>
      <c r="H1" s="7" t="s">
        <v>14</v>
      </c>
      <c r="I1" s="2" t="s">
        <v>15</v>
      </c>
    </row>
    <row r="2" spans="1:9" x14ac:dyDescent="0.25">
      <c r="A2" t="s">
        <v>16</v>
      </c>
      <c r="B2">
        <f>COUNTIF(EMA[MONTH],"JAN")</f>
        <v>28</v>
      </c>
      <c r="C2" s="8">
        <f>COUNTIFS(EMA[OUTCOME],"TARGET",EMA[MONTH],"JAN")/B2</f>
        <v>0.6071428571428571</v>
      </c>
      <c r="D2">
        <f>SUMIF(EMA[MONTH],"JAN",EMA[SPOT PTS])</f>
        <v>1921</v>
      </c>
      <c r="E2">
        <f t="shared" ref="E2:E9" si="0">B2*65</f>
        <v>1820</v>
      </c>
      <c r="F2">
        <f>SUMIFS(EMA[SPOT PTS],EMA[OUTCOME],"STOPLOSS",EMA[MONTH],"JAN")</f>
        <v>-522</v>
      </c>
      <c r="G2">
        <f>SUMIFS(EMA[SPOT PTS],EMA[OUTCOME],"TARGET",EMA[MONTH],"JAN")</f>
        <v>2443</v>
      </c>
      <c r="H2" s="10">
        <f>(I2/10000)</f>
        <v>1.25875</v>
      </c>
      <c r="I2" s="9">
        <f>(D2/2)*15-E2</f>
        <v>12587.5</v>
      </c>
    </row>
    <row r="3" spans="1:9" x14ac:dyDescent="0.25">
      <c r="A3" t="s">
        <v>17</v>
      </c>
      <c r="B3">
        <f>COUNTIF(EMA[MONTH],"FEB")</f>
        <v>26</v>
      </c>
      <c r="C3" s="8">
        <f>COUNTIFS(EMA[OUTCOME],"TARGET",EMA[MONTH],"FEB")/B3</f>
        <v>0.46153846153846156</v>
      </c>
      <c r="D3">
        <f>SUMIF(EMA[MONTH],"FEB",EMA[SPOT PTS])</f>
        <v>1661</v>
      </c>
      <c r="E3">
        <f t="shared" si="0"/>
        <v>1690</v>
      </c>
      <c r="F3">
        <f>SUMIFS(EMA[SPOT PTS],EMA[OUTCOME],"STOPLOSS",EMA[MONTH],"FEB")</f>
        <v>-753</v>
      </c>
      <c r="G3">
        <f>SUMIFS(EMA[SPOT PTS],EMA[OUTCOME],"TARGET",EMA[MONTH],"FEB")</f>
        <v>2414</v>
      </c>
      <c r="H3" s="10">
        <f>(I3/10000)</f>
        <v>1.0767500000000001</v>
      </c>
      <c r="I3" s="9">
        <f>(D3/2)*15-E3</f>
        <v>10767.5</v>
      </c>
    </row>
    <row r="4" spans="1:9" x14ac:dyDescent="0.25">
      <c r="A4" t="s">
        <v>18</v>
      </c>
      <c r="B4">
        <f>COUNTIF(EMA[MONTH],"MAR")</f>
        <v>14</v>
      </c>
      <c r="C4" s="8">
        <f>COUNTIFS(EMA[OUTCOME],"TARGET",EMA[MONTH],"MAR")/B4</f>
        <v>0.5714285714285714</v>
      </c>
      <c r="D4">
        <f>SUMIF(EMA[MONTH],"MAR",EMA[SPOT PTS])</f>
        <v>1482</v>
      </c>
      <c r="E4">
        <f t="shared" si="0"/>
        <v>910</v>
      </c>
      <c r="F4">
        <f>SUMIFS(EMA[SPOT PTS],EMA[OUTCOME],"STOPLOSS",EMA[MONTH],"MAR")</f>
        <v>-255</v>
      </c>
      <c r="G4">
        <f>SUMIFS(EMA[SPOT PTS],EMA[OUTCOME],"TARGET",EMA[MONTH],"MAR")</f>
        <v>1737</v>
      </c>
      <c r="H4" s="10">
        <f>(I4/10000)</f>
        <v>1.0205</v>
      </c>
      <c r="I4" s="9">
        <f>(D4/2)*15-E4</f>
        <v>10205</v>
      </c>
    </row>
    <row r="5" spans="1:9" x14ac:dyDescent="0.25">
      <c r="A5" t="s">
        <v>19</v>
      </c>
      <c r="B5">
        <f>COUNTIF(EMA[MONTH],"APR")</f>
        <v>22</v>
      </c>
      <c r="C5" s="8">
        <f>COUNTIFS(EMA[OUTCOME],"TARGET",EMA[MONTH],"APR")/B5</f>
        <v>0.40909090909090912</v>
      </c>
      <c r="D5">
        <f>SUMIF(EMA[MONTH],"APR",EMA[SPOT PTS])</f>
        <v>548</v>
      </c>
      <c r="E5">
        <f t="shared" si="0"/>
        <v>1430</v>
      </c>
      <c r="F5">
        <f>SUMIFS(EMA[SPOT PTS],EMA[OUTCOME],"STOPLOSS",EMA[MONTH],"APR")</f>
        <v>-624</v>
      </c>
      <c r="G5">
        <f>SUMIFS(EMA[SPOT PTS],EMA[OUTCOME],"TARGET",EMA[MONTH],"APR")</f>
        <v>1172</v>
      </c>
      <c r="H5" s="10">
        <f>(I5/10000)</f>
        <v>0.26800000000000002</v>
      </c>
      <c r="I5" s="9">
        <f>(D5/2)*15-E5</f>
        <v>2680</v>
      </c>
    </row>
    <row r="6" spans="1:9" x14ac:dyDescent="0.25">
      <c r="A6" t="s">
        <v>20</v>
      </c>
      <c r="B6">
        <f>COUNTIF(EMA[MONTH],"MAY")</f>
        <v>22</v>
      </c>
      <c r="C6" s="8">
        <f>COUNTIFS(EMA[OUTCOME],"TARGET",EMA[MONTH],"MAY")/B6</f>
        <v>0.59090909090909094</v>
      </c>
      <c r="D6">
        <f>SUMIF(EMA[MONTH],"MAY",EMA[SPOT PTS])</f>
        <v>1785</v>
      </c>
      <c r="E6">
        <f t="shared" si="0"/>
        <v>1430</v>
      </c>
      <c r="F6">
        <f>SUMIFS(EMA[SPOT PTS],EMA[OUTCOME],"STOPLOSS",EMA[MONTH],"MAY")</f>
        <v>-408</v>
      </c>
      <c r="G6">
        <f>SUMIFS(EMA[SPOT PTS],EMA[OUTCOME],"TARGET",EMA[MONTH],"MAY")</f>
        <v>2193</v>
      </c>
      <c r="H6" s="10">
        <f t="shared" ref="H6:H13" si="1">(I6/10000)</f>
        <v>1.1957500000000001</v>
      </c>
      <c r="I6" s="9">
        <f t="shared" ref="I6:I13" si="2">(D6/2)*15-E6</f>
        <v>11957.5</v>
      </c>
    </row>
    <row r="7" spans="1:9" x14ac:dyDescent="0.25">
      <c r="A7" t="s">
        <v>21</v>
      </c>
      <c r="B7">
        <f>COUNTIF(EMA[MONTH],"JUN")</f>
        <v>15</v>
      </c>
      <c r="C7" s="8">
        <f>COUNTIFS(EMA[OUTCOME],"TARGET",EMA[MONTH],"JUN")/B7</f>
        <v>0.8</v>
      </c>
      <c r="D7">
        <f>SUMIF(EMA[MONTH],"JUN",EMA[SPOT PTS])</f>
        <v>2309</v>
      </c>
      <c r="E7">
        <f t="shared" si="0"/>
        <v>975</v>
      </c>
      <c r="F7">
        <f>SUMIFS(EMA[SPOT PTS],EMA[OUTCOME],"STOPLOSS",EMA[MONTH],"JUN")</f>
        <v>-158</v>
      </c>
      <c r="G7">
        <f>SUMIFS(EMA[SPOT PTS],EMA[OUTCOME],"TARGET",EMA[MONTH],"JUN")</f>
        <v>2467</v>
      </c>
      <c r="H7" s="10">
        <f t="shared" si="1"/>
        <v>1.63425</v>
      </c>
      <c r="I7" s="9">
        <f t="shared" si="2"/>
        <v>16342.5</v>
      </c>
    </row>
    <row r="8" spans="1:9" x14ac:dyDescent="0.25">
      <c r="A8" t="s">
        <v>22</v>
      </c>
      <c r="B8">
        <f>COUNTIF(EMA[MONTH],"JUL")</f>
        <v>29</v>
      </c>
      <c r="C8" s="8">
        <f>COUNTIFS(EMA[OUTCOME],"TARGET",EMA[MONTH],"JUL")/B8</f>
        <v>0.55172413793103448</v>
      </c>
      <c r="D8">
        <f>SUMIF(EMA[MONTH],"JUL",EMA[SPOT PTS])</f>
        <v>2457</v>
      </c>
      <c r="E8">
        <f t="shared" si="0"/>
        <v>1885</v>
      </c>
      <c r="F8">
        <f>SUMIFS(EMA[SPOT PTS],EMA[OUTCOME],"STOPLOSS",EMA[MONTH],"JUL")</f>
        <v>-671</v>
      </c>
      <c r="G8">
        <f>SUMIFS(EMA[SPOT PTS],EMA[OUTCOME],"TARGET",EMA[MONTH],"JUL")</f>
        <v>3128</v>
      </c>
      <c r="H8" s="10">
        <f t="shared" si="1"/>
        <v>1.65425</v>
      </c>
      <c r="I8" s="9">
        <f t="shared" si="2"/>
        <v>16542.5</v>
      </c>
    </row>
    <row r="9" spans="1:9" x14ac:dyDescent="0.25">
      <c r="A9" t="s">
        <v>23</v>
      </c>
      <c r="B9">
        <f>COUNTIF(EMA[MONTH],"AUG")</f>
        <v>23</v>
      </c>
      <c r="C9" s="8">
        <f>COUNTIFS(EMA[OUTCOME],"TARGET",EMA[MONTH],"AUG")/B9</f>
        <v>0.47826086956521741</v>
      </c>
      <c r="D9">
        <f>SUMIF(EMA[MONTH],"AUG",EMA[SPOT PTS])</f>
        <v>1289</v>
      </c>
      <c r="E9">
        <f t="shared" si="0"/>
        <v>1495</v>
      </c>
      <c r="F9">
        <f>SUMIFS(EMA[SPOT PTS],EMA[OUTCOME],"STOPLOSS",EMA[MONTH],"AUG")</f>
        <v>-578</v>
      </c>
      <c r="G9">
        <f>SUMIFS(EMA[SPOT PTS],EMA[OUTCOME],"TARGET",EMA[MONTH],"AUG")</f>
        <v>1867</v>
      </c>
      <c r="H9" s="10">
        <f t="shared" si="1"/>
        <v>0.81725000000000003</v>
      </c>
      <c r="I9" s="9">
        <f t="shared" si="2"/>
        <v>8172.5</v>
      </c>
    </row>
    <row r="10" spans="1:9" x14ac:dyDescent="0.25">
      <c r="A10" t="s">
        <v>24</v>
      </c>
      <c r="B10">
        <f>COUNTIF(EMA[MONTH],"SEP")</f>
        <v>27</v>
      </c>
      <c r="C10" s="8">
        <f>COUNTIFS(EMA[OUTCOME],"TARGET",EMA[MONTH],"SEP")/B10</f>
        <v>0.55555555555555558</v>
      </c>
      <c r="D10">
        <f>SUMIF(EMA[MONTH],"SEP",EMA[SPOT PTS])</f>
        <v>1503</v>
      </c>
      <c r="E10">
        <f t="shared" ref="E10:E13" si="3">B10*65</f>
        <v>1755</v>
      </c>
      <c r="F10">
        <f>SUMIFS(EMA[SPOT PTS],EMA[OUTCOME],"STOPLOSS",EMA[MONTH],"SEP")</f>
        <v>-543</v>
      </c>
      <c r="G10">
        <f>SUMIFS(EMA[SPOT PTS],EMA[OUTCOME],"TARGET",EMA[MONTH],"SEP")</f>
        <v>2046</v>
      </c>
      <c r="H10" s="10">
        <f t="shared" si="1"/>
        <v>0.95174999999999998</v>
      </c>
      <c r="I10" s="9">
        <f t="shared" si="2"/>
        <v>9517.5</v>
      </c>
    </row>
    <row r="11" spans="1:9" x14ac:dyDescent="0.25">
      <c r="A11" t="s">
        <v>25</v>
      </c>
      <c r="B11">
        <f>COUNTIF(EMA[MONTH],"OCT")</f>
        <v>20</v>
      </c>
      <c r="C11" s="8">
        <f>COUNTIFS(EMA[OUTCOME],"TARGET",EMA[MONTH],"OCT")/B11</f>
        <v>0.5</v>
      </c>
      <c r="D11">
        <f>SUMIF(EMA[MONTH],"OCT",EMA[SPOT PTS])</f>
        <v>1491</v>
      </c>
      <c r="E11">
        <f t="shared" si="3"/>
        <v>1300</v>
      </c>
      <c r="F11">
        <f>SUMIFS(EMA[SPOT PTS],EMA[OUTCOME],"STOPLOSS",EMA[MONTH],"OCT")</f>
        <v>-541</v>
      </c>
      <c r="G11">
        <f>SUMIFS(EMA[SPOT PTS],EMA[OUTCOME],"TARGET",EMA[MONTH],"OCT")</f>
        <v>2032</v>
      </c>
      <c r="H11" s="10">
        <f t="shared" si="1"/>
        <v>0.98824999999999996</v>
      </c>
      <c r="I11" s="9">
        <f t="shared" si="2"/>
        <v>9882.5</v>
      </c>
    </row>
    <row r="12" spans="1:9" x14ac:dyDescent="0.25">
      <c r="A12" t="s">
        <v>26</v>
      </c>
      <c r="B12">
        <f>COUNTIF(EMA[MONTH],"NOV")</f>
        <v>0</v>
      </c>
      <c r="C12" s="8" t="e">
        <f>COUNTIFS(EMA[OUTCOME],"TARGET",EMA[MONTH],"NOV")/B12</f>
        <v>#DIV/0!</v>
      </c>
      <c r="D12">
        <f>SUMIF(EMA[MONTH],"NOV",EMA[SPOT PTS])</f>
        <v>0</v>
      </c>
      <c r="E12">
        <f t="shared" si="3"/>
        <v>0</v>
      </c>
      <c r="F12">
        <f>SUMIFS(EMA[SPOT PTS],EMA[OUTCOME],"STOPLOSS",EMA[MONTH],"NOV")</f>
        <v>0</v>
      </c>
      <c r="G12">
        <f>SUMIFS(EMA[SPOT PTS],EMA[OUTCOME],"TARGET",EMA[MONTH],"NOV")</f>
        <v>0</v>
      </c>
      <c r="H12" s="10">
        <f t="shared" si="1"/>
        <v>0</v>
      </c>
      <c r="I12" s="9">
        <f t="shared" si="2"/>
        <v>0</v>
      </c>
    </row>
    <row r="13" spans="1:9" x14ac:dyDescent="0.25">
      <c r="A13" t="s">
        <v>27</v>
      </c>
      <c r="B13">
        <f>COUNTIF(EMA[MONTH],"DEC")</f>
        <v>0</v>
      </c>
      <c r="C13" s="8" t="e">
        <f>COUNTIFS(EMA[OUTCOME],"TARGET",EMA[MONTH],"DEC")/B13</f>
        <v>#DIV/0!</v>
      </c>
      <c r="D13">
        <f>SUMIF(EMA[MONTH],"DEC",EMA[SPOT PTS])</f>
        <v>0</v>
      </c>
      <c r="E13">
        <f t="shared" si="3"/>
        <v>0</v>
      </c>
      <c r="F13">
        <f>SUMIFS(EMA[SPOT PTS],EMA[OUTCOME],"STOPLOSS",EMA[MONTH],"DEC")</f>
        <v>0</v>
      </c>
      <c r="G13">
        <f>SUMIFS(EMA[SPOT PTS],EMA[OUTCOME],"TARGET",EMA[MONTH],"DEC")</f>
        <v>0</v>
      </c>
      <c r="H13" s="10">
        <f t="shared" si="1"/>
        <v>0</v>
      </c>
      <c r="I13" s="9">
        <f t="shared" si="2"/>
        <v>0</v>
      </c>
    </row>
  </sheetData>
  <phoneticPr fontId="2" type="noConversion"/>
  <conditionalFormatting sqref="H1:H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:I104857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 EMA NIFTY BANK 2024</vt:lpstr>
      <vt:lpstr>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Dhairyasen Deshmukh</dc:creator>
  <cp:lastModifiedBy>Dhairyasen Deshmukh</cp:lastModifiedBy>
  <dcterms:created xsi:type="dcterms:W3CDTF">2024-04-04T04:45:32Z</dcterms:created>
  <dcterms:modified xsi:type="dcterms:W3CDTF">2024-10-25T12:36:52Z</dcterms:modified>
</cp:coreProperties>
</file>