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yasps/Documents/College/Fall 2022/ISE 501/Project/"/>
    </mc:Choice>
  </mc:AlternateContent>
  <xr:revisionPtr revIDLastSave="0" documentId="13_ncr:1_{0C01B65C-C3AE-4D4E-875B-676908EA5E04}" xr6:coauthVersionLast="47" xr6:coauthVersionMax="47" xr10:uidLastSave="{00000000-0000-0000-0000-000000000000}"/>
  <bookViews>
    <workbookView xWindow="-20" yWindow="740" windowWidth="29400" windowHeight="16600" firstSheet="1" activeTab="7" xr2:uid="{FA9D6E4C-0E73-4EC5-9240-70056ECD0E6C}"/>
  </bookViews>
  <sheets>
    <sheet name="Demand Forecasting" sheetId="11" r:id="rId1"/>
    <sheet name="Case 1 - Chase" sheetId="1" r:id="rId2"/>
    <sheet name="Case 2 - Level" sheetId="2" r:id="rId3"/>
    <sheet name="Case 3 - Subcontracting" sheetId="3" r:id="rId4"/>
    <sheet name="Case 4 - Reduced Overtime" sheetId="5" r:id="rId5"/>
    <sheet name="Case 5 - 5% Discounting" sheetId="7" r:id="rId6"/>
    <sheet name="Case 6 - 10% Discounting" sheetId="8" r:id="rId7"/>
    <sheet name="Case 7 - Reduced OT+5% Discount" sheetId="10" r:id="rId8"/>
    <sheet name="Summary" sheetId="13" r:id="rId9"/>
  </sheets>
  <definedNames>
    <definedName name="solver_adj" localSheetId="1" hidden="1">'Case 1 - Chase'!$H$7:$O$18</definedName>
    <definedName name="solver_adj" localSheetId="2" hidden="1">'Case 2 - Level'!$H$7:$O$18</definedName>
    <definedName name="solver_adj" localSheetId="3" hidden="1">'Case 3 - Subcontracting'!$H$7:$O$18</definedName>
    <definedName name="solver_adj" localSheetId="4" hidden="1">'Case 4 - Reduced Overtime'!$H$7:$O$18</definedName>
    <definedName name="solver_adj" localSheetId="5" hidden="1">'Case 5 - 5% Discounting'!$H$7:$O$18</definedName>
    <definedName name="solver_adj" localSheetId="6" hidden="1">'Case 6 - 10% Discounting'!$H$7:$O$18</definedName>
    <definedName name="solver_adj" localSheetId="7" hidden="1">'Case 7 - Reduced OT+5% Discount'!$H$7:$O$18</definedName>
    <definedName name="solver_adj" localSheetId="0" hidden="1">'Demand Forecasting'!$F$3:$H$4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cvg" localSheetId="0" hidden="1">0.0001</definedName>
    <definedName name="solver_drv" localSheetId="1" hidden="1">2</definedName>
    <definedName name="solver_drv" localSheetId="2" hidden="1">2</definedName>
    <definedName name="solver_drv" localSheetId="3" hidden="1">2</definedName>
    <definedName name="solver_drv" localSheetId="4" hidden="1">2</definedName>
    <definedName name="solver_drv" localSheetId="5" hidden="1">2</definedName>
    <definedName name="solver_drv" localSheetId="6" hidden="1">2</definedName>
    <definedName name="solver_drv" localSheetId="7" hidden="1">2</definedName>
    <definedName name="solver_drv" localSheetId="0" hidden="1">1</definedName>
    <definedName name="solver_eng" localSheetId="1" hidden="1">2</definedName>
    <definedName name="solver_eng" localSheetId="2" hidden="1">2</definedName>
    <definedName name="solver_eng" localSheetId="3" hidden="1">2</definedName>
    <definedName name="solver_eng" localSheetId="4" hidden="1">2</definedName>
    <definedName name="solver_eng" localSheetId="5" hidden="1">2</definedName>
    <definedName name="solver_eng" localSheetId="6" hidden="1">2</definedName>
    <definedName name="solver_eng" localSheetId="7" hidden="1">2</definedName>
    <definedName name="solver_eng" localSheetId="0" hidden="1">2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itr" localSheetId="0" hidden="1">2147483647</definedName>
    <definedName name="solver_lhs1" localSheetId="1" hidden="1">'Case 1 - Chase'!$H$7:$H$18</definedName>
    <definedName name="solver_lhs1" localSheetId="2" hidden="1">'Case 2 - Level'!$H$7:$H$18</definedName>
    <definedName name="solver_lhs1" localSheetId="3" hidden="1">'Case 3 - Subcontracting'!$H$7:$H$18</definedName>
    <definedName name="solver_lhs1" localSheetId="4" hidden="1">'Case 4 - Reduced Overtime'!$H$7:$H$18</definedName>
    <definedName name="solver_lhs1" localSheetId="5" hidden="1">'Case 5 - 5% Discounting'!$H$7:$H$18</definedName>
    <definedName name="solver_lhs1" localSheetId="6" hidden="1">'Case 6 - 10% Discounting'!$H$7:$H$18</definedName>
    <definedName name="solver_lhs1" localSheetId="7" hidden="1">'Case 7 - Reduced OT+5% Discount'!$H$7:$H$18</definedName>
    <definedName name="solver_lhs10" localSheetId="1" hidden="1">'Case 1 - Chase'!$U$7:$U$18</definedName>
    <definedName name="solver_lhs10" localSheetId="3" hidden="1">'Case 3 - Subcontracting'!$U$7:$U$18</definedName>
    <definedName name="solver_lhs10" localSheetId="4" hidden="1">'Case 4 - Reduced Overtime'!$U$7:$U$18</definedName>
    <definedName name="solver_lhs10" localSheetId="5" hidden="1">'Case 5 - 5% Discounting'!$U$7:$U$18</definedName>
    <definedName name="solver_lhs10" localSheetId="6" hidden="1">'Case 6 - 10% Discounting'!$U$7:$U$18</definedName>
    <definedName name="solver_lhs10" localSheetId="7" hidden="1">'Case 7 - Reduced OT+5% Discount'!$U$7:$U$18</definedName>
    <definedName name="solver_lhs2" localSheetId="1" hidden="1">'Case 1 - Chase'!$H$7:$O$18</definedName>
    <definedName name="solver_lhs2" localSheetId="2" hidden="1">'Case 2 - Level'!$H$7:$O$18</definedName>
    <definedName name="solver_lhs2" localSheetId="3" hidden="1">'Case 3 - Subcontracting'!$H$7:$O$18</definedName>
    <definedName name="solver_lhs2" localSheetId="4" hidden="1">'Case 4 - Reduced Overtime'!$H$7:$O$18</definedName>
    <definedName name="solver_lhs2" localSheetId="5" hidden="1">'Case 5 - 5% Discounting'!$H$7:$O$18</definedName>
    <definedName name="solver_lhs2" localSheetId="6" hidden="1">'Case 6 - 10% Discounting'!$H$7:$O$18</definedName>
    <definedName name="solver_lhs2" localSheetId="7" hidden="1">'Case 7 - Reduced OT+5% Discount'!$H$7:$O$18</definedName>
    <definedName name="solver_lhs3" localSheetId="1" hidden="1">'Case 1 - Chase'!$J$7:$O$18</definedName>
    <definedName name="solver_lhs3" localSheetId="2" hidden="1">'Case 2 - Level'!$J$7:$O$18</definedName>
    <definedName name="solver_lhs3" localSheetId="3" hidden="1">'Case 3 - Subcontracting'!$J$7:$O$18</definedName>
    <definedName name="solver_lhs3" localSheetId="4" hidden="1">'Case 4 - Reduced Overtime'!$J$7:$O$18</definedName>
    <definedName name="solver_lhs3" localSheetId="5" hidden="1">'Case 5 - 5% Discounting'!$J$7:$O$18</definedName>
    <definedName name="solver_lhs3" localSheetId="6" hidden="1">'Case 6 - 10% Discounting'!$J$7:$O$18</definedName>
    <definedName name="solver_lhs3" localSheetId="7" hidden="1">'Case 7 - Reduced OT+5% Discount'!$J$7:$O$18</definedName>
    <definedName name="solver_lhs4" localSheetId="1" hidden="1">'Case 1 - Chase'!$L$7:$L$17</definedName>
    <definedName name="solver_lhs4" localSheetId="2" hidden="1">'Case 2 - Level'!$N$7:$N$18</definedName>
    <definedName name="solver_lhs4" localSheetId="3" hidden="1">'Case 3 - Subcontracting'!$M$7:$M$18</definedName>
    <definedName name="solver_lhs4" localSheetId="4" hidden="1">'Case 4 - Reduced Overtime'!$L$7:$L$17</definedName>
    <definedName name="solver_lhs4" localSheetId="5" hidden="1">'Case 5 - 5% Discounting'!$L$7:$L$17</definedName>
    <definedName name="solver_lhs4" localSheetId="6" hidden="1">'Case 6 - 10% Discounting'!$L$7:$L$17</definedName>
    <definedName name="solver_lhs4" localSheetId="7" hidden="1">'Case 7 - Reduced OT+5% Discount'!$L$7:$L$17</definedName>
    <definedName name="solver_lhs5" localSheetId="1" hidden="1">'Case 1 - Chase'!$M$7:$M$18</definedName>
    <definedName name="solver_lhs5" localSheetId="2" hidden="1">'Case 2 - Level'!$O$7:$O$18</definedName>
    <definedName name="solver_lhs5" localSheetId="3" hidden="1">'Case 3 - Subcontracting'!$N$7:$N$18</definedName>
    <definedName name="solver_lhs5" localSheetId="4" hidden="1">'Case 4 - Reduced Overtime'!$M$7:$M$18</definedName>
    <definedName name="solver_lhs5" localSheetId="5" hidden="1">'Case 5 - 5% Discounting'!$M$7:$M$18</definedName>
    <definedName name="solver_lhs5" localSheetId="6" hidden="1">'Case 6 - 10% Discounting'!$M$7:$M$18</definedName>
    <definedName name="solver_lhs5" localSheetId="7" hidden="1">'Case 7 - Reduced OT+5% Discount'!$M$7:$M$18</definedName>
    <definedName name="solver_lhs6" localSheetId="1" hidden="1">'Case 1 - Chase'!$N$7:$N$18</definedName>
    <definedName name="solver_lhs6" localSheetId="2" hidden="1">'Case 2 - Level'!$R$7:$R$18</definedName>
    <definedName name="solver_lhs6" localSheetId="3" hidden="1">'Case 3 - Subcontracting'!$O$7:$O$18</definedName>
    <definedName name="solver_lhs6" localSheetId="4" hidden="1">'Case 4 - Reduced Overtime'!$N$7:$N$18</definedName>
    <definedName name="solver_lhs6" localSheetId="5" hidden="1">'Case 5 - 5% Discounting'!$N$7:$N$18</definedName>
    <definedName name="solver_lhs6" localSheetId="6" hidden="1">'Case 6 - 10% Discounting'!$N$7:$N$18</definedName>
    <definedName name="solver_lhs6" localSheetId="7" hidden="1">'Case 7 - Reduced OT+5% Discount'!$N$7:$N$18</definedName>
    <definedName name="solver_lhs7" localSheetId="1" hidden="1">'Case 1 - Chase'!$R$7:$R$18</definedName>
    <definedName name="solver_lhs7" localSheetId="2" hidden="1">'Case 2 - Level'!$S$7:$S$18</definedName>
    <definedName name="solver_lhs7" localSheetId="3" hidden="1">'Case 3 - Subcontracting'!$R$7:$R$18</definedName>
    <definedName name="solver_lhs7" localSheetId="4" hidden="1">'Case 4 - Reduced Overtime'!$R$7:$R$18</definedName>
    <definedName name="solver_lhs7" localSheetId="5" hidden="1">'Case 5 - 5% Discounting'!$R$7:$R$18</definedName>
    <definedName name="solver_lhs7" localSheetId="6" hidden="1">'Case 6 - 10% Discounting'!$R$7:$R$18</definedName>
    <definedName name="solver_lhs7" localSheetId="7" hidden="1">'Case 7 - Reduced OT+5% Discount'!$R$7:$R$18</definedName>
    <definedName name="solver_lhs8" localSheetId="1" hidden="1">'Case 1 - Chase'!$S$7:$S$18</definedName>
    <definedName name="solver_lhs8" localSheetId="2" hidden="1">'Case 2 - Level'!$T$7:$T$18</definedName>
    <definedName name="solver_lhs8" localSheetId="3" hidden="1">'Case 3 - Subcontracting'!$S$7:$S$18</definedName>
    <definedName name="solver_lhs8" localSheetId="4" hidden="1">'Case 4 - Reduced Overtime'!$S$7:$S$18</definedName>
    <definedName name="solver_lhs8" localSheetId="5" hidden="1">'Case 5 - 5% Discounting'!$S$7:$S$18</definedName>
    <definedName name="solver_lhs8" localSheetId="6" hidden="1">'Case 6 - 10% Discounting'!$S$7:$S$18</definedName>
    <definedName name="solver_lhs8" localSheetId="7" hidden="1">'Case 7 - Reduced OT+5% Discount'!$S$7:$S$18</definedName>
    <definedName name="solver_lhs9" localSheetId="1" hidden="1">'Case 1 - Chase'!$T$7:$T$18</definedName>
    <definedName name="solver_lhs9" localSheetId="2" hidden="1">'Case 2 - Level'!$U$7:$U$18</definedName>
    <definedName name="solver_lhs9" localSheetId="3" hidden="1">'Case 3 - Subcontracting'!$T$7:$T$18</definedName>
    <definedName name="solver_lhs9" localSheetId="4" hidden="1">'Case 4 - Reduced Overtime'!$T$7:$T$18</definedName>
    <definedName name="solver_lhs9" localSheetId="5" hidden="1">'Case 5 - 5% Discounting'!$T$7:$T$18</definedName>
    <definedName name="solver_lhs9" localSheetId="6" hidden="1">'Case 6 - 10% Discounting'!$T$7:$T$18</definedName>
    <definedName name="solver_lhs9" localSheetId="7" hidden="1">'Case 7 - Reduced OT+5% Discount'!$T$7:$T$18</definedName>
    <definedName name="solver_lin" localSheetId="1" hidden="1">1</definedName>
    <definedName name="solver_lin" localSheetId="2" hidden="1">1</definedName>
    <definedName name="solver_lin" localSheetId="3" hidden="1">1</definedName>
    <definedName name="solver_lin" localSheetId="4" hidden="1">1</definedName>
    <definedName name="solver_lin" localSheetId="5" hidden="1">1</definedName>
    <definedName name="solver_lin" localSheetId="6" hidden="1">1</definedName>
    <definedName name="solver_lin" localSheetId="7" hidden="1">1</definedName>
    <definedName name="solver_lin" localSheetId="0" hidden="1">1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0" hidden="1">2147483647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0" hidden="1">30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rt" localSheetId="0" hidden="1">0.075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0" hidden="1">2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eg" localSheetId="0" hidden="1">1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0" hidden="1">2147483647</definedName>
    <definedName name="solver_num" localSheetId="1" hidden="1">10</definedName>
    <definedName name="solver_num" localSheetId="2" hidden="1">9</definedName>
    <definedName name="solver_num" localSheetId="3" hidden="1">10</definedName>
    <definedName name="solver_num" localSheetId="4" hidden="1">10</definedName>
    <definedName name="solver_num" localSheetId="5" hidden="1">10</definedName>
    <definedName name="solver_num" localSheetId="6" hidden="1">10</definedName>
    <definedName name="solver_num" localSheetId="7" hidden="1">10</definedName>
    <definedName name="solver_num" localSheetId="0" hidden="1">0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opt" localSheetId="1" hidden="1">'Case 1 - Chase'!$P$20</definedName>
    <definedName name="solver_opt" localSheetId="2" hidden="1">'Case 2 - Level'!$P$20</definedName>
    <definedName name="solver_opt" localSheetId="3" hidden="1">'Case 3 - Subcontracting'!$P$20</definedName>
    <definedName name="solver_opt" localSheetId="4" hidden="1">'Case 4 - Reduced Overtime'!$P$20</definedName>
    <definedName name="solver_opt" localSheetId="5" hidden="1">'Case 5 - 5% Discounting'!$P$20</definedName>
    <definedName name="solver_opt" localSheetId="6" hidden="1">'Case 6 - 10% Discounting'!$P$20</definedName>
    <definedName name="solver_opt" localSheetId="7" hidden="1">'Case 7 - Reduced OT+5% Discount'!$P$20</definedName>
    <definedName name="solver_opt" localSheetId="0" hidden="1">'Demand Forecasting'!$L$6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0" hidden="1">0.000001</definedName>
    <definedName name="solver_rbv" localSheetId="1" hidden="1">2</definedName>
    <definedName name="solver_rbv" localSheetId="2" hidden="1">2</definedName>
    <definedName name="solver_rbv" localSheetId="3" hidden="1">2</definedName>
    <definedName name="solver_rbv" localSheetId="4" hidden="1">2</definedName>
    <definedName name="solver_rbv" localSheetId="5" hidden="1">2</definedName>
    <definedName name="solver_rbv" localSheetId="6" hidden="1">2</definedName>
    <definedName name="solver_rbv" localSheetId="7" hidden="1">2</definedName>
    <definedName name="solver_rbv" localSheetId="0" hidden="1">1</definedName>
    <definedName name="solver_rel1" localSheetId="1" hidden="1">4</definedName>
    <definedName name="solver_rel1" localSheetId="2" hidden="1">4</definedName>
    <definedName name="solver_rel1" localSheetId="3" hidden="1">4</definedName>
    <definedName name="solver_rel1" localSheetId="4" hidden="1">4</definedName>
    <definedName name="solver_rel1" localSheetId="5" hidden="1">4</definedName>
    <definedName name="solver_rel1" localSheetId="6" hidden="1">4</definedName>
    <definedName name="solver_rel1" localSheetId="7" hidden="1">4</definedName>
    <definedName name="solver_rel10" localSheetId="1" hidden="1">2</definedName>
    <definedName name="solver_rel10" localSheetId="3" hidden="1">2</definedName>
    <definedName name="solver_rel10" localSheetId="4" hidden="1">2</definedName>
    <definedName name="solver_rel10" localSheetId="5" hidden="1">2</definedName>
    <definedName name="solver_rel10" localSheetId="6" hidden="1">2</definedName>
    <definedName name="solver_rel10" localSheetId="7" hidden="1">2</definedName>
    <definedName name="solver_rel2" localSheetId="1" hidden="1">3</definedName>
    <definedName name="solver_rel2" localSheetId="2" hidden="1">3</definedName>
    <definedName name="solver_rel2" localSheetId="3" hidden="1">3</definedName>
    <definedName name="solver_rel2" localSheetId="4" hidden="1">3</definedName>
    <definedName name="solver_rel2" localSheetId="5" hidden="1">3</definedName>
    <definedName name="solver_rel2" localSheetId="6" hidden="1">3</definedName>
    <definedName name="solver_rel2" localSheetId="7" hidden="1">3</definedName>
    <definedName name="solver_rel3" localSheetId="1" hidden="1">4</definedName>
    <definedName name="solver_rel3" localSheetId="2" hidden="1">4</definedName>
    <definedName name="solver_rel3" localSheetId="3" hidden="1">4</definedName>
    <definedName name="solver_rel3" localSheetId="4" hidden="1">4</definedName>
    <definedName name="solver_rel3" localSheetId="5" hidden="1">4</definedName>
    <definedName name="solver_rel3" localSheetId="6" hidden="1">4</definedName>
    <definedName name="solver_rel3" localSheetId="7" hidden="1">4</definedName>
    <definedName name="solver_rel4" localSheetId="1" hidden="1">2</definedName>
    <definedName name="solver_rel4" localSheetId="2" hidden="1">1</definedName>
    <definedName name="solver_rel4" localSheetId="3" hidden="1">2</definedName>
    <definedName name="solver_rel4" localSheetId="4" hidden="1">2</definedName>
    <definedName name="solver_rel4" localSheetId="5" hidden="1">2</definedName>
    <definedName name="solver_rel4" localSheetId="6" hidden="1">2</definedName>
    <definedName name="solver_rel4" localSheetId="7" hidden="1">2</definedName>
    <definedName name="solver_rel5" localSheetId="1" hidden="1">2</definedName>
    <definedName name="solver_rel5" localSheetId="2" hidden="1">2</definedName>
    <definedName name="solver_rel5" localSheetId="3" hidden="1">3</definedName>
    <definedName name="solver_rel5" localSheetId="4" hidden="1">2</definedName>
    <definedName name="solver_rel5" localSheetId="5" hidden="1">2</definedName>
    <definedName name="solver_rel5" localSheetId="6" hidden="1">2</definedName>
    <definedName name="solver_rel5" localSheetId="7" hidden="1">2</definedName>
    <definedName name="solver_rel6" localSheetId="1" hidden="1">1</definedName>
    <definedName name="solver_rel6" localSheetId="2" hidden="1">2</definedName>
    <definedName name="solver_rel6" localSheetId="3" hidden="1">2</definedName>
    <definedName name="solver_rel6" localSheetId="4" hidden="1">1</definedName>
    <definedName name="solver_rel6" localSheetId="5" hidden="1">1</definedName>
    <definedName name="solver_rel6" localSheetId="6" hidden="1">1</definedName>
    <definedName name="solver_rel6" localSheetId="7" hidden="1">1</definedName>
    <definedName name="solver_rel7" localSheetId="1" hidden="1">2</definedName>
    <definedName name="solver_rel7" localSheetId="2" hidden="1">2</definedName>
    <definedName name="solver_rel7" localSheetId="3" hidden="1">2</definedName>
    <definedName name="solver_rel7" localSheetId="4" hidden="1">2</definedName>
    <definedName name="solver_rel7" localSheetId="5" hidden="1">2</definedName>
    <definedName name="solver_rel7" localSheetId="6" hidden="1">2</definedName>
    <definedName name="solver_rel7" localSheetId="7" hidden="1">2</definedName>
    <definedName name="solver_rel8" localSheetId="1" hidden="1">2</definedName>
    <definedName name="solver_rel8" localSheetId="2" hidden="1">3</definedName>
    <definedName name="solver_rel8" localSheetId="3" hidden="1">2</definedName>
    <definedName name="solver_rel8" localSheetId="4" hidden="1">2</definedName>
    <definedName name="solver_rel8" localSheetId="5" hidden="1">2</definedName>
    <definedName name="solver_rel8" localSheetId="6" hidden="1">2</definedName>
    <definedName name="solver_rel8" localSheetId="7" hidden="1">2</definedName>
    <definedName name="solver_rel9" localSheetId="1" hidden="1">3</definedName>
    <definedName name="solver_rel9" localSheetId="2" hidden="1">2</definedName>
    <definedName name="solver_rel9" localSheetId="3" hidden="1">3</definedName>
    <definedName name="solver_rel9" localSheetId="4" hidden="1">3</definedName>
    <definedName name="solver_rel9" localSheetId="5" hidden="1">3</definedName>
    <definedName name="solver_rel9" localSheetId="6" hidden="1">3</definedName>
    <definedName name="solver_rel9" localSheetId="7" hidden="1">3</definedName>
    <definedName name="solver_rhs1" localSheetId="1" hidden="1">"integer"</definedName>
    <definedName name="solver_rhs1" localSheetId="2" hidden="1">"integer"</definedName>
    <definedName name="solver_rhs1" localSheetId="3" hidden="1">"integer"</definedName>
    <definedName name="solver_rhs1" localSheetId="4" hidden="1">"integer"</definedName>
    <definedName name="solver_rhs1" localSheetId="5" hidden="1">"integer"</definedName>
    <definedName name="solver_rhs1" localSheetId="6" hidden="1">"integer"</definedName>
    <definedName name="solver_rhs1" localSheetId="7" hidden="1">"integer"</definedName>
    <definedName name="solver_rhs10" localSheetId="1" hidden="1">0</definedName>
    <definedName name="solver_rhs10" localSheetId="3" hidden="1">0</definedName>
    <definedName name="solver_rhs10" localSheetId="4" hidden="1">0</definedName>
    <definedName name="solver_rhs10" localSheetId="5" hidden="1">0</definedName>
    <definedName name="solver_rhs10" localSheetId="6" hidden="1">0</definedName>
    <definedName name="solver_rhs10" localSheetId="7" hidden="1">0</definedName>
    <definedName name="solver_rhs2" localSheetId="1" hidden="1">0</definedName>
    <definedName name="solver_rhs2" localSheetId="2" hidden="1">0</definedName>
    <definedName name="solver_rhs2" localSheetId="3" hidden="1">0</definedName>
    <definedName name="solver_rhs2" localSheetId="4" hidden="1">0</definedName>
    <definedName name="solver_rhs2" localSheetId="5" hidden="1">0</definedName>
    <definedName name="solver_rhs2" localSheetId="6" hidden="1">0</definedName>
    <definedName name="solver_rhs2" localSheetId="7" hidden="1">0</definedName>
    <definedName name="solver_rhs3" localSheetId="1" hidden="1">"integer"</definedName>
    <definedName name="solver_rhs3" localSheetId="2" hidden="1">"integer"</definedName>
    <definedName name="solver_rhs3" localSheetId="3" hidden="1">"integer"</definedName>
    <definedName name="solver_rhs3" localSheetId="4" hidden="1">"integer"</definedName>
    <definedName name="solver_rhs3" localSheetId="5" hidden="1">"integer"</definedName>
    <definedName name="solver_rhs3" localSheetId="6" hidden="1">"integer"</definedName>
    <definedName name="solver_rhs3" localSheetId="7" hidden="1">"integer"</definedName>
    <definedName name="solver_rhs4" localSheetId="1" hidden="1">0</definedName>
    <definedName name="solver_rhs4" localSheetId="2" hidden="1">0</definedName>
    <definedName name="solver_rhs4" localSheetId="3" hidden="1">0</definedName>
    <definedName name="solver_rhs4" localSheetId="4" hidden="1">0</definedName>
    <definedName name="solver_rhs4" localSheetId="5" hidden="1">0</definedName>
    <definedName name="solver_rhs4" localSheetId="6" hidden="1">0</definedName>
    <definedName name="solver_rhs4" localSheetId="7" hidden="1">0</definedName>
    <definedName name="solver_rhs5" localSheetId="1" hidden="1">0</definedName>
    <definedName name="solver_rhs5" localSheetId="2" hidden="1">'Case 2 - Level'!$B$18</definedName>
    <definedName name="solver_rhs5" localSheetId="3" hidden="1">0</definedName>
    <definedName name="solver_rhs5" localSheetId="4" hidden="1">0</definedName>
    <definedName name="solver_rhs5" localSheetId="5" hidden="1">0</definedName>
    <definedName name="solver_rhs5" localSheetId="6" hidden="1">0</definedName>
    <definedName name="solver_rhs5" localSheetId="7" hidden="1">0</definedName>
    <definedName name="solver_rhs6" localSheetId="1" hidden="1">0</definedName>
    <definedName name="solver_rhs6" localSheetId="2" hidden="1">0</definedName>
    <definedName name="solver_rhs6" localSheetId="3" hidden="1">'Case 3 - Subcontracting'!$B$18</definedName>
    <definedName name="solver_rhs6" localSheetId="4" hidden="1">0</definedName>
    <definedName name="solver_rhs6" localSheetId="5" hidden="1">0</definedName>
    <definedName name="solver_rhs6" localSheetId="6" hidden="1">0</definedName>
    <definedName name="solver_rhs6" localSheetId="7" hidden="1">0</definedName>
    <definedName name="solver_rhs7" localSheetId="1" hidden="1">0</definedName>
    <definedName name="solver_rhs7" localSheetId="2" hidden="1">0</definedName>
    <definedName name="solver_rhs7" localSheetId="3" hidden="1">0</definedName>
    <definedName name="solver_rhs7" localSheetId="4" hidden="1">0</definedName>
    <definedName name="solver_rhs7" localSheetId="5" hidden="1">0</definedName>
    <definedName name="solver_rhs7" localSheetId="6" hidden="1">0</definedName>
    <definedName name="solver_rhs7" localSheetId="7" hidden="1">0</definedName>
    <definedName name="solver_rhs8" localSheetId="1" hidden="1">0</definedName>
    <definedName name="solver_rhs8" localSheetId="2" hidden="1">0</definedName>
    <definedName name="solver_rhs8" localSheetId="3" hidden="1">0</definedName>
    <definedName name="solver_rhs8" localSheetId="4" hidden="1">0</definedName>
    <definedName name="solver_rhs8" localSheetId="5" hidden="1">0</definedName>
    <definedName name="solver_rhs8" localSheetId="6" hidden="1">0</definedName>
    <definedName name="solver_rhs8" localSheetId="7" hidden="1">0</definedName>
    <definedName name="solver_rhs9" localSheetId="1" hidden="1">0</definedName>
    <definedName name="solver_rhs9" localSheetId="2" hidden="1">0</definedName>
    <definedName name="solver_rhs9" localSheetId="3" hidden="1">0</definedName>
    <definedName name="solver_rhs9" localSheetId="4" hidden="1">0</definedName>
    <definedName name="solver_rhs9" localSheetId="5" hidden="1">0</definedName>
    <definedName name="solver_rhs9" localSheetId="6" hidden="1">0</definedName>
    <definedName name="solver_rhs9" localSheetId="7" hidden="1">0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lx" localSheetId="0" hidden="1">2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0" hidden="1">0</definedName>
    <definedName name="solver_scl" localSheetId="1" hidden="1">2</definedName>
    <definedName name="solver_scl" localSheetId="2" hidden="1">2</definedName>
    <definedName name="solver_scl" localSheetId="3" hidden="1">2</definedName>
    <definedName name="solver_scl" localSheetId="4" hidden="1">2</definedName>
    <definedName name="solver_scl" localSheetId="5" hidden="1">2</definedName>
    <definedName name="solver_scl" localSheetId="6" hidden="1">2</definedName>
    <definedName name="solver_scl" localSheetId="7" hidden="1">2</definedName>
    <definedName name="solver_scl" localSheetId="0" hidden="1">1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0" hidden="1">2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0" hidden="1">100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im" localSheetId="0" hidden="1">2147483647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ol" localSheetId="0" hidden="1">0.01</definedName>
    <definedName name="solver_typ" localSheetId="1" hidden="1">1</definedName>
    <definedName name="solver_typ" localSheetId="2" hidden="1">1</definedName>
    <definedName name="solver_typ" localSheetId="3" hidden="1">1</definedName>
    <definedName name="solver_typ" localSheetId="4" hidden="1">1</definedName>
    <definedName name="solver_typ" localSheetId="5" hidden="1">1</definedName>
    <definedName name="solver_typ" localSheetId="6" hidden="1">1</definedName>
    <definedName name="solver_typ" localSheetId="7" hidden="1">1</definedName>
    <definedName name="solver_typ" localSheetId="0" hidden="1">2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0" hidden="1">0</definedName>
    <definedName name="solver_ver" localSheetId="1" hidden="1">2</definedName>
    <definedName name="solver_ver" localSheetId="2" hidden="1">2</definedName>
    <definedName name="solver_ver" localSheetId="3" hidden="1">2</definedName>
    <definedName name="solver_ver" localSheetId="4" hidden="1">2</definedName>
    <definedName name="solver_ver" localSheetId="5" hidden="1">2</definedName>
    <definedName name="solver_ver" localSheetId="6" hidden="1">2</definedName>
    <definedName name="solver_ver" localSheetId="7" hidden="1">2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3" l="1"/>
  <c r="E21" i="10"/>
  <c r="E21" i="8"/>
  <c r="E21" i="7"/>
  <c r="B17" i="10" l="1"/>
  <c r="B16" i="10"/>
  <c r="B15" i="10"/>
  <c r="B14" i="10"/>
  <c r="B13" i="10"/>
  <c r="B12" i="10"/>
  <c r="B11" i="10"/>
  <c r="B10" i="10"/>
  <c r="B9" i="10"/>
  <c r="B8" i="10"/>
  <c r="B7" i="10"/>
  <c r="B6" i="10"/>
  <c r="B17" i="8"/>
  <c r="B16" i="8"/>
  <c r="B15" i="8"/>
  <c r="B14" i="8"/>
  <c r="B13" i="8"/>
  <c r="B12" i="8"/>
  <c r="B11" i="8"/>
  <c r="B10" i="8"/>
  <c r="B9" i="8"/>
  <c r="B8" i="8"/>
  <c r="B7" i="8"/>
  <c r="B6" i="8"/>
  <c r="B17" i="7"/>
  <c r="B16" i="7"/>
  <c r="B15" i="7"/>
  <c r="B14" i="7"/>
  <c r="B13" i="7"/>
  <c r="B12" i="7"/>
  <c r="B11" i="7"/>
  <c r="B10" i="7"/>
  <c r="B9" i="7"/>
  <c r="B8" i="7"/>
  <c r="B7" i="7"/>
  <c r="B6" i="7"/>
  <c r="B17" i="5"/>
  <c r="B16" i="5"/>
  <c r="B15" i="5"/>
  <c r="B14" i="5"/>
  <c r="B13" i="5"/>
  <c r="B12" i="5"/>
  <c r="B11" i="5"/>
  <c r="B10" i="5"/>
  <c r="B9" i="5"/>
  <c r="B8" i="5"/>
  <c r="B7" i="5"/>
  <c r="B6" i="5"/>
  <c r="B17" i="3"/>
  <c r="B16" i="3"/>
  <c r="B15" i="3"/>
  <c r="B14" i="3"/>
  <c r="B13" i="3"/>
  <c r="B12" i="3"/>
  <c r="B11" i="3"/>
  <c r="B10" i="3"/>
  <c r="B9" i="3"/>
  <c r="B8" i="3"/>
  <c r="B7" i="3"/>
  <c r="B6" i="3"/>
  <c r="B17" i="2"/>
  <c r="B16" i="2"/>
  <c r="B15" i="2"/>
  <c r="B14" i="2"/>
  <c r="B13" i="2"/>
  <c r="B12" i="2"/>
  <c r="B11" i="2"/>
  <c r="B10" i="2"/>
  <c r="B9" i="2"/>
  <c r="B8" i="2"/>
  <c r="B7" i="2"/>
  <c r="B6" i="2"/>
  <c r="B7" i="1"/>
  <c r="B8" i="1"/>
  <c r="B9" i="1"/>
  <c r="B10" i="1"/>
  <c r="B11" i="1"/>
  <c r="B12" i="1"/>
  <c r="B13" i="1"/>
  <c r="B14" i="1"/>
  <c r="B15" i="1"/>
  <c r="B16" i="1"/>
  <c r="B17" i="1"/>
  <c r="B6" i="1"/>
  <c r="G6" i="11"/>
  <c r="E6" i="11"/>
  <c r="H6" i="11" l="1"/>
  <c r="K6" i="11" l="1"/>
  <c r="I6" i="11"/>
  <c r="F6" i="11"/>
  <c r="G7" i="11" s="1"/>
  <c r="H7" i="11" s="1"/>
  <c r="K7" i="11" l="1"/>
  <c r="I7" i="11"/>
  <c r="J7" i="11" s="1"/>
  <c r="E7" i="11"/>
  <c r="J6" i="11"/>
  <c r="F7" i="11" l="1"/>
  <c r="E8" i="11" s="1"/>
  <c r="G8" i="11" l="1"/>
  <c r="H8" i="11" s="1"/>
  <c r="I8" i="11" s="1"/>
  <c r="F8" i="11"/>
  <c r="E9" i="11" s="1"/>
  <c r="K8" i="11" l="1"/>
  <c r="G9" i="11"/>
  <c r="H9" i="11" s="1"/>
  <c r="I9" i="11" s="1"/>
  <c r="J9" i="11" s="1"/>
  <c r="F9" i="11"/>
  <c r="E10" i="11" s="1"/>
  <c r="J8" i="11"/>
  <c r="K9" i="11" l="1"/>
  <c r="G10" i="11"/>
  <c r="H10" i="11" s="1"/>
  <c r="I10" i="11" s="1"/>
  <c r="J10" i="11" s="1"/>
  <c r="F10" i="11"/>
  <c r="E11" i="11" s="1"/>
  <c r="K10" i="11" l="1"/>
  <c r="F11" i="11"/>
  <c r="E12" i="11" s="1"/>
  <c r="G11" i="11"/>
  <c r="H11" i="11" s="1"/>
  <c r="G12" i="11" l="1"/>
  <c r="H12" i="11" s="1"/>
  <c r="K12" i="11" s="1"/>
  <c r="I11" i="11"/>
  <c r="K11" i="11"/>
  <c r="I12" i="11"/>
  <c r="J12" i="11" s="1"/>
  <c r="F12" i="11"/>
  <c r="G13" i="11" s="1"/>
  <c r="H13" i="11" s="1"/>
  <c r="K13" i="11" l="1"/>
  <c r="I13" i="11"/>
  <c r="J13" i="11" s="1"/>
  <c r="E13" i="11"/>
  <c r="J11" i="11"/>
  <c r="F13" i="11" l="1"/>
  <c r="G14" i="11" s="1"/>
  <c r="H14" i="11" s="1"/>
  <c r="K14" i="11" l="1"/>
  <c r="I14" i="11"/>
  <c r="J14" i="11" s="1"/>
  <c r="E14" i="11"/>
  <c r="F14" i="11" l="1"/>
  <c r="E15" i="11" s="1"/>
  <c r="F15" i="11" l="1"/>
  <c r="E16" i="11" s="1"/>
  <c r="G15" i="11"/>
  <c r="H15" i="11" s="1"/>
  <c r="F16" i="11" l="1"/>
  <c r="G17" i="11" s="1"/>
  <c r="H17" i="11" s="1"/>
  <c r="G16" i="11"/>
  <c r="H16" i="11" s="1"/>
  <c r="K15" i="11"/>
  <c r="I15" i="11"/>
  <c r="J15" i="11" s="1"/>
  <c r="E17" i="11" l="1"/>
  <c r="F17" i="11" s="1"/>
  <c r="I17" i="11"/>
  <c r="K17" i="11"/>
  <c r="I16" i="11"/>
  <c r="J16" i="11" s="1"/>
  <c r="K16" i="11"/>
  <c r="L6" i="11" l="1"/>
  <c r="J17" i="11"/>
  <c r="P8" i="10" l="1"/>
  <c r="P9" i="10"/>
  <c r="R9" i="10" s="1"/>
  <c r="P10" i="10"/>
  <c r="P11" i="10"/>
  <c r="R11" i="10" s="1"/>
  <c r="P12" i="10"/>
  <c r="R12" i="10" s="1"/>
  <c r="P13" i="10"/>
  <c r="P14" i="10"/>
  <c r="R14" i="10" s="1"/>
  <c r="P15" i="10"/>
  <c r="R15" i="10" s="1"/>
  <c r="P16" i="10"/>
  <c r="P17" i="10"/>
  <c r="P18" i="10"/>
  <c r="P7" i="10"/>
  <c r="O20" i="10"/>
  <c r="N20" i="10"/>
  <c r="M20" i="10"/>
  <c r="L20" i="10"/>
  <c r="K20" i="10"/>
  <c r="J20" i="10"/>
  <c r="I20" i="10"/>
  <c r="H20" i="10"/>
  <c r="U18" i="10"/>
  <c r="T18" i="10"/>
  <c r="R18" i="10"/>
  <c r="U17" i="10"/>
  <c r="T17" i="10"/>
  <c r="R17" i="10"/>
  <c r="U16" i="10"/>
  <c r="T16" i="10"/>
  <c r="R16" i="10"/>
  <c r="U15" i="10"/>
  <c r="T15" i="10"/>
  <c r="U14" i="10"/>
  <c r="T14" i="10"/>
  <c r="S14" i="10"/>
  <c r="U13" i="10"/>
  <c r="T13" i="10"/>
  <c r="R13" i="10"/>
  <c r="U12" i="10"/>
  <c r="T12" i="10"/>
  <c r="U11" i="10"/>
  <c r="T11" i="10"/>
  <c r="U10" i="10"/>
  <c r="T10" i="10"/>
  <c r="R10" i="10"/>
  <c r="U9" i="10"/>
  <c r="T9" i="10"/>
  <c r="U8" i="10"/>
  <c r="T8" i="10"/>
  <c r="R8" i="10"/>
  <c r="U7" i="10"/>
  <c r="T7" i="10"/>
  <c r="E7" i="10"/>
  <c r="E6" i="10"/>
  <c r="S17" i="10" s="1"/>
  <c r="P8" i="8"/>
  <c r="P9" i="8"/>
  <c r="P10" i="8"/>
  <c r="R10" i="8" s="1"/>
  <c r="P11" i="8"/>
  <c r="R11" i="8" s="1"/>
  <c r="P12" i="8"/>
  <c r="R12" i="8" s="1"/>
  <c r="P13" i="8"/>
  <c r="R13" i="8" s="1"/>
  <c r="P14" i="8"/>
  <c r="R14" i="8" s="1"/>
  <c r="P15" i="8"/>
  <c r="R15" i="8" s="1"/>
  <c r="P16" i="8"/>
  <c r="P17" i="8"/>
  <c r="P18" i="8"/>
  <c r="P7" i="8"/>
  <c r="O20" i="8"/>
  <c r="N20" i="8"/>
  <c r="M20" i="8"/>
  <c r="L20" i="8"/>
  <c r="K20" i="8"/>
  <c r="J20" i="8"/>
  <c r="I20" i="8"/>
  <c r="H20" i="8"/>
  <c r="U18" i="8"/>
  <c r="T18" i="8"/>
  <c r="R18" i="8"/>
  <c r="U17" i="8"/>
  <c r="T17" i="8"/>
  <c r="R17" i="8"/>
  <c r="U16" i="8"/>
  <c r="T16" i="8"/>
  <c r="R16" i="8"/>
  <c r="U15" i="8"/>
  <c r="T15" i="8"/>
  <c r="U14" i="8"/>
  <c r="T14" i="8"/>
  <c r="U13" i="8"/>
  <c r="T13" i="8"/>
  <c r="S13" i="8"/>
  <c r="U12" i="8"/>
  <c r="T12" i="8"/>
  <c r="U11" i="8"/>
  <c r="T11" i="8"/>
  <c r="U10" i="8"/>
  <c r="T10" i="8"/>
  <c r="U9" i="8"/>
  <c r="T9" i="8"/>
  <c r="R9" i="8"/>
  <c r="U8" i="8"/>
  <c r="T8" i="8"/>
  <c r="R8" i="8"/>
  <c r="U7" i="8"/>
  <c r="T7" i="8"/>
  <c r="R7" i="8"/>
  <c r="E7" i="8"/>
  <c r="E6" i="8"/>
  <c r="S14" i="8" s="1"/>
  <c r="P8" i="7"/>
  <c r="P9" i="7"/>
  <c r="P10" i="7"/>
  <c r="P11" i="7"/>
  <c r="R11" i="7" s="1"/>
  <c r="P12" i="7"/>
  <c r="R12" i="7" s="1"/>
  <c r="P13" i="7"/>
  <c r="R13" i="7" s="1"/>
  <c r="P14" i="7"/>
  <c r="R14" i="7" s="1"/>
  <c r="P15" i="7"/>
  <c r="R15" i="7" s="1"/>
  <c r="P16" i="7"/>
  <c r="P17" i="7"/>
  <c r="P18" i="7"/>
  <c r="P7" i="7"/>
  <c r="R7" i="7" s="1"/>
  <c r="R16" i="7"/>
  <c r="R18" i="7"/>
  <c r="O20" i="7"/>
  <c r="N20" i="7"/>
  <c r="M20" i="7"/>
  <c r="L20" i="7"/>
  <c r="K20" i="7"/>
  <c r="J20" i="7"/>
  <c r="I20" i="7"/>
  <c r="H20" i="7"/>
  <c r="U18" i="7"/>
  <c r="T18" i="7"/>
  <c r="U17" i="7"/>
  <c r="T17" i="7"/>
  <c r="R17" i="7"/>
  <c r="U16" i="7"/>
  <c r="T16" i="7"/>
  <c r="U15" i="7"/>
  <c r="T15" i="7"/>
  <c r="U14" i="7"/>
  <c r="T14" i="7"/>
  <c r="S14" i="7"/>
  <c r="U13" i="7"/>
  <c r="T13" i="7"/>
  <c r="U12" i="7"/>
  <c r="T12" i="7"/>
  <c r="U11" i="7"/>
  <c r="T11" i="7"/>
  <c r="U10" i="7"/>
  <c r="T10" i="7"/>
  <c r="R10" i="7"/>
  <c r="U9" i="7"/>
  <c r="T9" i="7"/>
  <c r="R9" i="7"/>
  <c r="U8" i="7"/>
  <c r="T8" i="7"/>
  <c r="R8" i="7"/>
  <c r="U7" i="7"/>
  <c r="T7" i="7"/>
  <c r="E7" i="7"/>
  <c r="E6" i="7"/>
  <c r="S17" i="7" s="1"/>
  <c r="O20" i="5"/>
  <c r="E7" i="5"/>
  <c r="E6" i="5"/>
  <c r="S7" i="5" s="1"/>
  <c r="E7" i="3"/>
  <c r="E6" i="3"/>
  <c r="E7" i="2"/>
  <c r="E6" i="2"/>
  <c r="E6" i="1"/>
  <c r="E7" i="1"/>
  <c r="N20" i="5"/>
  <c r="M20" i="5"/>
  <c r="L20" i="5"/>
  <c r="K20" i="5"/>
  <c r="J20" i="5"/>
  <c r="I20" i="5"/>
  <c r="H20" i="5"/>
  <c r="U18" i="5"/>
  <c r="T18" i="5"/>
  <c r="S18" i="5"/>
  <c r="P18" i="5"/>
  <c r="R18" i="5" s="1"/>
  <c r="U17" i="5"/>
  <c r="T17" i="5"/>
  <c r="S17" i="5"/>
  <c r="R17" i="5"/>
  <c r="P17" i="5"/>
  <c r="U16" i="5"/>
  <c r="T16" i="5"/>
  <c r="S16" i="5"/>
  <c r="P16" i="5"/>
  <c r="R16" i="5" s="1"/>
  <c r="U15" i="5"/>
  <c r="T15" i="5"/>
  <c r="P15" i="5"/>
  <c r="R15" i="5" s="1"/>
  <c r="U14" i="5"/>
  <c r="T14" i="5"/>
  <c r="S14" i="5"/>
  <c r="P14" i="5"/>
  <c r="R14" i="5" s="1"/>
  <c r="U13" i="5"/>
  <c r="T13" i="5"/>
  <c r="P13" i="5"/>
  <c r="R13" i="5" s="1"/>
  <c r="U12" i="5"/>
  <c r="T12" i="5"/>
  <c r="S12" i="5"/>
  <c r="P12" i="5"/>
  <c r="R12" i="5" s="1"/>
  <c r="U11" i="5"/>
  <c r="T11" i="5"/>
  <c r="P11" i="5"/>
  <c r="R11" i="5" s="1"/>
  <c r="U10" i="5"/>
  <c r="T10" i="5"/>
  <c r="S10" i="5"/>
  <c r="P10" i="5"/>
  <c r="R10" i="5" s="1"/>
  <c r="U9" i="5"/>
  <c r="T9" i="5"/>
  <c r="P9" i="5"/>
  <c r="R9" i="5" s="1"/>
  <c r="U8" i="5"/>
  <c r="T8" i="5"/>
  <c r="S8" i="5"/>
  <c r="P8" i="5"/>
  <c r="R8" i="5" s="1"/>
  <c r="U7" i="5"/>
  <c r="T7" i="5"/>
  <c r="P7" i="5"/>
  <c r="R7" i="5" s="1"/>
  <c r="B18" i="3"/>
  <c r="O20" i="3"/>
  <c r="N20" i="3"/>
  <c r="M20" i="3"/>
  <c r="L20" i="3"/>
  <c r="K20" i="3"/>
  <c r="J20" i="3"/>
  <c r="I20" i="3"/>
  <c r="H20" i="3"/>
  <c r="U18" i="3"/>
  <c r="T18" i="3"/>
  <c r="S18" i="3"/>
  <c r="P18" i="3"/>
  <c r="R18" i="3" s="1"/>
  <c r="U17" i="3"/>
  <c r="T17" i="3"/>
  <c r="S17" i="3"/>
  <c r="P17" i="3"/>
  <c r="R17" i="3" s="1"/>
  <c r="U16" i="3"/>
  <c r="T16" i="3"/>
  <c r="S16" i="3"/>
  <c r="P16" i="3"/>
  <c r="R16" i="3" s="1"/>
  <c r="U15" i="3"/>
  <c r="T15" i="3"/>
  <c r="S15" i="3"/>
  <c r="P15" i="3"/>
  <c r="R15" i="3" s="1"/>
  <c r="U14" i="3"/>
  <c r="T14" i="3"/>
  <c r="S14" i="3"/>
  <c r="P14" i="3"/>
  <c r="R14" i="3" s="1"/>
  <c r="U13" i="3"/>
  <c r="T13" i="3"/>
  <c r="S13" i="3"/>
  <c r="P13" i="3"/>
  <c r="R13" i="3" s="1"/>
  <c r="U12" i="3"/>
  <c r="T12" i="3"/>
  <c r="S12" i="3"/>
  <c r="P12" i="3"/>
  <c r="R12" i="3" s="1"/>
  <c r="U11" i="3"/>
  <c r="T11" i="3"/>
  <c r="S11" i="3"/>
  <c r="R11" i="3"/>
  <c r="P11" i="3"/>
  <c r="U10" i="3"/>
  <c r="T10" i="3"/>
  <c r="S10" i="3"/>
  <c r="P10" i="3"/>
  <c r="R10" i="3" s="1"/>
  <c r="U9" i="3"/>
  <c r="T9" i="3"/>
  <c r="S9" i="3"/>
  <c r="P9" i="3"/>
  <c r="R9" i="3" s="1"/>
  <c r="U8" i="3"/>
  <c r="T8" i="3"/>
  <c r="S8" i="3"/>
  <c r="P8" i="3"/>
  <c r="R8" i="3" s="1"/>
  <c r="U7" i="3"/>
  <c r="T7" i="3"/>
  <c r="S7" i="3"/>
  <c r="P7" i="3"/>
  <c r="R7" i="3" s="1"/>
  <c r="B18" i="2"/>
  <c r="O20" i="2"/>
  <c r="N20" i="2"/>
  <c r="M20" i="2"/>
  <c r="L20" i="2"/>
  <c r="K20" i="2"/>
  <c r="J20" i="2"/>
  <c r="I20" i="2"/>
  <c r="H20" i="2"/>
  <c r="U18" i="2"/>
  <c r="T18" i="2"/>
  <c r="S18" i="2"/>
  <c r="P18" i="2"/>
  <c r="R18" i="2" s="1"/>
  <c r="U17" i="2"/>
  <c r="T17" i="2"/>
  <c r="S17" i="2"/>
  <c r="P17" i="2"/>
  <c r="R17" i="2" s="1"/>
  <c r="U16" i="2"/>
  <c r="T16" i="2"/>
  <c r="S16" i="2"/>
  <c r="P16" i="2"/>
  <c r="R16" i="2" s="1"/>
  <c r="U15" i="2"/>
  <c r="T15" i="2"/>
  <c r="S15" i="2"/>
  <c r="P15" i="2"/>
  <c r="R15" i="2" s="1"/>
  <c r="U14" i="2"/>
  <c r="T14" i="2"/>
  <c r="S14" i="2"/>
  <c r="R14" i="2"/>
  <c r="P14" i="2"/>
  <c r="U13" i="2"/>
  <c r="T13" i="2"/>
  <c r="S13" i="2"/>
  <c r="P13" i="2"/>
  <c r="R13" i="2" s="1"/>
  <c r="U12" i="2"/>
  <c r="T12" i="2"/>
  <c r="S12" i="2"/>
  <c r="P12" i="2"/>
  <c r="R12" i="2" s="1"/>
  <c r="U11" i="2"/>
  <c r="T11" i="2"/>
  <c r="S11" i="2"/>
  <c r="P11" i="2"/>
  <c r="R11" i="2" s="1"/>
  <c r="U10" i="2"/>
  <c r="T10" i="2"/>
  <c r="S10" i="2"/>
  <c r="P10" i="2"/>
  <c r="R10" i="2" s="1"/>
  <c r="U9" i="2"/>
  <c r="T9" i="2"/>
  <c r="S9" i="2"/>
  <c r="P9" i="2"/>
  <c r="R9" i="2" s="1"/>
  <c r="U8" i="2"/>
  <c r="T8" i="2"/>
  <c r="S8" i="2"/>
  <c r="P8" i="2"/>
  <c r="R8" i="2" s="1"/>
  <c r="U7" i="2"/>
  <c r="T7" i="2"/>
  <c r="S7" i="2"/>
  <c r="P7" i="2"/>
  <c r="R7" i="2" s="1"/>
  <c r="S8" i="1"/>
  <c r="S13" i="1"/>
  <c r="S9" i="1"/>
  <c r="S10" i="1"/>
  <c r="S11" i="1"/>
  <c r="S12" i="1"/>
  <c r="S14" i="1"/>
  <c r="S15" i="1"/>
  <c r="S16" i="1"/>
  <c r="S17" i="1"/>
  <c r="S18" i="1"/>
  <c r="U7" i="1"/>
  <c r="T7" i="1"/>
  <c r="O20" i="1"/>
  <c r="N20" i="1"/>
  <c r="T8" i="1"/>
  <c r="T9" i="1"/>
  <c r="T10" i="1"/>
  <c r="T11" i="1"/>
  <c r="T12" i="1"/>
  <c r="T13" i="1"/>
  <c r="T14" i="1"/>
  <c r="T15" i="1"/>
  <c r="T16" i="1"/>
  <c r="T17" i="1"/>
  <c r="T18" i="1"/>
  <c r="U8" i="1"/>
  <c r="U9" i="1"/>
  <c r="U10" i="1"/>
  <c r="U11" i="1"/>
  <c r="U12" i="1"/>
  <c r="U13" i="1"/>
  <c r="U14" i="1"/>
  <c r="U15" i="1"/>
  <c r="U16" i="1"/>
  <c r="U17" i="1"/>
  <c r="U18" i="1"/>
  <c r="P8" i="1"/>
  <c r="R8" i="1" s="1"/>
  <c r="P9" i="1"/>
  <c r="R9" i="1" s="1"/>
  <c r="P10" i="1"/>
  <c r="R10" i="1" s="1"/>
  <c r="P11" i="1"/>
  <c r="R11" i="1" s="1"/>
  <c r="P12" i="1"/>
  <c r="R12" i="1" s="1"/>
  <c r="P13" i="1"/>
  <c r="R13" i="1" s="1"/>
  <c r="P14" i="1"/>
  <c r="R14" i="1" s="1"/>
  <c r="P15" i="1"/>
  <c r="R15" i="1" s="1"/>
  <c r="P16" i="1"/>
  <c r="R16" i="1" s="1"/>
  <c r="P17" i="1"/>
  <c r="R17" i="1" s="1"/>
  <c r="P18" i="1"/>
  <c r="R18" i="1" s="1"/>
  <c r="P7" i="1"/>
  <c r="R7" i="1" s="1"/>
  <c r="K20" i="1"/>
  <c r="J20" i="1"/>
  <c r="I20" i="1"/>
  <c r="M20" i="1"/>
  <c r="P20" i="10" l="1"/>
  <c r="F12" i="13" s="1"/>
  <c r="S11" i="10"/>
  <c r="S8" i="10"/>
  <c r="S16" i="10"/>
  <c r="S13" i="10"/>
  <c r="S7" i="10"/>
  <c r="S15" i="10"/>
  <c r="R7" i="10"/>
  <c r="S10" i="10"/>
  <c r="S18" i="10"/>
  <c r="S12" i="10"/>
  <c r="S9" i="10"/>
  <c r="P20" i="8"/>
  <c r="F11" i="13" s="1"/>
  <c r="S11" i="8"/>
  <c r="S8" i="8"/>
  <c r="S16" i="8"/>
  <c r="S12" i="8"/>
  <c r="S10" i="8"/>
  <c r="S9" i="8"/>
  <c r="S17" i="8"/>
  <c r="S18" i="8"/>
  <c r="S7" i="8"/>
  <c r="S15" i="8"/>
  <c r="P20" i="5"/>
  <c r="F9" i="13" s="1"/>
  <c r="P20" i="7"/>
  <c r="F10" i="13" s="1"/>
  <c r="P20" i="3"/>
  <c r="F8" i="13" s="1"/>
  <c r="P20" i="2"/>
  <c r="F7" i="13" s="1"/>
  <c r="S11" i="7"/>
  <c r="S8" i="7"/>
  <c r="S16" i="7"/>
  <c r="S13" i="7"/>
  <c r="S10" i="7"/>
  <c r="S18" i="7"/>
  <c r="S7" i="7"/>
  <c r="S15" i="7"/>
  <c r="S12" i="7"/>
  <c r="S9" i="7"/>
  <c r="S11" i="5"/>
  <c r="S13" i="5"/>
  <c r="S15" i="5"/>
  <c r="S9" i="5"/>
  <c r="S7" i="1"/>
  <c r="L20" i="1"/>
  <c r="H20" i="1" l="1"/>
  <c r="P20" i="1" s="1"/>
</calcChain>
</file>

<file path=xl/sharedStrings.xml><?xml version="1.0" encoding="utf-8"?>
<sst xmlns="http://schemas.openxmlformats.org/spreadsheetml/2006/main" count="421" uniqueCount="77">
  <si>
    <t>Month</t>
  </si>
  <si>
    <t>Demand</t>
  </si>
  <si>
    <t>Constraints</t>
  </si>
  <si>
    <t>equal to 0</t>
  </si>
  <si>
    <t>Aggregate Planning Decision Variables</t>
  </si>
  <si>
    <t>No. of Workers (Wt)</t>
  </si>
  <si>
    <t>Total Overtime Working Hours (Ot)</t>
  </si>
  <si>
    <t>Inventory (It)</t>
  </si>
  <si>
    <t>Production (Pt)</t>
  </si>
  <si>
    <t>-</t>
  </si>
  <si>
    <t>Demand (Dt)</t>
  </si>
  <si>
    <t>Cost</t>
  </si>
  <si>
    <t>Inventory Balance</t>
  </si>
  <si>
    <t>Production Capacity</t>
  </si>
  <si>
    <t>Labour Cost (Regular)</t>
  </si>
  <si>
    <t>Labour Cost (Overtime)</t>
  </si>
  <si>
    <t>Inventory Cost</t>
  </si>
  <si>
    <t>Production Cost</t>
  </si>
  <si>
    <t>Data Given</t>
  </si>
  <si>
    <t>Material Cost (in USD)</t>
  </si>
  <si>
    <t>Inventory Cost (in USD / unit)</t>
  </si>
  <si>
    <t>Hiring Cost (in USD / worker)</t>
  </si>
  <si>
    <t>Overtime Cost (in USD / hour)</t>
  </si>
  <si>
    <t>Subcontracting Cost (in USD / unit)</t>
  </si>
  <si>
    <t>Initial Inventory Quantity</t>
  </si>
  <si>
    <t>Final Inventory Quantity</t>
  </si>
  <si>
    <t>Starting Workforce</t>
  </si>
  <si>
    <t>Sub-contracting Cost</t>
  </si>
  <si>
    <t>Sub-contracted Production (Ct)</t>
  </si>
  <si>
    <t>Stock-out Units (St)</t>
  </si>
  <si>
    <t>Stock out Cost</t>
  </si>
  <si>
    <t>Labour Cost (in USD / worker / month)</t>
  </si>
  <si>
    <t>Hired Workers (Ht)</t>
  </si>
  <si>
    <t>Laid off Workers (Lt)</t>
  </si>
  <si>
    <t>Hiring Cost</t>
  </si>
  <si>
    <t>Layoff Cost</t>
  </si>
  <si>
    <t>Workforce Balance</t>
  </si>
  <si>
    <t>Production Volume / Worker / Month (Regular time)</t>
  </si>
  <si>
    <t>Number of Working Days / Month</t>
  </si>
  <si>
    <t>Stock Out Last Month</t>
  </si>
  <si>
    <t>Laying-off Cost (in USD / worker)</t>
  </si>
  <si>
    <t>Stock-out Cost (in USD / unit)</t>
  </si>
  <si>
    <t>Maximum Overtime Working Hours / Worker / Month</t>
  </si>
  <si>
    <t>Overtime Balance</t>
  </si>
  <si>
    <t>Production Volume / Hour (Overtime)</t>
  </si>
  <si>
    <t>greater than 0</t>
  </si>
  <si>
    <t>Average Demand</t>
  </si>
  <si>
    <t>Lowest Demand</t>
  </si>
  <si>
    <t>Increased Demand (Dt)</t>
  </si>
  <si>
    <t>Actual Demand</t>
  </si>
  <si>
    <t>Selling Price (in USD) (Assumption as per market range)</t>
  </si>
  <si>
    <t>Total Profit</t>
  </si>
  <si>
    <t>Holt's Model</t>
  </si>
  <si>
    <t>alpha value</t>
  </si>
  <si>
    <t>a-zero value (linear intercept)</t>
  </si>
  <si>
    <t>beta value</t>
  </si>
  <si>
    <t>b-zero value (linear slope)</t>
  </si>
  <si>
    <t>Level (a)</t>
  </si>
  <si>
    <t>Trend (b)</t>
  </si>
  <si>
    <t>Forecast</t>
  </si>
  <si>
    <t>Error</t>
  </si>
  <si>
    <t>Absolute Error</t>
  </si>
  <si>
    <t>Square of Error</t>
  </si>
  <si>
    <t>Absolute (Error / Actual Values)</t>
  </si>
  <si>
    <t>Mean Absolute Percentage Deviation</t>
  </si>
  <si>
    <t>Strategy</t>
  </si>
  <si>
    <t>Chase</t>
  </si>
  <si>
    <t>Level</t>
  </si>
  <si>
    <t>Subcontracting</t>
  </si>
  <si>
    <t>Case</t>
  </si>
  <si>
    <t>Reduced Overtime</t>
  </si>
  <si>
    <t>5% Discounting</t>
  </si>
  <si>
    <t>10% Discounting</t>
  </si>
  <si>
    <t>Reduced OT + 5% Discounting</t>
  </si>
  <si>
    <t>Reduced Overtime + 5% Discounting</t>
  </si>
  <si>
    <t>Profit earned</t>
  </si>
  <si>
    <t>Best option (Maximum Profit)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</si>
</sst>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  <font>
      <sz val="11"/>
      <color theme="1"/>
      <name val="Arial"/>
    </font>
    <font>
      <b/>
      <sz val="11"/>
      <color rgb="FFFFFFFF"/>
      <name val="Arial"/>
      <family val="2"/>
    </font>
    <font>
      <b/>
      <sz val="10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 wrapText="1"/>
    </xf>
    <xf numFmtId="0" fontId="2" fillId="3" borderId="2" xfId="0" applyNumberFormat="1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2" fontId="2" fillId="3" borderId="2" xfId="0" applyNumberFormat="1" applyFont="1" applyFill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2" fontId="6" fillId="0" borderId="10" xfId="0" applyNumberFormat="1" applyFont="1" applyBorder="1" applyAlignment="1">
      <alignment horizontal="center" vertical="center" wrapText="1"/>
    </xf>
    <xf numFmtId="2" fontId="7" fillId="0" borderId="0" xfId="0" applyNumberFormat="1" applyFont="1"/>
    <xf numFmtId="2" fontId="1" fillId="6" borderId="10" xfId="0" applyNumberFormat="1" applyFont="1" applyFill="1" applyBorder="1" applyAlignment="1">
      <alignment horizontal="center" vertical="center" wrapText="1"/>
    </xf>
    <xf numFmtId="2" fontId="1" fillId="6" borderId="2" xfId="0" applyNumberFormat="1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 wrapText="1"/>
    </xf>
    <xf numFmtId="2" fontId="9" fillId="4" borderId="10" xfId="0" applyNumberFormat="1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2" fontId="1" fillId="3" borderId="2" xfId="0" applyNumberFormat="1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2" fontId="4" fillId="5" borderId="7" xfId="0" applyNumberFormat="1" applyFont="1" applyFill="1" applyBorder="1" applyAlignment="1">
      <alignment horizontal="center" vertical="center" wrapText="1"/>
    </xf>
    <xf numFmtId="2" fontId="4" fillId="5" borderId="9" xfId="0" applyNumberFormat="1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6" xfId="0" applyNumberFormat="1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0" fontId="3" fillId="2" borderId="4" xfId="0" applyNumberFormat="1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2" fontId="1" fillId="6" borderId="2" xfId="0" applyNumberFormat="1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Month vs Forecast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'Demand Forecasting'!$C$6:$C$17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'Demand Forecasting'!$D$6:$D$17</c:f>
              <c:numCache>
                <c:formatCode>General</c:formatCode>
                <c:ptCount val="12"/>
                <c:pt idx="0">
                  <c:v>13</c:v>
                </c:pt>
                <c:pt idx="1">
                  <c:v>8</c:v>
                </c:pt>
                <c:pt idx="2">
                  <c:v>9</c:v>
                </c:pt>
                <c:pt idx="3">
                  <c:v>12</c:v>
                </c:pt>
                <c:pt idx="4">
                  <c:v>10</c:v>
                </c:pt>
                <c:pt idx="5">
                  <c:v>17</c:v>
                </c:pt>
                <c:pt idx="6">
                  <c:v>11</c:v>
                </c:pt>
                <c:pt idx="7">
                  <c:v>19</c:v>
                </c:pt>
                <c:pt idx="8">
                  <c:v>12</c:v>
                </c:pt>
                <c:pt idx="9">
                  <c:v>13</c:v>
                </c:pt>
                <c:pt idx="10">
                  <c:v>17</c:v>
                </c:pt>
                <c:pt idx="11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0EE-4B44-B826-71E901269639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'Demand Forecasting'!$C$6:$C$17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'Demand Forecasting'!$G$6:$G$17</c:f>
              <c:numCache>
                <c:formatCode>0.00</c:formatCode>
                <c:ptCount val="12"/>
                <c:pt idx="0">
                  <c:v>9.4358974358974343</c:v>
                </c:pt>
                <c:pt idx="1">
                  <c:v>10.196027505827505</c:v>
                </c:pt>
                <c:pt idx="2">
                  <c:v>10.898117069557109</c:v>
                </c:pt>
                <c:pt idx="3">
                  <c:v>11.602806114235506</c:v>
                </c:pt>
                <c:pt idx="4">
                  <c:v>12.33052770724427</c:v>
                </c:pt>
                <c:pt idx="5">
                  <c:v>13.030505978781498</c:v>
                </c:pt>
                <c:pt idx="6">
                  <c:v>13.794278366407598</c:v>
                </c:pt>
                <c:pt idx="7">
                  <c:v>14.489854174484154</c:v>
                </c:pt>
                <c:pt idx="8">
                  <c:v>15.259376253645048</c:v>
                </c:pt>
                <c:pt idx="9">
                  <c:v>15.950551236763603</c:v>
                </c:pt>
                <c:pt idx="10">
                  <c:v>16.644224359803623</c:v>
                </c:pt>
                <c:pt idx="11">
                  <c:v>17.37103190674128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0EE-4B44-B826-71E9012696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0129472"/>
        <c:axId val="2112030800"/>
      </c:scatterChart>
      <c:valAx>
        <c:axId val="1970129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12030800"/>
        <c:crosses val="autoZero"/>
        <c:crossBetween val="midCat"/>
      </c:valAx>
      <c:valAx>
        <c:axId val="211203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Forecast</a:t>
                </a:r>
                <a:r>
                  <a:rPr lang="en-US" b="1" baseline="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Values</a:t>
                </a:r>
                <a:endParaRPr lang="en-US" b="1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70129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31750</xdr:colOff>
      <xdr:row>3</xdr:row>
      <xdr:rowOff>374650</xdr:rowOff>
    </xdr:from>
    <xdr:to>
      <xdr:col>18</xdr:col>
      <xdr:colOff>482600</xdr:colOff>
      <xdr:row>17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8EA96B-0F78-2961-B203-56DF1A4FFF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7A895-E9FF-D146-AEFC-A777D8598070}">
  <dimension ref="C2:L17"/>
  <sheetViews>
    <sheetView showGridLines="0" zoomScale="62" workbookViewId="0">
      <selection activeCell="G5" activeCellId="1" sqref="C5:D17 G5:G17"/>
    </sheetView>
  </sheetViews>
  <sheetFormatPr baseColWidth="10" defaultRowHeight="15" x14ac:dyDescent="0.2"/>
  <cols>
    <col min="3" max="12" width="20.83203125" customWidth="1"/>
  </cols>
  <sheetData>
    <row r="2" spans="3:12" ht="30" customHeight="1" x14ac:dyDescent="0.2">
      <c r="C2" s="43" t="s">
        <v>52</v>
      </c>
      <c r="D2" s="44"/>
      <c r="E2" s="44"/>
      <c r="F2" s="44"/>
      <c r="G2" s="44"/>
      <c r="H2" s="44"/>
      <c r="I2" s="44"/>
      <c r="J2" s="44"/>
      <c r="K2" s="44"/>
      <c r="L2" s="45"/>
    </row>
    <row r="3" spans="3:12" ht="30" customHeight="1" x14ac:dyDescent="0.2">
      <c r="C3" s="35" t="s">
        <v>53</v>
      </c>
      <c r="D3" s="35"/>
      <c r="E3" s="35"/>
      <c r="F3" s="36">
        <v>0.01</v>
      </c>
      <c r="G3" s="37"/>
      <c r="H3" s="38"/>
      <c r="I3" s="39" t="s">
        <v>54</v>
      </c>
      <c r="J3" s="40"/>
      <c r="K3" s="41">
        <v>8.712121212121211</v>
      </c>
      <c r="L3" s="42"/>
    </row>
    <row r="4" spans="3:12" ht="30" customHeight="1" x14ac:dyDescent="0.2">
      <c r="C4" s="35" t="s">
        <v>55</v>
      </c>
      <c r="D4" s="35"/>
      <c r="E4" s="35"/>
      <c r="F4" s="36">
        <v>0.02</v>
      </c>
      <c r="G4" s="37"/>
      <c r="H4" s="38"/>
      <c r="I4" s="39" t="s">
        <v>56</v>
      </c>
      <c r="J4" s="40"/>
      <c r="K4" s="41">
        <v>0.72377622377622386</v>
      </c>
      <c r="L4" s="42"/>
    </row>
    <row r="5" spans="3:12" ht="30" customHeight="1" x14ac:dyDescent="0.2">
      <c r="C5" s="23" t="s">
        <v>0</v>
      </c>
      <c r="D5" s="23" t="s">
        <v>1</v>
      </c>
      <c r="E5" s="29" t="s">
        <v>57</v>
      </c>
      <c r="F5" s="30" t="s">
        <v>58</v>
      </c>
      <c r="G5" s="30" t="s">
        <v>59</v>
      </c>
      <c r="H5" s="30" t="s">
        <v>60</v>
      </c>
      <c r="I5" s="32" t="s">
        <v>61</v>
      </c>
      <c r="J5" s="32" t="s">
        <v>62</v>
      </c>
      <c r="K5" s="30" t="s">
        <v>63</v>
      </c>
      <c r="L5" s="31" t="s">
        <v>64</v>
      </c>
    </row>
    <row r="6" spans="3:12" ht="30" customHeight="1" x14ac:dyDescent="0.2">
      <c r="C6" s="24">
        <v>1</v>
      </c>
      <c r="D6" s="24">
        <v>13</v>
      </c>
      <c r="E6" s="25">
        <f>$F$3*D6+(1-$F$3)*(K3+K4)</f>
        <v>9.4715384615384615</v>
      </c>
      <c r="F6" s="25">
        <f>F4*(E6-K3)+(1-F4)*K4</f>
        <v>0.72448904428904437</v>
      </c>
      <c r="G6" s="27">
        <f>K3+K4</f>
        <v>9.4358974358974343</v>
      </c>
      <c r="H6" s="25">
        <f>D6-G6</f>
        <v>3.5641025641025657</v>
      </c>
      <c r="I6" s="25">
        <f>ABS(H6)</f>
        <v>3.5641025641025657</v>
      </c>
      <c r="J6" s="25">
        <f>I6^2</f>
        <v>12.702827087442483</v>
      </c>
      <c r="K6" s="25">
        <f t="shared" ref="K6:K17" si="0">ABS(H6/D6)</f>
        <v>0.27416173570019736</v>
      </c>
      <c r="L6" s="27">
        <f>(SUM(K6:K17)/12)*100</f>
        <v>20.013141110229306</v>
      </c>
    </row>
    <row r="7" spans="3:12" ht="30" customHeight="1" x14ac:dyDescent="0.2">
      <c r="C7" s="24">
        <v>2</v>
      </c>
      <c r="D7" s="24">
        <v>8</v>
      </c>
      <c r="E7" s="25">
        <f t="shared" ref="E7:E17" si="1">$F$3*D7+(1-$F$3)*(E6+F6)</f>
        <v>10.17406723076923</v>
      </c>
      <c r="F7" s="25">
        <f>$F$4*(E7-E6)+(1-$F$4)*F6</f>
        <v>0.72404983878787887</v>
      </c>
      <c r="G7" s="27">
        <f>E6+F6</f>
        <v>10.196027505827505</v>
      </c>
      <c r="H7" s="25">
        <f t="shared" ref="H7:H17" si="2">D7-G7</f>
        <v>-2.1960275058275052</v>
      </c>
      <c r="I7" s="25">
        <f t="shared" ref="I7:I17" si="3">ABS(H7)</f>
        <v>2.1960275058275052</v>
      </c>
      <c r="J7" s="25">
        <f t="shared" ref="J7:J17" si="4">I7^2</f>
        <v>4.822536806350973</v>
      </c>
      <c r="K7" s="25">
        <f t="shared" si="0"/>
        <v>0.27450343822843815</v>
      </c>
      <c r="L7" s="26"/>
    </row>
    <row r="8" spans="3:12" ht="30" customHeight="1" x14ac:dyDescent="0.2">
      <c r="C8" s="24">
        <v>3</v>
      </c>
      <c r="D8" s="24">
        <v>9</v>
      </c>
      <c r="E8" s="25">
        <f t="shared" si="1"/>
        <v>10.879135898861538</v>
      </c>
      <c r="F8" s="25">
        <f t="shared" ref="F8:F17" si="5">$F$4*(E8-E7)+(1-$F$4)*F7</f>
        <v>0.72367021537396747</v>
      </c>
      <c r="G8" s="27">
        <f t="shared" ref="G8:G17" si="6">E7+F7</f>
        <v>10.898117069557109</v>
      </c>
      <c r="H8" s="25">
        <f t="shared" si="2"/>
        <v>-1.8981170695571095</v>
      </c>
      <c r="I8" s="25">
        <f t="shared" si="3"/>
        <v>1.8981170695571095</v>
      </c>
      <c r="J8" s="25">
        <f t="shared" si="4"/>
        <v>3.6028484097440687</v>
      </c>
      <c r="K8" s="25">
        <f t="shared" si="0"/>
        <v>0.21090189661745662</v>
      </c>
      <c r="L8" s="26"/>
    </row>
    <row r="9" spans="3:12" ht="30" customHeight="1" x14ac:dyDescent="0.2">
      <c r="C9" s="24">
        <v>4</v>
      </c>
      <c r="D9" s="24">
        <v>12</v>
      </c>
      <c r="E9" s="25">
        <f t="shared" si="1"/>
        <v>11.60677805309315</v>
      </c>
      <c r="F9" s="25">
        <f t="shared" si="5"/>
        <v>0.72374965415112036</v>
      </c>
      <c r="G9" s="27">
        <f t="shared" si="6"/>
        <v>11.602806114235506</v>
      </c>
      <c r="H9" s="25">
        <f t="shared" si="2"/>
        <v>0.39719388576449433</v>
      </c>
      <c r="I9" s="25">
        <f t="shared" si="3"/>
        <v>0.39719388576449433</v>
      </c>
      <c r="J9" s="25">
        <f t="shared" si="4"/>
        <v>0.15776298288869817</v>
      </c>
      <c r="K9" s="25">
        <f t="shared" si="0"/>
        <v>3.3099490480374527E-2</v>
      </c>
      <c r="L9" s="26"/>
    </row>
    <row r="10" spans="3:12" ht="30" customHeight="1" x14ac:dyDescent="0.2">
      <c r="C10" s="24">
        <v>5</v>
      </c>
      <c r="D10" s="24">
        <v>10</v>
      </c>
      <c r="E10" s="25">
        <f t="shared" si="1"/>
        <v>12.307222430171826</v>
      </c>
      <c r="F10" s="25">
        <f t="shared" si="5"/>
        <v>0.72328354860967148</v>
      </c>
      <c r="G10" s="27">
        <f t="shared" si="6"/>
        <v>12.33052770724427</v>
      </c>
      <c r="H10" s="25">
        <f t="shared" si="2"/>
        <v>-2.3305277072442703</v>
      </c>
      <c r="I10" s="25">
        <f t="shared" si="3"/>
        <v>2.3305277072442703</v>
      </c>
      <c r="J10" s="25">
        <f t="shared" si="4"/>
        <v>5.431359394233235</v>
      </c>
      <c r="K10" s="25">
        <f t="shared" si="0"/>
        <v>0.23305277072442704</v>
      </c>
      <c r="L10" s="26"/>
    </row>
    <row r="11" spans="3:12" ht="30" customHeight="1" x14ac:dyDescent="0.2">
      <c r="C11" s="24">
        <v>6</v>
      </c>
      <c r="D11" s="24">
        <v>17</v>
      </c>
      <c r="E11" s="25">
        <f t="shared" si="1"/>
        <v>13.070200918993683</v>
      </c>
      <c r="F11" s="25">
        <f t="shared" si="5"/>
        <v>0.72407744741391522</v>
      </c>
      <c r="G11" s="27">
        <f t="shared" si="6"/>
        <v>13.030505978781498</v>
      </c>
      <c r="H11" s="25">
        <f t="shared" si="2"/>
        <v>3.9694940212185017</v>
      </c>
      <c r="I11" s="25">
        <f t="shared" si="3"/>
        <v>3.9694940212185017</v>
      </c>
      <c r="J11" s="25">
        <f t="shared" si="4"/>
        <v>15.756882784489431</v>
      </c>
      <c r="K11" s="25">
        <f t="shared" si="0"/>
        <v>0.23349964830697068</v>
      </c>
      <c r="L11" s="26"/>
    </row>
    <row r="12" spans="3:12" ht="30" customHeight="1" x14ac:dyDescent="0.2">
      <c r="C12" s="24">
        <v>7</v>
      </c>
      <c r="D12" s="24">
        <v>11</v>
      </c>
      <c r="E12" s="25">
        <f t="shared" si="1"/>
        <v>13.766335582743521</v>
      </c>
      <c r="F12" s="25">
        <f t="shared" si="5"/>
        <v>0.7235185917406336</v>
      </c>
      <c r="G12" s="27">
        <f t="shared" si="6"/>
        <v>13.794278366407598</v>
      </c>
      <c r="H12" s="25">
        <f t="shared" si="2"/>
        <v>-2.7942783664075979</v>
      </c>
      <c r="I12" s="25">
        <f t="shared" si="3"/>
        <v>2.7942783664075979</v>
      </c>
      <c r="J12" s="25">
        <f t="shared" si="4"/>
        <v>7.8079915889735139</v>
      </c>
      <c r="K12" s="25">
        <f t="shared" si="0"/>
        <v>0.25402530603705437</v>
      </c>
    </row>
    <row r="13" spans="3:12" ht="30" customHeight="1" x14ac:dyDescent="0.2">
      <c r="C13" s="24">
        <v>8</v>
      </c>
      <c r="D13" s="24">
        <v>19</v>
      </c>
      <c r="E13" s="25">
        <f t="shared" si="1"/>
        <v>14.534955632739312</v>
      </c>
      <c r="F13" s="25">
        <f t="shared" si="5"/>
        <v>0.72442062090573667</v>
      </c>
      <c r="G13" s="27">
        <f t="shared" si="6"/>
        <v>14.489854174484154</v>
      </c>
      <c r="H13" s="25">
        <f t="shared" si="2"/>
        <v>4.5101458255158455</v>
      </c>
      <c r="I13" s="25">
        <f t="shared" si="3"/>
        <v>4.5101458255158455</v>
      </c>
      <c r="J13" s="25">
        <f t="shared" si="4"/>
        <v>20.341415367418008</v>
      </c>
      <c r="K13" s="25">
        <f t="shared" si="0"/>
        <v>0.23737609607978136</v>
      </c>
    </row>
    <row r="14" spans="3:12" ht="30" customHeight="1" x14ac:dyDescent="0.2">
      <c r="C14" s="24">
        <v>9</v>
      </c>
      <c r="D14" s="24">
        <v>12</v>
      </c>
      <c r="E14" s="25">
        <f t="shared" si="1"/>
        <v>15.226782491108596</v>
      </c>
      <c r="F14" s="25">
        <f t="shared" si="5"/>
        <v>0.72376874565500759</v>
      </c>
      <c r="G14" s="27">
        <f t="shared" si="6"/>
        <v>15.259376253645048</v>
      </c>
      <c r="H14" s="25">
        <f t="shared" si="2"/>
        <v>-3.2593762536450477</v>
      </c>
      <c r="I14" s="25">
        <f t="shared" si="3"/>
        <v>3.2593762536450477</v>
      </c>
      <c r="J14" s="25">
        <f t="shared" si="4"/>
        <v>10.623533562825227</v>
      </c>
      <c r="K14" s="25">
        <f t="shared" si="0"/>
        <v>0.27161468780375397</v>
      </c>
    </row>
    <row r="15" spans="3:12" ht="30" customHeight="1" x14ac:dyDescent="0.2">
      <c r="C15" s="24">
        <v>10</v>
      </c>
      <c r="D15" s="24">
        <v>13</v>
      </c>
      <c r="E15" s="25">
        <f t="shared" si="1"/>
        <v>15.921045724395968</v>
      </c>
      <c r="F15" s="25">
        <f t="shared" si="5"/>
        <v>0.72317863540765492</v>
      </c>
      <c r="G15" s="27">
        <f t="shared" si="6"/>
        <v>15.950551236763603</v>
      </c>
      <c r="H15" s="25">
        <f t="shared" si="2"/>
        <v>-2.9505512367636033</v>
      </c>
      <c r="I15" s="25">
        <f t="shared" si="3"/>
        <v>2.9505512367636033</v>
      </c>
      <c r="J15" s="25">
        <f t="shared" si="4"/>
        <v>8.7057526007672283</v>
      </c>
      <c r="K15" s="25">
        <f t="shared" si="0"/>
        <v>0.22696547975104642</v>
      </c>
    </row>
    <row r="16" spans="3:12" ht="30" customHeight="1" x14ac:dyDescent="0.2">
      <c r="C16" s="24">
        <v>11</v>
      </c>
      <c r="D16" s="24">
        <v>17</v>
      </c>
      <c r="E16" s="25">
        <f t="shared" si="1"/>
        <v>16.647782116205587</v>
      </c>
      <c r="F16" s="25">
        <f t="shared" si="5"/>
        <v>0.72324979053569416</v>
      </c>
      <c r="G16" s="27">
        <f t="shared" si="6"/>
        <v>16.644224359803623</v>
      </c>
      <c r="H16" s="25">
        <f t="shared" si="2"/>
        <v>0.3557756401963772</v>
      </c>
      <c r="I16" s="25">
        <f t="shared" si="3"/>
        <v>0.3557756401963772</v>
      </c>
      <c r="J16" s="25">
        <f t="shared" si="4"/>
        <v>0.12657630615714205</v>
      </c>
      <c r="K16" s="25">
        <f t="shared" si="0"/>
        <v>2.0927978835081011E-2</v>
      </c>
    </row>
    <row r="17" spans="3:11" ht="30" customHeight="1" x14ac:dyDescent="0.2">
      <c r="C17" s="24">
        <v>12</v>
      </c>
      <c r="D17" s="24">
        <v>20</v>
      </c>
      <c r="E17" s="25">
        <f t="shared" si="1"/>
        <v>17.397321587673865</v>
      </c>
      <c r="F17" s="25">
        <f t="shared" si="5"/>
        <v>0.72377558415434584</v>
      </c>
      <c r="G17" s="27">
        <f t="shared" si="6"/>
        <v>17.37103190674128</v>
      </c>
      <c r="H17" s="25">
        <f t="shared" si="2"/>
        <v>2.6289680932587203</v>
      </c>
      <c r="I17" s="25">
        <f t="shared" si="3"/>
        <v>2.6289680932587203</v>
      </c>
      <c r="J17" s="25">
        <f t="shared" si="4"/>
        <v>6.9114732353723918</v>
      </c>
      <c r="K17" s="25">
        <f t="shared" si="0"/>
        <v>0.131448404662936</v>
      </c>
    </row>
  </sheetData>
  <mergeCells count="9">
    <mergeCell ref="C4:E4"/>
    <mergeCell ref="F4:H4"/>
    <mergeCell ref="I4:J4"/>
    <mergeCell ref="K4:L4"/>
    <mergeCell ref="C2:L2"/>
    <mergeCell ref="C3:E3"/>
    <mergeCell ref="F3:H3"/>
    <mergeCell ref="I3:J3"/>
    <mergeCell ref="K3:L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2C549-20FD-43F0-A2D2-E6237F16E023}">
  <dimension ref="A1:U36"/>
  <sheetViews>
    <sheetView showGridLines="0" topLeftCell="D1" zoomScale="75" workbookViewId="0">
      <selection activeCell="G4" sqref="G4:P20"/>
    </sheetView>
  </sheetViews>
  <sheetFormatPr baseColWidth="10" defaultColWidth="8.83203125" defaultRowHeight="13" x14ac:dyDescent="0.2"/>
  <cols>
    <col min="1" max="1" width="20.83203125" style="2" customWidth="1"/>
    <col min="2" max="2" width="20.1640625" style="2" customWidth="1"/>
    <col min="3" max="3" width="0.6640625" style="2" customWidth="1"/>
    <col min="4" max="4" width="43" style="2" customWidth="1"/>
    <col min="5" max="5" width="20.83203125" style="2" customWidth="1"/>
    <col min="6" max="6" width="1" style="2" customWidth="1"/>
    <col min="7" max="16" width="20.83203125" style="2" customWidth="1"/>
    <col min="17" max="17" width="0.6640625" style="2" customWidth="1"/>
    <col min="18" max="20" width="20.83203125" style="2" customWidth="1"/>
    <col min="21" max="22" width="20.1640625" style="2" customWidth="1"/>
    <col min="23" max="16384" width="8.83203125" style="2"/>
  </cols>
  <sheetData>
    <row r="1" spans="1:21" ht="30" customHeight="1" x14ac:dyDescent="0.2">
      <c r="F1" s="1"/>
      <c r="U1" s="1"/>
    </row>
    <row r="2" spans="1:21" ht="30" customHeight="1" x14ac:dyDescent="0.2">
      <c r="F2" s="1"/>
      <c r="U2" s="1"/>
    </row>
    <row r="3" spans="1:21" ht="30" customHeight="1" x14ac:dyDescent="0.2">
      <c r="F3" s="1"/>
      <c r="U3" s="1"/>
    </row>
    <row r="4" spans="1:21" ht="30" customHeight="1" x14ac:dyDescent="0.2">
      <c r="A4" s="46" t="s">
        <v>18</v>
      </c>
      <c r="B4" s="46"/>
      <c r="C4" s="46"/>
      <c r="D4" s="46"/>
      <c r="E4" s="46"/>
      <c r="F4" s="1"/>
      <c r="G4" s="47" t="s">
        <v>4</v>
      </c>
      <c r="H4" s="48"/>
      <c r="I4" s="48"/>
      <c r="J4" s="48"/>
      <c r="K4" s="48"/>
      <c r="L4" s="48"/>
      <c r="M4" s="48"/>
      <c r="N4" s="48"/>
      <c r="O4" s="48"/>
      <c r="P4" s="49"/>
      <c r="Q4" s="1"/>
      <c r="R4" s="52" t="s">
        <v>2</v>
      </c>
      <c r="S4" s="52"/>
      <c r="T4" s="52"/>
      <c r="U4" s="52"/>
    </row>
    <row r="5" spans="1:21" ht="30" customHeight="1" x14ac:dyDescent="0.2">
      <c r="A5" s="9" t="s">
        <v>0</v>
      </c>
      <c r="B5" s="9" t="s">
        <v>1</v>
      </c>
      <c r="C5" s="3"/>
      <c r="D5" s="7" t="s">
        <v>19</v>
      </c>
      <c r="E5" s="5">
        <v>15000</v>
      </c>
      <c r="F5" s="1"/>
      <c r="G5" s="7" t="s">
        <v>0</v>
      </c>
      <c r="H5" s="7" t="s">
        <v>5</v>
      </c>
      <c r="I5" s="7" t="s">
        <v>6</v>
      </c>
      <c r="J5" s="7" t="s">
        <v>32</v>
      </c>
      <c r="K5" s="7" t="s">
        <v>33</v>
      </c>
      <c r="L5" s="7" t="s">
        <v>7</v>
      </c>
      <c r="M5" s="7" t="s">
        <v>29</v>
      </c>
      <c r="N5" s="7" t="s">
        <v>28</v>
      </c>
      <c r="O5" s="7" t="s">
        <v>8</v>
      </c>
      <c r="P5" s="7" t="s">
        <v>10</v>
      </c>
      <c r="Q5" s="1"/>
      <c r="R5" s="7" t="s">
        <v>3</v>
      </c>
      <c r="S5" s="7" t="s">
        <v>3</v>
      </c>
      <c r="T5" s="13" t="s">
        <v>45</v>
      </c>
      <c r="U5" s="7" t="s">
        <v>3</v>
      </c>
    </row>
    <row r="6" spans="1:21" ht="30" customHeight="1" x14ac:dyDescent="0.2">
      <c r="A6" s="5">
        <v>1</v>
      </c>
      <c r="B6" s="5">
        <f>ROUNDUP('Demand Forecasting'!G6,0)</f>
        <v>10</v>
      </c>
      <c r="C6" s="1"/>
      <c r="D6" s="7" t="s">
        <v>37</v>
      </c>
      <c r="E6" s="5">
        <f>5%*E20</f>
        <v>1.2000000000000002</v>
      </c>
      <c r="F6" s="1"/>
      <c r="G6" s="5">
        <v>0</v>
      </c>
      <c r="H6" s="6">
        <v>9</v>
      </c>
      <c r="I6" s="5" t="s">
        <v>9</v>
      </c>
      <c r="J6" s="5" t="s">
        <v>9</v>
      </c>
      <c r="K6" s="5" t="s">
        <v>9</v>
      </c>
      <c r="L6" s="6">
        <v>0</v>
      </c>
      <c r="M6" s="6">
        <v>0</v>
      </c>
      <c r="N6" s="5" t="s">
        <v>9</v>
      </c>
      <c r="O6" s="5" t="s">
        <v>9</v>
      </c>
      <c r="P6" s="5" t="s">
        <v>9</v>
      </c>
      <c r="Q6" s="1"/>
      <c r="R6" s="7" t="s">
        <v>12</v>
      </c>
      <c r="S6" s="7" t="s">
        <v>13</v>
      </c>
      <c r="T6" s="13" t="s">
        <v>43</v>
      </c>
      <c r="U6" s="7" t="s">
        <v>36</v>
      </c>
    </row>
    <row r="7" spans="1:21" ht="30" customHeight="1" x14ac:dyDescent="0.2">
      <c r="A7" s="5">
        <v>2</v>
      </c>
      <c r="B7" s="5">
        <f>ROUNDUP('Demand Forecasting'!G7,0)</f>
        <v>11</v>
      </c>
      <c r="C7" s="1"/>
      <c r="D7" s="7" t="s">
        <v>44</v>
      </c>
      <c r="E7" s="5">
        <f>3%*E20/E8</f>
        <v>2.4E-2</v>
      </c>
      <c r="F7" s="1"/>
      <c r="G7" s="5">
        <v>1</v>
      </c>
      <c r="H7" s="11">
        <v>6</v>
      </c>
      <c r="I7" s="14">
        <v>116.66666666666654</v>
      </c>
      <c r="J7" s="12">
        <v>0</v>
      </c>
      <c r="K7" s="12">
        <v>3</v>
      </c>
      <c r="L7" s="12">
        <v>0</v>
      </c>
      <c r="M7" s="12">
        <v>0</v>
      </c>
      <c r="N7" s="12">
        <v>0</v>
      </c>
      <c r="O7" s="11">
        <v>10</v>
      </c>
      <c r="P7" s="12">
        <f>B6</f>
        <v>10</v>
      </c>
      <c r="Q7" s="1"/>
      <c r="R7" s="5">
        <f>L6+O7+N7-P7-M6-L7+M7</f>
        <v>0</v>
      </c>
      <c r="S7" s="5">
        <f>O7-($E$6*H7+$E$7*I7)</f>
        <v>0</v>
      </c>
      <c r="T7" s="16">
        <f>H7*$E$8-I7</f>
        <v>63.333333333333456</v>
      </c>
      <c r="U7" s="5">
        <f>H6+J7-K7-H7</f>
        <v>0</v>
      </c>
    </row>
    <row r="8" spans="1:21" ht="30" customHeight="1" x14ac:dyDescent="0.2">
      <c r="A8" s="5">
        <v>3</v>
      </c>
      <c r="B8" s="5">
        <f>ROUNDUP('Demand Forecasting'!G8,0)</f>
        <v>11</v>
      </c>
      <c r="C8" s="1"/>
      <c r="D8" s="7" t="s">
        <v>42</v>
      </c>
      <c r="E8" s="5">
        <v>30</v>
      </c>
      <c r="F8" s="1"/>
      <c r="G8" s="5">
        <v>2</v>
      </c>
      <c r="H8" s="11">
        <v>6</v>
      </c>
      <c r="I8" s="14">
        <v>158.33333333333317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1">
        <v>11</v>
      </c>
      <c r="P8" s="12">
        <f t="shared" ref="P8:P18" si="0">B7</f>
        <v>11</v>
      </c>
      <c r="Q8" s="1"/>
      <c r="R8" s="5">
        <f t="shared" ref="R8:R18" si="1">L7+O8+N8-P8-M7-L8+M8</f>
        <v>0</v>
      </c>
      <c r="S8" s="5">
        <f>O8-($E$6*H8+$E$7*I8)</f>
        <v>0</v>
      </c>
      <c r="T8" s="16">
        <f t="shared" ref="T8:T18" si="2">H8*$E$8-I8</f>
        <v>21.666666666666828</v>
      </c>
      <c r="U8" s="5">
        <f t="shared" ref="U8:U18" si="3">H7+J8-K8-H8</f>
        <v>0</v>
      </c>
    </row>
    <row r="9" spans="1:21" ht="30" customHeight="1" x14ac:dyDescent="0.2">
      <c r="A9" s="5">
        <v>4</v>
      </c>
      <c r="B9" s="5">
        <f>ROUNDUP('Demand Forecasting'!G9,0)</f>
        <v>12</v>
      </c>
      <c r="C9" s="1"/>
      <c r="D9" s="7" t="s">
        <v>20</v>
      </c>
      <c r="E9" s="5">
        <v>1000</v>
      </c>
      <c r="F9" s="1"/>
      <c r="G9" s="5">
        <v>3</v>
      </c>
      <c r="H9" s="11">
        <v>6</v>
      </c>
      <c r="I9" s="14">
        <v>158.33333333333317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1">
        <v>11</v>
      </c>
      <c r="P9" s="12">
        <f t="shared" si="0"/>
        <v>11</v>
      </c>
      <c r="Q9" s="1"/>
      <c r="R9" s="5">
        <f t="shared" si="1"/>
        <v>0</v>
      </c>
      <c r="S9" s="5">
        <f t="shared" ref="S9:S18" si="4">O9-($E$6*H9+$E$7*I9)</f>
        <v>0</v>
      </c>
      <c r="T9" s="16">
        <f t="shared" si="2"/>
        <v>21.666666666666828</v>
      </c>
      <c r="U9" s="5">
        <f t="shared" si="3"/>
        <v>0</v>
      </c>
    </row>
    <row r="10" spans="1:21" ht="30" customHeight="1" x14ac:dyDescent="0.2">
      <c r="A10" s="5">
        <v>5</v>
      </c>
      <c r="B10" s="5">
        <f>ROUNDUP('Demand Forecasting'!G10,0)</f>
        <v>13</v>
      </c>
      <c r="C10" s="1"/>
      <c r="D10" s="7" t="s">
        <v>41</v>
      </c>
      <c r="E10" s="12">
        <v>500</v>
      </c>
      <c r="F10" s="1"/>
      <c r="G10" s="5">
        <v>4</v>
      </c>
      <c r="H10" s="11">
        <v>7</v>
      </c>
      <c r="I10" s="14">
        <v>149.99999999999977</v>
      </c>
      <c r="J10" s="12">
        <v>1</v>
      </c>
      <c r="K10" s="12">
        <v>0</v>
      </c>
      <c r="L10" s="12">
        <v>0</v>
      </c>
      <c r="M10" s="12">
        <v>0</v>
      </c>
      <c r="N10" s="12">
        <v>0</v>
      </c>
      <c r="O10" s="11">
        <v>12</v>
      </c>
      <c r="P10" s="12">
        <f t="shared" si="0"/>
        <v>12</v>
      </c>
      <c r="Q10" s="1"/>
      <c r="R10" s="5">
        <f t="shared" si="1"/>
        <v>0</v>
      </c>
      <c r="S10" s="5">
        <f t="shared" si="4"/>
        <v>0</v>
      </c>
      <c r="T10" s="16">
        <f t="shared" si="2"/>
        <v>60.000000000000227</v>
      </c>
      <c r="U10" s="5">
        <f t="shared" si="3"/>
        <v>0</v>
      </c>
    </row>
    <row r="11" spans="1:21" ht="30" customHeight="1" x14ac:dyDescent="0.2">
      <c r="A11" s="5">
        <v>6</v>
      </c>
      <c r="B11" s="5">
        <f>ROUNDUP('Demand Forecasting'!G11,0)</f>
        <v>14</v>
      </c>
      <c r="C11" s="1"/>
      <c r="D11" s="7" t="s">
        <v>21</v>
      </c>
      <c r="E11" s="5">
        <v>500</v>
      </c>
      <c r="F11" s="1"/>
      <c r="G11" s="5">
        <v>5</v>
      </c>
      <c r="H11" s="11">
        <v>7</v>
      </c>
      <c r="I11" s="14">
        <v>191.66666666666652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1">
        <v>13</v>
      </c>
      <c r="P11" s="12">
        <f t="shared" si="0"/>
        <v>13</v>
      </c>
      <c r="Q11" s="1"/>
      <c r="R11" s="5">
        <f t="shared" si="1"/>
        <v>0</v>
      </c>
      <c r="S11" s="5">
        <f t="shared" si="4"/>
        <v>0</v>
      </c>
      <c r="T11" s="16">
        <f t="shared" si="2"/>
        <v>18.333333333333485</v>
      </c>
      <c r="U11" s="5">
        <f t="shared" si="3"/>
        <v>0</v>
      </c>
    </row>
    <row r="12" spans="1:21" ht="30" customHeight="1" x14ac:dyDescent="0.2">
      <c r="A12" s="5">
        <v>7</v>
      </c>
      <c r="B12" s="5">
        <f>ROUNDUP('Demand Forecasting'!G12,0)</f>
        <v>14</v>
      </c>
      <c r="C12" s="1"/>
      <c r="D12" s="7" t="s">
        <v>40</v>
      </c>
      <c r="E12" s="5">
        <v>1500</v>
      </c>
      <c r="F12" s="1"/>
      <c r="G12" s="5">
        <v>6</v>
      </c>
      <c r="H12" s="11">
        <v>8</v>
      </c>
      <c r="I12" s="14">
        <v>183.33333333333312</v>
      </c>
      <c r="J12" s="12">
        <v>1</v>
      </c>
      <c r="K12" s="12">
        <v>0</v>
      </c>
      <c r="L12" s="12">
        <v>0</v>
      </c>
      <c r="M12" s="12">
        <v>0</v>
      </c>
      <c r="N12" s="12">
        <v>0</v>
      </c>
      <c r="O12" s="11">
        <v>14</v>
      </c>
      <c r="P12" s="12">
        <f t="shared" si="0"/>
        <v>14</v>
      </c>
      <c r="Q12" s="1"/>
      <c r="R12" s="5">
        <f t="shared" si="1"/>
        <v>0</v>
      </c>
      <c r="S12" s="5">
        <f t="shared" si="4"/>
        <v>0</v>
      </c>
      <c r="T12" s="16">
        <f t="shared" si="2"/>
        <v>56.666666666666885</v>
      </c>
      <c r="U12" s="5">
        <f t="shared" si="3"/>
        <v>0</v>
      </c>
    </row>
    <row r="13" spans="1:21" ht="30" customHeight="1" x14ac:dyDescent="0.2">
      <c r="A13" s="5">
        <v>8</v>
      </c>
      <c r="B13" s="5">
        <f>ROUNDUP('Demand Forecasting'!G13,0)</f>
        <v>15</v>
      </c>
      <c r="C13" s="1"/>
      <c r="D13" s="7" t="s">
        <v>31</v>
      </c>
      <c r="E13" s="5">
        <v>12000</v>
      </c>
      <c r="F13" s="1"/>
      <c r="G13" s="5">
        <v>7</v>
      </c>
      <c r="H13" s="11">
        <v>8</v>
      </c>
      <c r="I13" s="14">
        <v>183.3333333333332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1">
        <v>14</v>
      </c>
      <c r="P13" s="12">
        <f t="shared" si="0"/>
        <v>14</v>
      </c>
      <c r="Q13" s="1"/>
      <c r="R13" s="5">
        <f t="shared" si="1"/>
        <v>0</v>
      </c>
      <c r="S13" s="5">
        <f>O13-($E$6*H13+$E$7*I13)</f>
        <v>0</v>
      </c>
      <c r="T13" s="16">
        <f t="shared" si="2"/>
        <v>56.666666666666799</v>
      </c>
      <c r="U13" s="5">
        <f t="shared" si="3"/>
        <v>0</v>
      </c>
    </row>
    <row r="14" spans="1:21" ht="30" customHeight="1" x14ac:dyDescent="0.2">
      <c r="A14" s="5">
        <v>9</v>
      </c>
      <c r="B14" s="5">
        <f>ROUNDUP('Demand Forecasting'!G14,0)</f>
        <v>16</v>
      </c>
      <c r="C14" s="1"/>
      <c r="D14" s="7" t="s">
        <v>22</v>
      </c>
      <c r="E14" s="5">
        <v>100</v>
      </c>
      <c r="F14" s="1"/>
      <c r="G14" s="5">
        <v>8</v>
      </c>
      <c r="H14" s="11">
        <v>8</v>
      </c>
      <c r="I14" s="14">
        <v>224.99999999999974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1">
        <v>15</v>
      </c>
      <c r="P14" s="12">
        <f t="shared" si="0"/>
        <v>15</v>
      </c>
      <c r="Q14" s="1"/>
      <c r="R14" s="5">
        <f t="shared" si="1"/>
        <v>0</v>
      </c>
      <c r="S14" s="5">
        <f t="shared" si="4"/>
        <v>0</v>
      </c>
      <c r="T14" s="16">
        <f t="shared" si="2"/>
        <v>15.000000000000256</v>
      </c>
      <c r="U14" s="5">
        <f t="shared" si="3"/>
        <v>0</v>
      </c>
    </row>
    <row r="15" spans="1:21" ht="30" customHeight="1" x14ac:dyDescent="0.2">
      <c r="A15" s="5">
        <v>10</v>
      </c>
      <c r="B15" s="5">
        <f>ROUNDUP('Demand Forecasting'!G15,0)</f>
        <v>16</v>
      </c>
      <c r="C15" s="1"/>
      <c r="D15" s="7" t="s">
        <v>23</v>
      </c>
      <c r="E15" s="5">
        <v>50000</v>
      </c>
      <c r="F15" s="1"/>
      <c r="G15" s="5">
        <v>9</v>
      </c>
      <c r="H15" s="11">
        <v>9</v>
      </c>
      <c r="I15" s="14">
        <v>216.66666666666632</v>
      </c>
      <c r="J15" s="12">
        <v>1</v>
      </c>
      <c r="K15" s="12">
        <v>0</v>
      </c>
      <c r="L15" s="12">
        <v>0</v>
      </c>
      <c r="M15" s="12">
        <v>0</v>
      </c>
      <c r="N15" s="12">
        <v>0</v>
      </c>
      <c r="O15" s="11">
        <v>16</v>
      </c>
      <c r="P15" s="12">
        <f t="shared" si="0"/>
        <v>16</v>
      </c>
      <c r="Q15" s="1"/>
      <c r="R15" s="5">
        <f t="shared" si="1"/>
        <v>0</v>
      </c>
      <c r="S15" s="5">
        <f t="shared" si="4"/>
        <v>0</v>
      </c>
      <c r="T15" s="16">
        <f t="shared" si="2"/>
        <v>53.333333333333684</v>
      </c>
      <c r="U15" s="5">
        <f t="shared" si="3"/>
        <v>0</v>
      </c>
    </row>
    <row r="16" spans="1:21" ht="30" customHeight="1" x14ac:dyDescent="0.2">
      <c r="A16" s="5">
        <v>11</v>
      </c>
      <c r="B16" s="5">
        <f>ROUNDUP('Demand Forecasting'!G16,0)</f>
        <v>17</v>
      </c>
      <c r="C16" s="1"/>
      <c r="D16" s="7" t="s">
        <v>24</v>
      </c>
      <c r="E16" s="5">
        <v>0</v>
      </c>
      <c r="F16" s="1"/>
      <c r="G16" s="5">
        <v>10</v>
      </c>
      <c r="H16" s="11">
        <v>9</v>
      </c>
      <c r="I16" s="14">
        <v>216.66666666666634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1">
        <v>16</v>
      </c>
      <c r="P16" s="12">
        <f t="shared" si="0"/>
        <v>16</v>
      </c>
      <c r="Q16" s="1"/>
      <c r="R16" s="5">
        <f t="shared" si="1"/>
        <v>0</v>
      </c>
      <c r="S16" s="5">
        <f t="shared" si="4"/>
        <v>0</v>
      </c>
      <c r="T16" s="16">
        <f t="shared" si="2"/>
        <v>53.333333333333655</v>
      </c>
      <c r="U16" s="5">
        <f t="shared" si="3"/>
        <v>0</v>
      </c>
    </row>
    <row r="17" spans="1:21" ht="30" customHeight="1" x14ac:dyDescent="0.2">
      <c r="A17" s="5">
        <v>12</v>
      </c>
      <c r="B17" s="5">
        <f>ROUNDUP('Demand Forecasting'!G17,0)</f>
        <v>18</v>
      </c>
      <c r="C17" s="4"/>
      <c r="D17" s="7" t="s">
        <v>25</v>
      </c>
      <c r="E17" s="5">
        <v>0</v>
      </c>
      <c r="F17" s="1"/>
      <c r="G17" s="5">
        <v>11</v>
      </c>
      <c r="H17" s="11">
        <v>9</v>
      </c>
      <c r="I17" s="14">
        <v>258.33333333333314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1">
        <v>17</v>
      </c>
      <c r="P17" s="12">
        <f t="shared" si="0"/>
        <v>17</v>
      </c>
      <c r="Q17" s="1"/>
      <c r="R17" s="5">
        <f t="shared" si="1"/>
        <v>0</v>
      </c>
      <c r="S17" s="5">
        <f t="shared" si="4"/>
        <v>0</v>
      </c>
      <c r="T17" s="16">
        <f t="shared" si="2"/>
        <v>11.666666666666856</v>
      </c>
      <c r="U17" s="5">
        <f t="shared" si="3"/>
        <v>0</v>
      </c>
    </row>
    <row r="18" spans="1:21" ht="30" customHeight="1" x14ac:dyDescent="0.2">
      <c r="D18" s="10" t="s">
        <v>39</v>
      </c>
      <c r="E18" s="5">
        <v>0</v>
      </c>
      <c r="F18" s="1"/>
      <c r="G18" s="5">
        <v>12</v>
      </c>
      <c r="H18" s="11">
        <v>10</v>
      </c>
      <c r="I18" s="14">
        <v>249.99999999999974</v>
      </c>
      <c r="J18" s="12">
        <v>1</v>
      </c>
      <c r="K18" s="12">
        <v>0</v>
      </c>
      <c r="L18" s="12">
        <v>0</v>
      </c>
      <c r="M18" s="12">
        <v>0</v>
      </c>
      <c r="N18" s="12">
        <v>0</v>
      </c>
      <c r="O18" s="11">
        <v>18</v>
      </c>
      <c r="P18" s="12">
        <f t="shared" si="0"/>
        <v>18</v>
      </c>
      <c r="Q18" s="1"/>
      <c r="R18" s="5">
        <f t="shared" si="1"/>
        <v>0</v>
      </c>
      <c r="S18" s="5">
        <f t="shared" si="4"/>
        <v>0</v>
      </c>
      <c r="T18" s="16">
        <f t="shared" si="2"/>
        <v>50.000000000000256</v>
      </c>
      <c r="U18" s="5">
        <f t="shared" si="3"/>
        <v>0</v>
      </c>
    </row>
    <row r="19" spans="1:21" ht="30" customHeight="1" x14ac:dyDescent="0.2">
      <c r="D19" s="10" t="s">
        <v>26</v>
      </c>
      <c r="E19" s="5">
        <v>9</v>
      </c>
      <c r="F19" s="1"/>
      <c r="G19" s="50" t="s">
        <v>11</v>
      </c>
      <c r="H19" s="7" t="s">
        <v>14</v>
      </c>
      <c r="I19" s="7" t="s">
        <v>15</v>
      </c>
      <c r="J19" s="7" t="s">
        <v>34</v>
      </c>
      <c r="K19" s="7" t="s">
        <v>35</v>
      </c>
      <c r="L19" s="7" t="s">
        <v>16</v>
      </c>
      <c r="M19" s="7" t="s">
        <v>30</v>
      </c>
      <c r="N19" s="7" t="s">
        <v>27</v>
      </c>
      <c r="O19" s="7" t="s">
        <v>17</v>
      </c>
      <c r="P19" s="7" t="s">
        <v>51</v>
      </c>
      <c r="Q19" s="1"/>
      <c r="R19" s="1"/>
      <c r="S19" s="1"/>
      <c r="T19" s="1"/>
      <c r="U19" s="1"/>
    </row>
    <row r="20" spans="1:21" ht="30" customHeight="1" x14ac:dyDescent="0.2">
      <c r="D20" s="10" t="s">
        <v>38</v>
      </c>
      <c r="E20" s="5">
        <v>24</v>
      </c>
      <c r="F20" s="1"/>
      <c r="G20" s="51"/>
      <c r="H20" s="8">
        <f>$E$13*SUM(H7:H18)</f>
        <v>1116000</v>
      </c>
      <c r="I20" s="15">
        <f>$E$14*SUM(I7:I18)</f>
        <v>230833.33333333308</v>
      </c>
      <c r="J20" s="8">
        <f>$E$11*SUM(J7:J18)</f>
        <v>2000</v>
      </c>
      <c r="K20" s="8">
        <f>$E$12*SUM(K7:K18)</f>
        <v>4500</v>
      </c>
      <c r="L20" s="8">
        <f>$E$9*SUM(L7:L18)</f>
        <v>0</v>
      </c>
      <c r="M20" s="8">
        <f>$E$10*SUM(M7:M18)</f>
        <v>0</v>
      </c>
      <c r="N20" s="8">
        <f>$E$15*SUM(N7:N18)</f>
        <v>0</v>
      </c>
      <c r="O20" s="8">
        <f>$E$5*SUM(O7:O18)</f>
        <v>2505000</v>
      </c>
      <c r="P20" s="28">
        <f>(E21*SUM(P7:P18))-SUM(H20:O20)</f>
        <v>6161666.666666667</v>
      </c>
      <c r="Q20" s="1"/>
      <c r="R20" s="1"/>
      <c r="S20" s="1"/>
      <c r="T20" s="1"/>
      <c r="U20" s="1"/>
    </row>
    <row r="21" spans="1:21" ht="30" customHeight="1" x14ac:dyDescent="0.2">
      <c r="D21" s="19" t="s">
        <v>50</v>
      </c>
      <c r="E21" s="5">
        <v>60000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30" customHeight="1" x14ac:dyDescent="0.2"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30" customHeight="1" x14ac:dyDescent="0.2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30" customHeight="1" x14ac:dyDescent="0.2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30" customHeight="1" x14ac:dyDescent="0.2"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30" customHeight="1" x14ac:dyDescent="0.2"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30" customHeight="1" x14ac:dyDescent="0.2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30" customHeight="1" x14ac:dyDescent="0.2"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30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30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30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30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U32" s="1"/>
    </row>
    <row r="33" spans="1:21" ht="30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U33" s="1"/>
    </row>
    <row r="34" spans="1:21" ht="30" customHeight="1" x14ac:dyDescent="0.2"/>
    <row r="35" spans="1:21" ht="30" customHeight="1" x14ac:dyDescent="0.2"/>
    <row r="36" spans="1:21" ht="30" customHeight="1" x14ac:dyDescent="0.2"/>
  </sheetData>
  <mergeCells count="4">
    <mergeCell ref="A4:E4"/>
    <mergeCell ref="G4:P4"/>
    <mergeCell ref="G19:G20"/>
    <mergeCell ref="R4:U4"/>
  </mergeCells>
  <pageMargins left="0.7" right="0.7" top="0.75" bottom="0.75" header="0.3" footer="0.3"/>
  <pageSetup orientation="portrait" horizontalDpi="0" verticalDpi="0"/>
  <ignoredErrors>
    <ignoredError sqref="L20:M20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EC4F-9F86-974B-84CF-8040737FB56B}">
  <dimension ref="A1:U36"/>
  <sheetViews>
    <sheetView showGridLines="0" topLeftCell="B1" zoomScale="75" workbookViewId="0">
      <selection activeCell="G4" sqref="G4:P20"/>
    </sheetView>
  </sheetViews>
  <sheetFormatPr baseColWidth="10" defaultColWidth="8.83203125" defaultRowHeight="13" x14ac:dyDescent="0.2"/>
  <cols>
    <col min="1" max="1" width="20.83203125" style="2" customWidth="1"/>
    <col min="2" max="2" width="20.1640625" style="2" customWidth="1"/>
    <col min="3" max="3" width="0.6640625" style="2" customWidth="1"/>
    <col min="4" max="4" width="43" style="2" customWidth="1"/>
    <col min="5" max="5" width="20.83203125" style="2" customWidth="1"/>
    <col min="6" max="6" width="1" style="2" customWidth="1"/>
    <col min="7" max="16" width="20.83203125" style="2" customWidth="1"/>
    <col min="17" max="17" width="0.6640625" style="2" customWidth="1"/>
    <col min="18" max="20" width="20.83203125" style="2" customWidth="1"/>
    <col min="21" max="22" width="20.1640625" style="2" customWidth="1"/>
    <col min="23" max="16384" width="8.83203125" style="2"/>
  </cols>
  <sheetData>
    <row r="1" spans="1:21" ht="30" customHeight="1" x14ac:dyDescent="0.2">
      <c r="F1" s="1"/>
      <c r="U1" s="1"/>
    </row>
    <row r="2" spans="1:21" ht="30" customHeight="1" x14ac:dyDescent="0.2">
      <c r="F2" s="1"/>
      <c r="U2" s="1"/>
    </row>
    <row r="3" spans="1:21" ht="30" customHeight="1" x14ac:dyDescent="0.2">
      <c r="F3" s="1"/>
      <c r="U3" s="1"/>
    </row>
    <row r="4" spans="1:21" ht="30" customHeight="1" x14ac:dyDescent="0.2">
      <c r="A4" s="46" t="s">
        <v>18</v>
      </c>
      <c r="B4" s="46"/>
      <c r="C4" s="46"/>
      <c r="D4" s="46"/>
      <c r="E4" s="46"/>
      <c r="F4" s="1"/>
      <c r="G4" s="47" t="s">
        <v>4</v>
      </c>
      <c r="H4" s="48"/>
      <c r="I4" s="48"/>
      <c r="J4" s="48"/>
      <c r="K4" s="48"/>
      <c r="L4" s="48"/>
      <c r="M4" s="48"/>
      <c r="N4" s="48"/>
      <c r="O4" s="48"/>
      <c r="P4" s="49"/>
      <c r="Q4" s="1"/>
      <c r="R4" s="52" t="s">
        <v>2</v>
      </c>
      <c r="S4" s="52"/>
      <c r="T4" s="52"/>
      <c r="U4" s="52"/>
    </row>
    <row r="5" spans="1:21" ht="30" customHeight="1" x14ac:dyDescent="0.2">
      <c r="A5" s="18" t="s">
        <v>0</v>
      </c>
      <c r="B5" s="18" t="s">
        <v>1</v>
      </c>
      <c r="C5" s="3"/>
      <c r="D5" s="19" t="s">
        <v>19</v>
      </c>
      <c r="E5" s="5">
        <v>15000</v>
      </c>
      <c r="F5" s="1"/>
      <c r="G5" s="19" t="s">
        <v>0</v>
      </c>
      <c r="H5" s="19" t="s">
        <v>5</v>
      </c>
      <c r="I5" s="19" t="s">
        <v>6</v>
      </c>
      <c r="J5" s="19" t="s">
        <v>32</v>
      </c>
      <c r="K5" s="19" t="s">
        <v>33</v>
      </c>
      <c r="L5" s="19" t="s">
        <v>7</v>
      </c>
      <c r="M5" s="19" t="s">
        <v>29</v>
      </c>
      <c r="N5" s="19" t="s">
        <v>28</v>
      </c>
      <c r="O5" s="19" t="s">
        <v>8</v>
      </c>
      <c r="P5" s="19" t="s">
        <v>10</v>
      </c>
      <c r="Q5" s="1"/>
      <c r="R5" s="19" t="s">
        <v>3</v>
      </c>
      <c r="S5" s="19" t="s">
        <v>3</v>
      </c>
      <c r="T5" s="19" t="s">
        <v>45</v>
      </c>
      <c r="U5" s="19" t="s">
        <v>3</v>
      </c>
    </row>
    <row r="6" spans="1:21" ht="30" customHeight="1" x14ac:dyDescent="0.2">
      <c r="A6" s="5">
        <v>1</v>
      </c>
      <c r="B6" s="5">
        <f>ROUNDUP('Demand Forecasting'!G6,0)</f>
        <v>10</v>
      </c>
      <c r="C6" s="1"/>
      <c r="D6" s="19" t="s">
        <v>37</v>
      </c>
      <c r="E6" s="5">
        <f>5%*E20</f>
        <v>1.2000000000000002</v>
      </c>
      <c r="F6" s="1"/>
      <c r="G6" s="5">
        <v>0</v>
      </c>
      <c r="H6" s="6">
        <v>9</v>
      </c>
      <c r="I6" s="5" t="s">
        <v>9</v>
      </c>
      <c r="J6" s="5" t="s">
        <v>9</v>
      </c>
      <c r="K6" s="5" t="s">
        <v>9</v>
      </c>
      <c r="L6" s="6">
        <v>0</v>
      </c>
      <c r="M6" s="6">
        <v>0</v>
      </c>
      <c r="N6" s="5" t="s">
        <v>9</v>
      </c>
      <c r="O6" s="5" t="s">
        <v>9</v>
      </c>
      <c r="P6" s="5" t="s">
        <v>9</v>
      </c>
      <c r="Q6" s="1"/>
      <c r="R6" s="19" t="s">
        <v>12</v>
      </c>
      <c r="S6" s="19" t="s">
        <v>13</v>
      </c>
      <c r="T6" s="19" t="s">
        <v>43</v>
      </c>
      <c r="U6" s="19" t="s">
        <v>36</v>
      </c>
    </row>
    <row r="7" spans="1:21" ht="30" customHeight="1" x14ac:dyDescent="0.2">
      <c r="A7" s="5">
        <v>2</v>
      </c>
      <c r="B7" s="5">
        <f>ROUNDUP('Demand Forecasting'!G7,0)</f>
        <v>11</v>
      </c>
      <c r="C7" s="1"/>
      <c r="D7" s="19" t="s">
        <v>44</v>
      </c>
      <c r="E7" s="5">
        <f>3%*E20/E8</f>
        <v>2.4E-2</v>
      </c>
      <c r="F7" s="1"/>
      <c r="G7" s="5">
        <v>1</v>
      </c>
      <c r="H7" s="11">
        <v>8</v>
      </c>
      <c r="I7" s="14">
        <v>183.3333333333332</v>
      </c>
      <c r="J7" s="12">
        <v>0</v>
      </c>
      <c r="K7" s="12">
        <v>1</v>
      </c>
      <c r="L7" s="12">
        <v>4</v>
      </c>
      <c r="M7" s="12">
        <v>0</v>
      </c>
      <c r="N7" s="12">
        <v>0</v>
      </c>
      <c r="O7" s="11">
        <v>14</v>
      </c>
      <c r="P7" s="12">
        <f>B6</f>
        <v>10</v>
      </c>
      <c r="Q7" s="1"/>
      <c r="R7" s="5">
        <f>L6+O7+N7-P7-M6-L7+M7</f>
        <v>0</v>
      </c>
      <c r="S7" s="5">
        <f>O7-($E$6*H7+$E$7*I7)</f>
        <v>0</v>
      </c>
      <c r="T7" s="16">
        <f>H7*$E$8-I7</f>
        <v>56.666666666666799</v>
      </c>
      <c r="U7" s="5">
        <f>H6+J7-K7-H7</f>
        <v>0</v>
      </c>
    </row>
    <row r="8" spans="1:21" ht="30" customHeight="1" x14ac:dyDescent="0.2">
      <c r="A8" s="5">
        <v>3</v>
      </c>
      <c r="B8" s="5">
        <f>ROUNDUP('Demand Forecasting'!G8,0)</f>
        <v>11</v>
      </c>
      <c r="C8" s="1"/>
      <c r="D8" s="19" t="s">
        <v>42</v>
      </c>
      <c r="E8" s="5">
        <v>30</v>
      </c>
      <c r="F8" s="1"/>
      <c r="G8" s="5">
        <v>2</v>
      </c>
      <c r="H8" s="11">
        <v>8</v>
      </c>
      <c r="I8" s="14">
        <v>183.33333333333303</v>
      </c>
      <c r="J8" s="12">
        <v>0</v>
      </c>
      <c r="K8" s="12">
        <v>0</v>
      </c>
      <c r="L8" s="12">
        <v>7</v>
      </c>
      <c r="M8" s="12">
        <v>0</v>
      </c>
      <c r="N8" s="12">
        <v>0</v>
      </c>
      <c r="O8" s="11">
        <v>14</v>
      </c>
      <c r="P8" s="12">
        <f t="shared" ref="P8:P18" si="0">B7</f>
        <v>11</v>
      </c>
      <c r="Q8" s="1"/>
      <c r="R8" s="5">
        <f t="shared" ref="R8:R18" si="1">L7+O8+N8-P8-M7-L8+M8</f>
        <v>0</v>
      </c>
      <c r="S8" s="5">
        <f>O8-($E$6*H8+$E$7*I8)</f>
        <v>0</v>
      </c>
      <c r="T8" s="16">
        <f t="shared" ref="T8:T18" si="2">H8*$E$8-I8</f>
        <v>56.66666666666697</v>
      </c>
      <c r="U8" s="5">
        <f t="shared" ref="U8:U18" si="3">H7+J8-K8-H8</f>
        <v>0</v>
      </c>
    </row>
    <row r="9" spans="1:21" ht="30" customHeight="1" x14ac:dyDescent="0.2">
      <c r="A9" s="5">
        <v>4</v>
      </c>
      <c r="B9" s="5">
        <f>ROUNDUP('Demand Forecasting'!G9,0)</f>
        <v>12</v>
      </c>
      <c r="C9" s="1"/>
      <c r="D9" s="19" t="s">
        <v>20</v>
      </c>
      <c r="E9" s="5">
        <v>1000</v>
      </c>
      <c r="F9" s="1"/>
      <c r="G9" s="5">
        <v>3</v>
      </c>
      <c r="H9" s="11">
        <v>8</v>
      </c>
      <c r="I9" s="14">
        <v>183.3333333333332</v>
      </c>
      <c r="J9" s="12">
        <v>0</v>
      </c>
      <c r="K9" s="12">
        <v>0</v>
      </c>
      <c r="L9" s="12">
        <v>10</v>
      </c>
      <c r="M9" s="12">
        <v>0</v>
      </c>
      <c r="N9" s="12">
        <v>0</v>
      </c>
      <c r="O9" s="11">
        <v>14</v>
      </c>
      <c r="P9" s="12">
        <f t="shared" si="0"/>
        <v>11</v>
      </c>
      <c r="Q9" s="1"/>
      <c r="R9" s="5">
        <f t="shared" si="1"/>
        <v>0</v>
      </c>
      <c r="S9" s="5">
        <f t="shared" ref="S9:S18" si="4">O9-($E$6*H9+$E$7*I9)</f>
        <v>0</v>
      </c>
      <c r="T9" s="16">
        <f t="shared" si="2"/>
        <v>56.666666666666799</v>
      </c>
      <c r="U9" s="5">
        <f t="shared" si="3"/>
        <v>0</v>
      </c>
    </row>
    <row r="10" spans="1:21" ht="30" customHeight="1" x14ac:dyDescent="0.2">
      <c r="A10" s="5">
        <v>5</v>
      </c>
      <c r="B10" s="5">
        <f>ROUNDUP('Demand Forecasting'!G10,0)</f>
        <v>13</v>
      </c>
      <c r="C10" s="1"/>
      <c r="D10" s="19" t="s">
        <v>41</v>
      </c>
      <c r="E10" s="12">
        <v>500</v>
      </c>
      <c r="F10" s="1"/>
      <c r="G10" s="5">
        <v>4</v>
      </c>
      <c r="H10" s="11">
        <v>8</v>
      </c>
      <c r="I10" s="14">
        <v>183.33333333333303</v>
      </c>
      <c r="J10" s="12">
        <v>0</v>
      </c>
      <c r="K10" s="12">
        <v>0</v>
      </c>
      <c r="L10" s="12">
        <v>12</v>
      </c>
      <c r="M10" s="12">
        <v>0</v>
      </c>
      <c r="N10" s="12">
        <v>0</v>
      </c>
      <c r="O10" s="11">
        <v>14</v>
      </c>
      <c r="P10" s="12">
        <f t="shared" si="0"/>
        <v>12</v>
      </c>
      <c r="Q10" s="1"/>
      <c r="R10" s="5">
        <f t="shared" si="1"/>
        <v>0</v>
      </c>
      <c r="S10" s="5">
        <f t="shared" si="4"/>
        <v>0</v>
      </c>
      <c r="T10" s="16">
        <f t="shared" si="2"/>
        <v>56.66666666666697</v>
      </c>
      <c r="U10" s="5">
        <f t="shared" si="3"/>
        <v>0</v>
      </c>
    </row>
    <row r="11" spans="1:21" ht="30" customHeight="1" x14ac:dyDescent="0.2">
      <c r="A11" s="5">
        <v>6</v>
      </c>
      <c r="B11" s="5">
        <f>ROUNDUP('Demand Forecasting'!G11,0)</f>
        <v>14</v>
      </c>
      <c r="C11" s="1"/>
      <c r="D11" s="19" t="s">
        <v>21</v>
      </c>
      <c r="E11" s="5">
        <v>500</v>
      </c>
      <c r="F11" s="1"/>
      <c r="G11" s="5">
        <v>5</v>
      </c>
      <c r="H11" s="11">
        <v>8</v>
      </c>
      <c r="I11" s="14">
        <v>183.3333333333332</v>
      </c>
      <c r="J11" s="12">
        <v>0</v>
      </c>
      <c r="K11" s="12">
        <v>0</v>
      </c>
      <c r="L11" s="12">
        <v>13</v>
      </c>
      <c r="M11" s="12">
        <v>0</v>
      </c>
      <c r="N11" s="12">
        <v>0</v>
      </c>
      <c r="O11" s="11">
        <v>14</v>
      </c>
      <c r="P11" s="12">
        <f t="shared" si="0"/>
        <v>13</v>
      </c>
      <c r="Q11" s="1"/>
      <c r="R11" s="5">
        <f t="shared" si="1"/>
        <v>0</v>
      </c>
      <c r="S11" s="5">
        <f t="shared" si="4"/>
        <v>0</v>
      </c>
      <c r="T11" s="16">
        <f t="shared" si="2"/>
        <v>56.666666666666799</v>
      </c>
      <c r="U11" s="5">
        <f t="shared" si="3"/>
        <v>0</v>
      </c>
    </row>
    <row r="12" spans="1:21" ht="30" customHeight="1" x14ac:dyDescent="0.2">
      <c r="A12" s="5">
        <v>7</v>
      </c>
      <c r="B12" s="5">
        <f>ROUNDUP('Demand Forecasting'!G12,0)</f>
        <v>14</v>
      </c>
      <c r="C12" s="1"/>
      <c r="D12" s="19" t="s">
        <v>40</v>
      </c>
      <c r="E12" s="5">
        <v>1500</v>
      </c>
      <c r="F12" s="1"/>
      <c r="G12" s="5">
        <v>6</v>
      </c>
      <c r="H12" s="11">
        <v>8</v>
      </c>
      <c r="I12" s="14">
        <v>183.33333333333303</v>
      </c>
      <c r="J12" s="12">
        <v>0</v>
      </c>
      <c r="K12" s="12">
        <v>0</v>
      </c>
      <c r="L12" s="12">
        <v>13</v>
      </c>
      <c r="M12" s="12">
        <v>0</v>
      </c>
      <c r="N12" s="12">
        <v>0</v>
      </c>
      <c r="O12" s="11">
        <v>14</v>
      </c>
      <c r="P12" s="12">
        <f t="shared" si="0"/>
        <v>14</v>
      </c>
      <c r="Q12" s="1"/>
      <c r="R12" s="5">
        <f t="shared" si="1"/>
        <v>0</v>
      </c>
      <c r="S12" s="5">
        <f t="shared" si="4"/>
        <v>0</v>
      </c>
      <c r="T12" s="16">
        <f t="shared" si="2"/>
        <v>56.66666666666697</v>
      </c>
      <c r="U12" s="5">
        <f t="shared" si="3"/>
        <v>0</v>
      </c>
    </row>
    <row r="13" spans="1:21" ht="30" customHeight="1" x14ac:dyDescent="0.2">
      <c r="A13" s="5">
        <v>8</v>
      </c>
      <c r="B13" s="5">
        <f>ROUNDUP('Demand Forecasting'!G13,0)</f>
        <v>15</v>
      </c>
      <c r="C13" s="1"/>
      <c r="D13" s="19" t="s">
        <v>31</v>
      </c>
      <c r="E13" s="5">
        <v>12000</v>
      </c>
      <c r="F13" s="1"/>
      <c r="G13" s="5">
        <v>7</v>
      </c>
      <c r="H13" s="11">
        <v>8</v>
      </c>
      <c r="I13" s="14">
        <v>183.3333333333332</v>
      </c>
      <c r="J13" s="12">
        <v>0</v>
      </c>
      <c r="K13" s="12">
        <v>0</v>
      </c>
      <c r="L13" s="12">
        <v>13</v>
      </c>
      <c r="M13" s="12">
        <v>0</v>
      </c>
      <c r="N13" s="12">
        <v>0</v>
      </c>
      <c r="O13" s="11">
        <v>14</v>
      </c>
      <c r="P13" s="12">
        <f t="shared" si="0"/>
        <v>14</v>
      </c>
      <c r="Q13" s="1"/>
      <c r="R13" s="5">
        <f t="shared" si="1"/>
        <v>0</v>
      </c>
      <c r="S13" s="5">
        <f>O13-($E$6*H13+$E$7*I13)</f>
        <v>0</v>
      </c>
      <c r="T13" s="16">
        <f t="shared" si="2"/>
        <v>56.666666666666799</v>
      </c>
      <c r="U13" s="5">
        <f t="shared" si="3"/>
        <v>0</v>
      </c>
    </row>
    <row r="14" spans="1:21" ht="30" customHeight="1" x14ac:dyDescent="0.2">
      <c r="A14" s="5">
        <v>9</v>
      </c>
      <c r="B14" s="5">
        <f>ROUNDUP('Demand Forecasting'!G14,0)</f>
        <v>16</v>
      </c>
      <c r="C14" s="1"/>
      <c r="D14" s="19" t="s">
        <v>22</v>
      </c>
      <c r="E14" s="5">
        <v>100</v>
      </c>
      <c r="F14" s="1"/>
      <c r="G14" s="5">
        <v>8</v>
      </c>
      <c r="H14" s="11">
        <v>8</v>
      </c>
      <c r="I14" s="14">
        <v>183.33333333333303</v>
      </c>
      <c r="J14" s="12">
        <v>0</v>
      </c>
      <c r="K14" s="12">
        <v>0</v>
      </c>
      <c r="L14" s="12">
        <v>12</v>
      </c>
      <c r="M14" s="12">
        <v>0</v>
      </c>
      <c r="N14" s="12">
        <v>0</v>
      </c>
      <c r="O14" s="11">
        <v>14</v>
      </c>
      <c r="P14" s="12">
        <f t="shared" si="0"/>
        <v>15</v>
      </c>
      <c r="Q14" s="1"/>
      <c r="R14" s="5">
        <f t="shared" si="1"/>
        <v>0</v>
      </c>
      <c r="S14" s="5">
        <f t="shared" si="4"/>
        <v>0</v>
      </c>
      <c r="T14" s="16">
        <f t="shared" si="2"/>
        <v>56.66666666666697</v>
      </c>
      <c r="U14" s="5">
        <f t="shared" si="3"/>
        <v>0</v>
      </c>
    </row>
    <row r="15" spans="1:21" ht="30" customHeight="1" x14ac:dyDescent="0.2">
      <c r="A15" s="5">
        <v>10</v>
      </c>
      <c r="B15" s="5">
        <f>ROUNDUP('Demand Forecasting'!G15,0)</f>
        <v>16</v>
      </c>
      <c r="C15" s="1"/>
      <c r="D15" s="19" t="s">
        <v>23</v>
      </c>
      <c r="E15" s="5">
        <v>50000</v>
      </c>
      <c r="F15" s="1"/>
      <c r="G15" s="5">
        <v>9</v>
      </c>
      <c r="H15" s="11">
        <v>8</v>
      </c>
      <c r="I15" s="14">
        <v>183.33333333333303</v>
      </c>
      <c r="J15" s="12">
        <v>0</v>
      </c>
      <c r="K15" s="12">
        <v>0</v>
      </c>
      <c r="L15" s="12">
        <v>10</v>
      </c>
      <c r="M15" s="12">
        <v>0</v>
      </c>
      <c r="N15" s="12">
        <v>0</v>
      </c>
      <c r="O15" s="11">
        <v>14</v>
      </c>
      <c r="P15" s="12">
        <f t="shared" si="0"/>
        <v>16</v>
      </c>
      <c r="Q15" s="1"/>
      <c r="R15" s="5">
        <f t="shared" si="1"/>
        <v>0</v>
      </c>
      <c r="S15" s="5">
        <f t="shared" si="4"/>
        <v>0</v>
      </c>
      <c r="T15" s="16">
        <f t="shared" si="2"/>
        <v>56.66666666666697</v>
      </c>
      <c r="U15" s="5">
        <f t="shared" si="3"/>
        <v>0</v>
      </c>
    </row>
    <row r="16" spans="1:21" ht="30" customHeight="1" x14ac:dyDescent="0.2">
      <c r="A16" s="5">
        <v>11</v>
      </c>
      <c r="B16" s="5">
        <f>ROUNDUP('Demand Forecasting'!G16,0)</f>
        <v>17</v>
      </c>
      <c r="C16" s="1"/>
      <c r="D16" s="19" t="s">
        <v>24</v>
      </c>
      <c r="E16" s="5">
        <v>0</v>
      </c>
      <c r="F16" s="1"/>
      <c r="G16" s="5">
        <v>10</v>
      </c>
      <c r="H16" s="11">
        <v>8</v>
      </c>
      <c r="I16" s="14">
        <v>183.33333333333303</v>
      </c>
      <c r="J16" s="12">
        <v>0</v>
      </c>
      <c r="K16" s="12">
        <v>0</v>
      </c>
      <c r="L16" s="12">
        <v>8</v>
      </c>
      <c r="M16" s="12">
        <v>0</v>
      </c>
      <c r="N16" s="12">
        <v>0</v>
      </c>
      <c r="O16" s="11">
        <v>14</v>
      </c>
      <c r="P16" s="12">
        <f t="shared" si="0"/>
        <v>16</v>
      </c>
      <c r="Q16" s="1"/>
      <c r="R16" s="5">
        <f t="shared" si="1"/>
        <v>0</v>
      </c>
      <c r="S16" s="5">
        <f t="shared" si="4"/>
        <v>0</v>
      </c>
      <c r="T16" s="16">
        <f t="shared" si="2"/>
        <v>56.66666666666697</v>
      </c>
      <c r="U16" s="5">
        <f t="shared" si="3"/>
        <v>0</v>
      </c>
    </row>
    <row r="17" spans="1:21" ht="30" customHeight="1" x14ac:dyDescent="0.2">
      <c r="A17" s="5">
        <v>12</v>
      </c>
      <c r="B17" s="5">
        <f>ROUNDUP('Demand Forecasting'!G17,0)</f>
        <v>18</v>
      </c>
      <c r="C17" s="4"/>
      <c r="D17" s="19" t="s">
        <v>25</v>
      </c>
      <c r="E17" s="5">
        <v>0</v>
      </c>
      <c r="F17" s="1"/>
      <c r="G17" s="5">
        <v>11</v>
      </c>
      <c r="H17" s="11">
        <v>8</v>
      </c>
      <c r="I17" s="14">
        <v>183.3333333333332</v>
      </c>
      <c r="J17" s="12">
        <v>0</v>
      </c>
      <c r="K17" s="12">
        <v>0</v>
      </c>
      <c r="L17" s="12">
        <v>5</v>
      </c>
      <c r="M17" s="12">
        <v>0</v>
      </c>
      <c r="N17" s="12">
        <v>0</v>
      </c>
      <c r="O17" s="11">
        <v>14</v>
      </c>
      <c r="P17" s="12">
        <f t="shared" si="0"/>
        <v>17</v>
      </c>
      <c r="Q17" s="1"/>
      <c r="R17" s="5">
        <f t="shared" si="1"/>
        <v>0</v>
      </c>
      <c r="S17" s="5">
        <f t="shared" si="4"/>
        <v>0</v>
      </c>
      <c r="T17" s="16">
        <f t="shared" si="2"/>
        <v>56.666666666666799</v>
      </c>
      <c r="U17" s="5">
        <f t="shared" si="3"/>
        <v>0</v>
      </c>
    </row>
    <row r="18" spans="1:21" ht="30" customHeight="1" x14ac:dyDescent="0.2">
      <c r="A18" s="17" t="s">
        <v>46</v>
      </c>
      <c r="B18" s="17">
        <f>ROUNDUP(AVERAGE(B6:B17),0)</f>
        <v>14</v>
      </c>
      <c r="D18" s="17" t="s">
        <v>39</v>
      </c>
      <c r="E18" s="5">
        <v>0</v>
      </c>
      <c r="F18" s="1"/>
      <c r="G18" s="5">
        <v>12</v>
      </c>
      <c r="H18" s="11">
        <v>8</v>
      </c>
      <c r="I18" s="14">
        <v>183.33333333333303</v>
      </c>
      <c r="J18" s="12">
        <v>0</v>
      </c>
      <c r="K18" s="12">
        <v>0</v>
      </c>
      <c r="L18" s="12">
        <v>1</v>
      </c>
      <c r="M18" s="12">
        <v>0</v>
      </c>
      <c r="N18" s="12">
        <v>0</v>
      </c>
      <c r="O18" s="11">
        <v>14</v>
      </c>
      <c r="P18" s="12">
        <f t="shared" si="0"/>
        <v>18</v>
      </c>
      <c r="Q18" s="1"/>
      <c r="R18" s="5">
        <f t="shared" si="1"/>
        <v>0</v>
      </c>
      <c r="S18" s="5">
        <f t="shared" si="4"/>
        <v>0</v>
      </c>
      <c r="T18" s="16">
        <f t="shared" si="2"/>
        <v>56.66666666666697</v>
      </c>
      <c r="U18" s="5">
        <f t="shared" si="3"/>
        <v>0</v>
      </c>
    </row>
    <row r="19" spans="1:21" ht="30" customHeight="1" x14ac:dyDescent="0.2">
      <c r="D19" s="17" t="s">
        <v>26</v>
      </c>
      <c r="E19" s="5">
        <v>9</v>
      </c>
      <c r="F19" s="1"/>
      <c r="G19" s="50" t="s">
        <v>11</v>
      </c>
      <c r="H19" s="19" t="s">
        <v>14</v>
      </c>
      <c r="I19" s="19" t="s">
        <v>15</v>
      </c>
      <c r="J19" s="19" t="s">
        <v>34</v>
      </c>
      <c r="K19" s="19" t="s">
        <v>35</v>
      </c>
      <c r="L19" s="19" t="s">
        <v>16</v>
      </c>
      <c r="M19" s="19" t="s">
        <v>30</v>
      </c>
      <c r="N19" s="19" t="s">
        <v>27</v>
      </c>
      <c r="O19" s="19" t="s">
        <v>17</v>
      </c>
      <c r="P19" s="19" t="s">
        <v>51</v>
      </c>
      <c r="Q19" s="1"/>
      <c r="R19" s="1"/>
      <c r="S19" s="1"/>
      <c r="T19" s="1"/>
      <c r="U19" s="1"/>
    </row>
    <row r="20" spans="1:21" ht="30" customHeight="1" x14ac:dyDescent="0.2">
      <c r="D20" s="17" t="s">
        <v>38</v>
      </c>
      <c r="E20" s="5">
        <v>24</v>
      </c>
      <c r="F20" s="1"/>
      <c r="G20" s="51"/>
      <c r="H20" s="8">
        <f>$E$13*SUM(H7:H18)</f>
        <v>1152000</v>
      </c>
      <c r="I20" s="15">
        <f>$E$14*SUM(I7:I18)</f>
        <v>219999.99999999974</v>
      </c>
      <c r="J20" s="8">
        <f>$E$11*SUM(J7:J18)</f>
        <v>0</v>
      </c>
      <c r="K20" s="8">
        <f>$E$12*SUM(K7:K18)</f>
        <v>1500</v>
      </c>
      <c r="L20" s="8">
        <f>$E$9*SUM(L7:L18)</f>
        <v>108000</v>
      </c>
      <c r="M20" s="8">
        <f>$E$10*SUM(M7:M18)</f>
        <v>0</v>
      </c>
      <c r="N20" s="8">
        <f>$E$15*SUM(N7:N18)</f>
        <v>0</v>
      </c>
      <c r="O20" s="8">
        <f>$E$5*SUM(O7:O18)</f>
        <v>2520000</v>
      </c>
      <c r="P20" s="28">
        <f>(E21*SUM(P7:P18))-SUM(H20:O20)</f>
        <v>6018500</v>
      </c>
      <c r="Q20" s="1"/>
      <c r="R20" s="1"/>
      <c r="S20" s="1"/>
      <c r="T20" s="1"/>
      <c r="U20" s="1"/>
    </row>
    <row r="21" spans="1:21" ht="30" customHeight="1" x14ac:dyDescent="0.2">
      <c r="D21" s="19" t="s">
        <v>50</v>
      </c>
      <c r="E21" s="5">
        <v>60000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30" customHeight="1" x14ac:dyDescent="0.2"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30" customHeight="1" x14ac:dyDescent="0.2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30" customHeight="1" x14ac:dyDescent="0.2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30" customHeight="1" x14ac:dyDescent="0.2"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30" customHeight="1" x14ac:dyDescent="0.2"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30" customHeight="1" x14ac:dyDescent="0.2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30" customHeight="1" x14ac:dyDescent="0.2"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30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30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30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30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U32" s="1"/>
    </row>
    <row r="33" spans="1:21" ht="30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U33" s="1"/>
    </row>
    <row r="34" spans="1:21" ht="30" customHeight="1" x14ac:dyDescent="0.2"/>
    <row r="35" spans="1:21" ht="30" customHeight="1" x14ac:dyDescent="0.2"/>
    <row r="36" spans="1:21" ht="30" customHeight="1" x14ac:dyDescent="0.2"/>
  </sheetData>
  <mergeCells count="4">
    <mergeCell ref="A4:E4"/>
    <mergeCell ref="G4:P4"/>
    <mergeCell ref="R4:U4"/>
    <mergeCell ref="G19:G20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7C86F-AAF4-4A47-8179-1B0046FDA13F}">
  <dimension ref="A1:U36"/>
  <sheetViews>
    <sheetView showGridLines="0" topLeftCell="B1" zoomScale="125" workbookViewId="0">
      <selection activeCell="G4" sqref="G4:P20"/>
    </sheetView>
  </sheetViews>
  <sheetFormatPr baseColWidth="10" defaultColWidth="8.83203125" defaultRowHeight="13" x14ac:dyDescent="0.2"/>
  <cols>
    <col min="1" max="1" width="20.83203125" style="2" customWidth="1"/>
    <col min="2" max="2" width="20.1640625" style="2" customWidth="1"/>
    <col min="3" max="3" width="0.6640625" style="2" customWidth="1"/>
    <col min="4" max="4" width="43" style="2" customWidth="1"/>
    <col min="5" max="5" width="20.83203125" style="2" customWidth="1"/>
    <col min="6" max="6" width="1" style="2" customWidth="1"/>
    <col min="7" max="16" width="20.83203125" style="2" customWidth="1"/>
    <col min="17" max="17" width="0.6640625" style="2" customWidth="1"/>
    <col min="18" max="20" width="20.83203125" style="2" customWidth="1"/>
    <col min="21" max="22" width="20.1640625" style="2" customWidth="1"/>
    <col min="23" max="16384" width="8.83203125" style="2"/>
  </cols>
  <sheetData>
    <row r="1" spans="1:21" ht="30" customHeight="1" x14ac:dyDescent="0.2">
      <c r="F1" s="1"/>
      <c r="U1" s="1"/>
    </row>
    <row r="2" spans="1:21" ht="30" customHeight="1" x14ac:dyDescent="0.2">
      <c r="F2" s="1"/>
      <c r="U2" s="1"/>
    </row>
    <row r="3" spans="1:21" ht="30" customHeight="1" x14ac:dyDescent="0.2">
      <c r="F3" s="1"/>
      <c r="U3" s="1"/>
    </row>
    <row r="4" spans="1:21" ht="30" customHeight="1" x14ac:dyDescent="0.2">
      <c r="A4" s="46" t="s">
        <v>18</v>
      </c>
      <c r="B4" s="46"/>
      <c r="C4" s="46"/>
      <c r="D4" s="46"/>
      <c r="E4" s="46"/>
      <c r="F4" s="1"/>
      <c r="G4" s="47" t="s">
        <v>4</v>
      </c>
      <c r="H4" s="48"/>
      <c r="I4" s="48"/>
      <c r="J4" s="48"/>
      <c r="K4" s="48"/>
      <c r="L4" s="48"/>
      <c r="M4" s="48"/>
      <c r="N4" s="48"/>
      <c r="O4" s="48"/>
      <c r="P4" s="49"/>
      <c r="Q4" s="1"/>
      <c r="R4" s="52" t="s">
        <v>2</v>
      </c>
      <c r="S4" s="52"/>
      <c r="T4" s="52"/>
      <c r="U4" s="52"/>
    </row>
    <row r="5" spans="1:21" ht="30" customHeight="1" x14ac:dyDescent="0.2">
      <c r="A5" s="18" t="s">
        <v>0</v>
      </c>
      <c r="B5" s="18" t="s">
        <v>1</v>
      </c>
      <c r="C5" s="3"/>
      <c r="D5" s="19" t="s">
        <v>19</v>
      </c>
      <c r="E5" s="5">
        <v>15000</v>
      </c>
      <c r="F5" s="1"/>
      <c r="G5" s="19" t="s">
        <v>0</v>
      </c>
      <c r="H5" s="19" t="s">
        <v>5</v>
      </c>
      <c r="I5" s="19" t="s">
        <v>6</v>
      </c>
      <c r="J5" s="19" t="s">
        <v>32</v>
      </c>
      <c r="K5" s="19" t="s">
        <v>33</v>
      </c>
      <c r="L5" s="19" t="s">
        <v>7</v>
      </c>
      <c r="M5" s="19" t="s">
        <v>29</v>
      </c>
      <c r="N5" s="19" t="s">
        <v>28</v>
      </c>
      <c r="O5" s="19" t="s">
        <v>8</v>
      </c>
      <c r="P5" s="19" t="s">
        <v>10</v>
      </c>
      <c r="Q5" s="1"/>
      <c r="R5" s="19" t="s">
        <v>3</v>
      </c>
      <c r="S5" s="19" t="s">
        <v>3</v>
      </c>
      <c r="T5" s="19" t="s">
        <v>45</v>
      </c>
      <c r="U5" s="19" t="s">
        <v>3</v>
      </c>
    </row>
    <row r="6" spans="1:21" ht="30" customHeight="1" x14ac:dyDescent="0.2">
      <c r="A6" s="5">
        <v>1</v>
      </c>
      <c r="B6" s="5">
        <f>ROUNDUP('Demand Forecasting'!G6,0)</f>
        <v>10</v>
      </c>
      <c r="C6" s="1"/>
      <c r="D6" s="19" t="s">
        <v>37</v>
      </c>
      <c r="E6" s="5">
        <f>5%*E20</f>
        <v>1.2000000000000002</v>
      </c>
      <c r="F6" s="1"/>
      <c r="G6" s="5">
        <v>0</v>
      </c>
      <c r="H6" s="6">
        <v>9</v>
      </c>
      <c r="I6" s="5" t="s">
        <v>9</v>
      </c>
      <c r="J6" s="5" t="s">
        <v>9</v>
      </c>
      <c r="K6" s="5" t="s">
        <v>9</v>
      </c>
      <c r="L6" s="6">
        <v>0</v>
      </c>
      <c r="M6" s="6">
        <v>0</v>
      </c>
      <c r="N6" s="5" t="s">
        <v>9</v>
      </c>
      <c r="O6" s="5" t="s">
        <v>9</v>
      </c>
      <c r="P6" s="5" t="s">
        <v>9</v>
      </c>
      <c r="Q6" s="1"/>
      <c r="R6" s="19" t="s">
        <v>12</v>
      </c>
      <c r="S6" s="19" t="s">
        <v>13</v>
      </c>
      <c r="T6" s="19" t="s">
        <v>43</v>
      </c>
      <c r="U6" s="19" t="s">
        <v>36</v>
      </c>
    </row>
    <row r="7" spans="1:21" ht="30" customHeight="1" x14ac:dyDescent="0.2">
      <c r="A7" s="5">
        <v>2</v>
      </c>
      <c r="B7" s="5">
        <f>ROUNDUP('Demand Forecasting'!G7,0)</f>
        <v>11</v>
      </c>
      <c r="C7" s="1"/>
      <c r="D7" s="19" t="s">
        <v>44</v>
      </c>
      <c r="E7" s="5">
        <f>3%*E20/E8</f>
        <v>2.4E-2</v>
      </c>
      <c r="F7" s="1"/>
      <c r="G7" s="5">
        <v>1</v>
      </c>
      <c r="H7" s="11">
        <v>6</v>
      </c>
      <c r="I7" s="14">
        <v>116.66666666666654</v>
      </c>
      <c r="J7" s="12">
        <v>0</v>
      </c>
      <c r="K7" s="12">
        <v>3</v>
      </c>
      <c r="L7" s="12">
        <v>0</v>
      </c>
      <c r="M7" s="12">
        <v>0</v>
      </c>
      <c r="N7" s="12">
        <v>0</v>
      </c>
      <c r="O7" s="11">
        <v>10</v>
      </c>
      <c r="P7" s="12">
        <f>B6</f>
        <v>10</v>
      </c>
      <c r="Q7" s="1"/>
      <c r="R7" s="5">
        <f>L6+O7+N7-P7-M6-L7+M7</f>
        <v>0</v>
      </c>
      <c r="S7" s="5">
        <f>O7-($E$6*H7+$E$7*I7)</f>
        <v>0</v>
      </c>
      <c r="T7" s="16">
        <f>H7*$E$8-I7</f>
        <v>63.333333333333456</v>
      </c>
      <c r="U7" s="5">
        <f>H6+J7-K7-H7</f>
        <v>0</v>
      </c>
    </row>
    <row r="8" spans="1:21" ht="30" customHeight="1" x14ac:dyDescent="0.2">
      <c r="A8" s="5">
        <v>3</v>
      </c>
      <c r="B8" s="5">
        <f>ROUNDUP('Demand Forecasting'!G8,0)</f>
        <v>11</v>
      </c>
      <c r="C8" s="1"/>
      <c r="D8" s="19" t="s">
        <v>42</v>
      </c>
      <c r="E8" s="5">
        <v>30</v>
      </c>
      <c r="F8" s="1"/>
      <c r="G8" s="5">
        <v>2</v>
      </c>
      <c r="H8" s="11">
        <v>6</v>
      </c>
      <c r="I8" s="14">
        <v>116.66666666666647</v>
      </c>
      <c r="J8" s="12">
        <v>0</v>
      </c>
      <c r="K8" s="12">
        <v>0</v>
      </c>
      <c r="L8" s="12">
        <v>0</v>
      </c>
      <c r="M8" s="12">
        <v>0</v>
      </c>
      <c r="N8" s="12">
        <v>1</v>
      </c>
      <c r="O8" s="11">
        <v>10</v>
      </c>
      <c r="P8" s="12">
        <f t="shared" ref="P8:P18" si="0">B7</f>
        <v>11</v>
      </c>
      <c r="Q8" s="1"/>
      <c r="R8" s="5">
        <f t="shared" ref="R8:R18" si="1">L7+O8+N8-P8-M7-L8+M8</f>
        <v>0</v>
      </c>
      <c r="S8" s="5">
        <f>O8-($E$6*H8+$E$7*I8)</f>
        <v>0</v>
      </c>
      <c r="T8" s="16">
        <f t="shared" ref="T8:T18" si="2">H8*$E$8-I8</f>
        <v>63.333333333333528</v>
      </c>
      <c r="U8" s="5">
        <f t="shared" ref="U8:U18" si="3">H7+J8-K8-H8</f>
        <v>0</v>
      </c>
    </row>
    <row r="9" spans="1:21" ht="30" customHeight="1" x14ac:dyDescent="0.2">
      <c r="A9" s="5">
        <v>4</v>
      </c>
      <c r="B9" s="5">
        <f>ROUNDUP('Demand Forecasting'!G9,0)</f>
        <v>12</v>
      </c>
      <c r="C9" s="1"/>
      <c r="D9" s="19" t="s">
        <v>20</v>
      </c>
      <c r="E9" s="5">
        <v>1000</v>
      </c>
      <c r="F9" s="1"/>
      <c r="G9" s="5">
        <v>3</v>
      </c>
      <c r="H9" s="11">
        <v>6</v>
      </c>
      <c r="I9" s="14">
        <v>116.66666666666654</v>
      </c>
      <c r="J9" s="12">
        <v>0</v>
      </c>
      <c r="K9" s="12">
        <v>0</v>
      </c>
      <c r="L9" s="12">
        <v>0</v>
      </c>
      <c r="M9" s="12">
        <v>0</v>
      </c>
      <c r="N9" s="12">
        <v>1</v>
      </c>
      <c r="O9" s="11">
        <v>10</v>
      </c>
      <c r="P9" s="12">
        <f t="shared" si="0"/>
        <v>11</v>
      </c>
      <c r="Q9" s="1"/>
      <c r="R9" s="5">
        <f t="shared" si="1"/>
        <v>0</v>
      </c>
      <c r="S9" s="5">
        <f t="shared" ref="S9:S18" si="4">O9-($E$6*H9+$E$7*I9)</f>
        <v>0</v>
      </c>
      <c r="T9" s="16">
        <f t="shared" si="2"/>
        <v>63.333333333333456</v>
      </c>
      <c r="U9" s="5">
        <f t="shared" si="3"/>
        <v>0</v>
      </c>
    </row>
    <row r="10" spans="1:21" ht="30" customHeight="1" x14ac:dyDescent="0.2">
      <c r="A10" s="5">
        <v>5</v>
      </c>
      <c r="B10" s="5">
        <f>ROUNDUP('Demand Forecasting'!G10,0)</f>
        <v>13</v>
      </c>
      <c r="C10" s="1"/>
      <c r="D10" s="19" t="s">
        <v>41</v>
      </c>
      <c r="E10" s="12">
        <v>500</v>
      </c>
      <c r="F10" s="1"/>
      <c r="G10" s="5">
        <v>4</v>
      </c>
      <c r="H10" s="11">
        <v>6</v>
      </c>
      <c r="I10" s="14">
        <v>116.66666666666647</v>
      </c>
      <c r="J10" s="12">
        <v>0</v>
      </c>
      <c r="K10" s="12">
        <v>0</v>
      </c>
      <c r="L10" s="12">
        <v>0</v>
      </c>
      <c r="M10" s="12">
        <v>0</v>
      </c>
      <c r="N10" s="12">
        <v>2</v>
      </c>
      <c r="O10" s="11">
        <v>10</v>
      </c>
      <c r="P10" s="12">
        <f t="shared" si="0"/>
        <v>12</v>
      </c>
      <c r="Q10" s="1"/>
      <c r="R10" s="5">
        <f t="shared" si="1"/>
        <v>0</v>
      </c>
      <c r="S10" s="5">
        <f t="shared" si="4"/>
        <v>0</v>
      </c>
      <c r="T10" s="16">
        <f t="shared" si="2"/>
        <v>63.333333333333528</v>
      </c>
      <c r="U10" s="5">
        <f t="shared" si="3"/>
        <v>0</v>
      </c>
    </row>
    <row r="11" spans="1:21" ht="30" customHeight="1" x14ac:dyDescent="0.2">
      <c r="A11" s="5">
        <v>6</v>
      </c>
      <c r="B11" s="5">
        <f>ROUNDUP('Demand Forecasting'!G11,0)</f>
        <v>14</v>
      </c>
      <c r="C11" s="1"/>
      <c r="D11" s="19" t="s">
        <v>21</v>
      </c>
      <c r="E11" s="5">
        <v>500</v>
      </c>
      <c r="F11" s="1"/>
      <c r="G11" s="5">
        <v>5</v>
      </c>
      <c r="H11" s="11">
        <v>6</v>
      </c>
      <c r="I11" s="14">
        <v>116.66666666666654</v>
      </c>
      <c r="J11" s="12">
        <v>0</v>
      </c>
      <c r="K11" s="12">
        <v>0</v>
      </c>
      <c r="L11" s="12">
        <v>0</v>
      </c>
      <c r="M11" s="12">
        <v>0</v>
      </c>
      <c r="N11" s="12">
        <v>3</v>
      </c>
      <c r="O11" s="11">
        <v>10</v>
      </c>
      <c r="P11" s="12">
        <f t="shared" si="0"/>
        <v>13</v>
      </c>
      <c r="Q11" s="1"/>
      <c r="R11" s="5">
        <f t="shared" si="1"/>
        <v>0</v>
      </c>
      <c r="S11" s="5">
        <f t="shared" si="4"/>
        <v>0</v>
      </c>
      <c r="T11" s="16">
        <f t="shared" si="2"/>
        <v>63.333333333333456</v>
      </c>
      <c r="U11" s="5">
        <f t="shared" si="3"/>
        <v>0</v>
      </c>
    </row>
    <row r="12" spans="1:21" ht="30" customHeight="1" x14ac:dyDescent="0.2">
      <c r="A12" s="5">
        <v>7</v>
      </c>
      <c r="B12" s="5">
        <f>ROUNDUP('Demand Forecasting'!G12,0)</f>
        <v>14</v>
      </c>
      <c r="C12" s="1"/>
      <c r="D12" s="19" t="s">
        <v>40</v>
      </c>
      <c r="E12" s="5">
        <v>1500</v>
      </c>
      <c r="F12" s="1"/>
      <c r="G12" s="5">
        <v>6</v>
      </c>
      <c r="H12" s="11">
        <v>6</v>
      </c>
      <c r="I12" s="14">
        <v>116.66666666666647</v>
      </c>
      <c r="J12" s="12">
        <v>0</v>
      </c>
      <c r="K12" s="12">
        <v>0</v>
      </c>
      <c r="L12" s="12">
        <v>0</v>
      </c>
      <c r="M12" s="12">
        <v>0</v>
      </c>
      <c r="N12" s="12">
        <v>4</v>
      </c>
      <c r="O12" s="11">
        <v>10</v>
      </c>
      <c r="P12" s="12">
        <f t="shared" si="0"/>
        <v>14</v>
      </c>
      <c r="Q12" s="1"/>
      <c r="R12" s="5">
        <f t="shared" si="1"/>
        <v>0</v>
      </c>
      <c r="S12" s="5">
        <f t="shared" si="4"/>
        <v>0</v>
      </c>
      <c r="T12" s="16">
        <f t="shared" si="2"/>
        <v>63.333333333333528</v>
      </c>
      <c r="U12" s="5">
        <f t="shared" si="3"/>
        <v>0</v>
      </c>
    </row>
    <row r="13" spans="1:21" ht="30" customHeight="1" x14ac:dyDescent="0.2">
      <c r="A13" s="5">
        <v>8</v>
      </c>
      <c r="B13" s="5">
        <f>ROUNDUP('Demand Forecasting'!G13,0)</f>
        <v>15</v>
      </c>
      <c r="C13" s="1"/>
      <c r="D13" s="19" t="s">
        <v>31</v>
      </c>
      <c r="E13" s="5">
        <v>12000</v>
      </c>
      <c r="F13" s="1"/>
      <c r="G13" s="5">
        <v>7</v>
      </c>
      <c r="H13" s="11">
        <v>6</v>
      </c>
      <c r="I13" s="14">
        <v>116.66666666666654</v>
      </c>
      <c r="J13" s="12">
        <v>0</v>
      </c>
      <c r="K13" s="12">
        <v>0</v>
      </c>
      <c r="L13" s="12">
        <v>0</v>
      </c>
      <c r="M13" s="12">
        <v>0</v>
      </c>
      <c r="N13" s="12">
        <v>4</v>
      </c>
      <c r="O13" s="11">
        <v>10</v>
      </c>
      <c r="P13" s="12">
        <f t="shared" si="0"/>
        <v>14</v>
      </c>
      <c r="Q13" s="1"/>
      <c r="R13" s="5">
        <f t="shared" si="1"/>
        <v>0</v>
      </c>
      <c r="S13" s="5">
        <f>O13-($E$6*H13+$E$7*I13)</f>
        <v>0</v>
      </c>
      <c r="T13" s="16">
        <f t="shared" si="2"/>
        <v>63.333333333333456</v>
      </c>
      <c r="U13" s="5">
        <f t="shared" si="3"/>
        <v>0</v>
      </c>
    </row>
    <row r="14" spans="1:21" ht="30" customHeight="1" x14ac:dyDescent="0.2">
      <c r="A14" s="5">
        <v>9</v>
      </c>
      <c r="B14" s="5">
        <f>ROUNDUP('Demand Forecasting'!G14,0)</f>
        <v>16</v>
      </c>
      <c r="C14" s="1"/>
      <c r="D14" s="19" t="s">
        <v>22</v>
      </c>
      <c r="E14" s="5">
        <v>100</v>
      </c>
      <c r="F14" s="1"/>
      <c r="G14" s="5">
        <v>8</v>
      </c>
      <c r="H14" s="11">
        <v>6</v>
      </c>
      <c r="I14" s="14">
        <v>116.66666666666647</v>
      </c>
      <c r="J14" s="12">
        <v>0</v>
      </c>
      <c r="K14" s="12">
        <v>0</v>
      </c>
      <c r="L14" s="12">
        <v>0</v>
      </c>
      <c r="M14" s="12">
        <v>0</v>
      </c>
      <c r="N14" s="12">
        <v>5</v>
      </c>
      <c r="O14" s="11">
        <v>10</v>
      </c>
      <c r="P14" s="12">
        <f t="shared" si="0"/>
        <v>15</v>
      </c>
      <c r="Q14" s="1"/>
      <c r="R14" s="5">
        <f t="shared" si="1"/>
        <v>0</v>
      </c>
      <c r="S14" s="5">
        <f t="shared" si="4"/>
        <v>0</v>
      </c>
      <c r="T14" s="16">
        <f t="shared" si="2"/>
        <v>63.333333333333528</v>
      </c>
      <c r="U14" s="5">
        <f t="shared" si="3"/>
        <v>0</v>
      </c>
    </row>
    <row r="15" spans="1:21" ht="30" customHeight="1" x14ac:dyDescent="0.2">
      <c r="A15" s="5">
        <v>10</v>
      </c>
      <c r="B15" s="5">
        <f>ROUNDUP('Demand Forecasting'!G15,0)</f>
        <v>16</v>
      </c>
      <c r="C15" s="1"/>
      <c r="D15" s="19" t="s">
        <v>23</v>
      </c>
      <c r="E15" s="5">
        <v>50000</v>
      </c>
      <c r="F15" s="1"/>
      <c r="G15" s="5">
        <v>9</v>
      </c>
      <c r="H15" s="11">
        <v>6</v>
      </c>
      <c r="I15" s="14">
        <v>116.66666666666653</v>
      </c>
      <c r="J15" s="12">
        <v>0</v>
      </c>
      <c r="K15" s="12">
        <v>0</v>
      </c>
      <c r="L15" s="12">
        <v>0</v>
      </c>
      <c r="M15" s="12">
        <v>0</v>
      </c>
      <c r="N15" s="12">
        <v>6</v>
      </c>
      <c r="O15" s="11">
        <v>10</v>
      </c>
      <c r="P15" s="12">
        <f t="shared" si="0"/>
        <v>16</v>
      </c>
      <c r="Q15" s="1"/>
      <c r="R15" s="5">
        <f t="shared" si="1"/>
        <v>0</v>
      </c>
      <c r="S15" s="5">
        <f t="shared" si="4"/>
        <v>0</v>
      </c>
      <c r="T15" s="16">
        <f t="shared" si="2"/>
        <v>63.333333333333471</v>
      </c>
      <c r="U15" s="5">
        <f t="shared" si="3"/>
        <v>0</v>
      </c>
    </row>
    <row r="16" spans="1:21" ht="30" customHeight="1" x14ac:dyDescent="0.2">
      <c r="A16" s="5">
        <v>11</v>
      </c>
      <c r="B16" s="5">
        <f>ROUNDUP('Demand Forecasting'!G16,0)</f>
        <v>17</v>
      </c>
      <c r="C16" s="1"/>
      <c r="D16" s="19" t="s">
        <v>24</v>
      </c>
      <c r="E16" s="5">
        <v>0</v>
      </c>
      <c r="F16" s="1"/>
      <c r="G16" s="5">
        <v>10</v>
      </c>
      <c r="H16" s="11">
        <v>6</v>
      </c>
      <c r="I16" s="14">
        <v>116.66666666666653</v>
      </c>
      <c r="J16" s="12">
        <v>0</v>
      </c>
      <c r="K16" s="12">
        <v>0</v>
      </c>
      <c r="L16" s="12">
        <v>0</v>
      </c>
      <c r="M16" s="12">
        <v>0</v>
      </c>
      <c r="N16" s="12">
        <v>6</v>
      </c>
      <c r="O16" s="11">
        <v>10</v>
      </c>
      <c r="P16" s="12">
        <f t="shared" si="0"/>
        <v>16</v>
      </c>
      <c r="Q16" s="1"/>
      <c r="R16" s="5">
        <f t="shared" si="1"/>
        <v>0</v>
      </c>
      <c r="S16" s="5">
        <f t="shared" si="4"/>
        <v>0</v>
      </c>
      <c r="T16" s="16">
        <f t="shared" si="2"/>
        <v>63.333333333333471</v>
      </c>
      <c r="U16" s="5">
        <f t="shared" si="3"/>
        <v>0</v>
      </c>
    </row>
    <row r="17" spans="1:21" ht="30" customHeight="1" x14ac:dyDescent="0.2">
      <c r="A17" s="5">
        <v>12</v>
      </c>
      <c r="B17" s="5">
        <f>ROUNDUP('Demand Forecasting'!G17,0)</f>
        <v>18</v>
      </c>
      <c r="C17" s="4"/>
      <c r="D17" s="19" t="s">
        <v>25</v>
      </c>
      <c r="E17" s="5">
        <v>0</v>
      </c>
      <c r="F17" s="1"/>
      <c r="G17" s="5">
        <v>11</v>
      </c>
      <c r="H17" s="11">
        <v>6</v>
      </c>
      <c r="I17" s="14">
        <v>116.66666666666654</v>
      </c>
      <c r="J17" s="12">
        <v>0</v>
      </c>
      <c r="K17" s="12">
        <v>0</v>
      </c>
      <c r="L17" s="12">
        <v>0</v>
      </c>
      <c r="M17" s="12">
        <v>0</v>
      </c>
      <c r="N17" s="12">
        <v>7</v>
      </c>
      <c r="O17" s="11">
        <v>10</v>
      </c>
      <c r="P17" s="12">
        <f t="shared" si="0"/>
        <v>17</v>
      </c>
      <c r="Q17" s="1"/>
      <c r="R17" s="5">
        <f t="shared" si="1"/>
        <v>0</v>
      </c>
      <c r="S17" s="5">
        <f t="shared" si="4"/>
        <v>0</v>
      </c>
      <c r="T17" s="16">
        <f t="shared" si="2"/>
        <v>63.333333333333456</v>
      </c>
      <c r="U17" s="5">
        <f t="shared" si="3"/>
        <v>0</v>
      </c>
    </row>
    <row r="18" spans="1:21" ht="30" customHeight="1" x14ac:dyDescent="0.2">
      <c r="A18" s="17" t="s">
        <v>47</v>
      </c>
      <c r="B18" s="17">
        <f>MIN(B6:B17)</f>
        <v>10</v>
      </c>
      <c r="D18" s="17" t="s">
        <v>39</v>
      </c>
      <c r="E18" s="5">
        <v>0</v>
      </c>
      <c r="F18" s="1"/>
      <c r="G18" s="5">
        <v>12</v>
      </c>
      <c r="H18" s="11">
        <v>6</v>
      </c>
      <c r="I18" s="14">
        <v>116.66666666666647</v>
      </c>
      <c r="J18" s="12">
        <v>0</v>
      </c>
      <c r="K18" s="12">
        <v>0</v>
      </c>
      <c r="L18" s="12">
        <v>0</v>
      </c>
      <c r="M18" s="12">
        <v>0</v>
      </c>
      <c r="N18" s="12">
        <v>8</v>
      </c>
      <c r="O18" s="11">
        <v>10</v>
      </c>
      <c r="P18" s="12">
        <f t="shared" si="0"/>
        <v>18</v>
      </c>
      <c r="Q18" s="1"/>
      <c r="R18" s="5">
        <f t="shared" si="1"/>
        <v>0</v>
      </c>
      <c r="S18" s="5">
        <f t="shared" si="4"/>
        <v>0</v>
      </c>
      <c r="T18" s="16">
        <f t="shared" si="2"/>
        <v>63.333333333333528</v>
      </c>
      <c r="U18" s="5">
        <f t="shared" si="3"/>
        <v>0</v>
      </c>
    </row>
    <row r="19" spans="1:21" ht="30" customHeight="1" x14ac:dyDescent="0.2">
      <c r="D19" s="17" t="s">
        <v>26</v>
      </c>
      <c r="E19" s="5">
        <v>9</v>
      </c>
      <c r="F19" s="1"/>
      <c r="G19" s="50" t="s">
        <v>11</v>
      </c>
      <c r="H19" s="19" t="s">
        <v>14</v>
      </c>
      <c r="I19" s="19" t="s">
        <v>15</v>
      </c>
      <c r="J19" s="19" t="s">
        <v>34</v>
      </c>
      <c r="K19" s="19" t="s">
        <v>35</v>
      </c>
      <c r="L19" s="19" t="s">
        <v>16</v>
      </c>
      <c r="M19" s="19" t="s">
        <v>30</v>
      </c>
      <c r="N19" s="19" t="s">
        <v>27</v>
      </c>
      <c r="O19" s="19" t="s">
        <v>17</v>
      </c>
      <c r="P19" s="19" t="s">
        <v>51</v>
      </c>
      <c r="Q19" s="1"/>
      <c r="R19" s="1"/>
      <c r="S19" s="1"/>
      <c r="T19" s="1"/>
      <c r="U19" s="1"/>
    </row>
    <row r="20" spans="1:21" ht="30" customHeight="1" x14ac:dyDescent="0.2">
      <c r="D20" s="17" t="s">
        <v>38</v>
      </c>
      <c r="E20" s="5">
        <v>24</v>
      </c>
      <c r="F20" s="1"/>
      <c r="G20" s="51"/>
      <c r="H20" s="8">
        <f>$E$13*SUM(H7:H18)</f>
        <v>864000</v>
      </c>
      <c r="I20" s="15">
        <f>$E$14*SUM(I7:I18)</f>
        <v>139999.99999999983</v>
      </c>
      <c r="J20" s="8">
        <f>$E$11*SUM(J7:J18)</f>
        <v>0</v>
      </c>
      <c r="K20" s="8">
        <f>$E$12*SUM(K7:K18)</f>
        <v>4500</v>
      </c>
      <c r="L20" s="8">
        <f>$E$9*SUM(L7:L18)</f>
        <v>0</v>
      </c>
      <c r="M20" s="8">
        <f>$E$10*SUM(M7:M18)</f>
        <v>0</v>
      </c>
      <c r="N20" s="8">
        <f>$E$15*SUM(N7:N18)</f>
        <v>2350000</v>
      </c>
      <c r="O20" s="8">
        <f>$E$5*SUM(O7:O18)</f>
        <v>1800000</v>
      </c>
      <c r="P20" s="28">
        <f>(E21*SUM(P7:P18))-SUM(H20:O20)</f>
        <v>4861500</v>
      </c>
      <c r="Q20" s="1"/>
      <c r="R20" s="1"/>
      <c r="S20" s="1"/>
      <c r="T20" s="1"/>
      <c r="U20" s="1"/>
    </row>
    <row r="21" spans="1:21" ht="30" customHeight="1" x14ac:dyDescent="0.2">
      <c r="D21" s="19" t="s">
        <v>50</v>
      </c>
      <c r="E21" s="5">
        <v>60000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30" customHeight="1" x14ac:dyDescent="0.2"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30" customHeight="1" x14ac:dyDescent="0.2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30" customHeight="1" x14ac:dyDescent="0.2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30" customHeight="1" x14ac:dyDescent="0.2"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30" customHeight="1" x14ac:dyDescent="0.2"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30" customHeight="1" x14ac:dyDescent="0.2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30" customHeight="1" x14ac:dyDescent="0.2"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30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30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30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30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U32" s="1"/>
    </row>
    <row r="33" spans="1:21" ht="30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U33" s="1"/>
    </row>
    <row r="34" spans="1:21" ht="30" customHeight="1" x14ac:dyDescent="0.2"/>
    <row r="35" spans="1:21" ht="30" customHeight="1" x14ac:dyDescent="0.2"/>
    <row r="36" spans="1:21" ht="30" customHeight="1" x14ac:dyDescent="0.2"/>
  </sheetData>
  <mergeCells count="4">
    <mergeCell ref="A4:E4"/>
    <mergeCell ref="G4:P4"/>
    <mergeCell ref="R4:U4"/>
    <mergeCell ref="G19:G20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CDCD3-3C5F-9249-AA9F-239E048C009D}">
  <dimension ref="A1:U36"/>
  <sheetViews>
    <sheetView showGridLines="0" topLeftCell="A7" zoomScale="75" workbookViewId="0">
      <selection activeCell="G4" sqref="G4:P20"/>
    </sheetView>
  </sheetViews>
  <sheetFormatPr baseColWidth="10" defaultColWidth="8.83203125" defaultRowHeight="13" x14ac:dyDescent="0.2"/>
  <cols>
    <col min="1" max="1" width="20.83203125" style="2" customWidth="1"/>
    <col min="2" max="2" width="20.1640625" style="2" customWidth="1"/>
    <col min="3" max="3" width="0.6640625" style="2" customWidth="1"/>
    <col min="4" max="4" width="43" style="2" customWidth="1"/>
    <col min="5" max="5" width="20.83203125" style="2" customWidth="1"/>
    <col min="6" max="6" width="1" style="2" customWidth="1"/>
    <col min="7" max="16" width="20.83203125" style="2" customWidth="1"/>
    <col min="17" max="17" width="0.6640625" style="2" customWidth="1"/>
    <col min="18" max="20" width="20.83203125" style="2" customWidth="1"/>
    <col min="21" max="22" width="20.1640625" style="2" customWidth="1"/>
    <col min="23" max="16384" width="8.83203125" style="2"/>
  </cols>
  <sheetData>
    <row r="1" spans="1:21" ht="30" customHeight="1" x14ac:dyDescent="0.2">
      <c r="F1" s="1"/>
      <c r="U1" s="1"/>
    </row>
    <row r="2" spans="1:21" ht="30" customHeight="1" x14ac:dyDescent="0.2">
      <c r="F2" s="1"/>
      <c r="U2" s="1"/>
    </row>
    <row r="3" spans="1:21" ht="30" customHeight="1" x14ac:dyDescent="0.2">
      <c r="F3" s="1"/>
      <c r="U3" s="1"/>
    </row>
    <row r="4" spans="1:21" ht="30" customHeight="1" x14ac:dyDescent="0.2">
      <c r="A4" s="46" t="s">
        <v>18</v>
      </c>
      <c r="B4" s="46"/>
      <c r="C4" s="46"/>
      <c r="D4" s="46"/>
      <c r="E4" s="46"/>
      <c r="F4" s="1"/>
      <c r="G4" s="47" t="s">
        <v>4</v>
      </c>
      <c r="H4" s="48"/>
      <c r="I4" s="48"/>
      <c r="J4" s="48"/>
      <c r="K4" s="48"/>
      <c r="L4" s="48"/>
      <c r="M4" s="48"/>
      <c r="N4" s="48"/>
      <c r="O4" s="48"/>
      <c r="P4" s="49"/>
      <c r="Q4" s="1"/>
      <c r="R4" s="52" t="s">
        <v>2</v>
      </c>
      <c r="S4" s="52"/>
      <c r="T4" s="52"/>
      <c r="U4" s="52"/>
    </row>
    <row r="5" spans="1:21" ht="30" customHeight="1" x14ac:dyDescent="0.2">
      <c r="A5" s="18" t="s">
        <v>0</v>
      </c>
      <c r="B5" s="18" t="s">
        <v>1</v>
      </c>
      <c r="C5" s="3"/>
      <c r="D5" s="19" t="s">
        <v>19</v>
      </c>
      <c r="E5" s="5">
        <v>15000</v>
      </c>
      <c r="F5" s="1"/>
      <c r="G5" s="19" t="s">
        <v>0</v>
      </c>
      <c r="H5" s="19" t="s">
        <v>5</v>
      </c>
      <c r="I5" s="19" t="s">
        <v>6</v>
      </c>
      <c r="J5" s="19" t="s">
        <v>32</v>
      </c>
      <c r="K5" s="19" t="s">
        <v>33</v>
      </c>
      <c r="L5" s="19" t="s">
        <v>7</v>
      </c>
      <c r="M5" s="19" t="s">
        <v>29</v>
      </c>
      <c r="N5" s="19" t="s">
        <v>28</v>
      </c>
      <c r="O5" s="19" t="s">
        <v>8</v>
      </c>
      <c r="P5" s="19" t="s">
        <v>10</v>
      </c>
      <c r="Q5" s="1"/>
      <c r="R5" s="19" t="s">
        <v>3</v>
      </c>
      <c r="S5" s="19" t="s">
        <v>3</v>
      </c>
      <c r="T5" s="19" t="s">
        <v>45</v>
      </c>
      <c r="U5" s="19" t="s">
        <v>3</v>
      </c>
    </row>
    <row r="6" spans="1:21" ht="30" customHeight="1" x14ac:dyDescent="0.2">
      <c r="A6" s="5">
        <v>1</v>
      </c>
      <c r="B6" s="5">
        <f>ROUNDUP('Demand Forecasting'!G6,0)</f>
        <v>10</v>
      </c>
      <c r="C6" s="1"/>
      <c r="D6" s="19" t="s">
        <v>37</v>
      </c>
      <c r="E6" s="5">
        <f>5%*E20</f>
        <v>1.2000000000000002</v>
      </c>
      <c r="F6" s="1"/>
      <c r="G6" s="5">
        <v>0</v>
      </c>
      <c r="H6" s="6">
        <v>9</v>
      </c>
      <c r="I6" s="5" t="s">
        <v>9</v>
      </c>
      <c r="J6" s="5" t="s">
        <v>9</v>
      </c>
      <c r="K6" s="5" t="s">
        <v>9</v>
      </c>
      <c r="L6" s="6">
        <v>0</v>
      </c>
      <c r="M6" s="6">
        <v>0</v>
      </c>
      <c r="N6" s="5" t="s">
        <v>9</v>
      </c>
      <c r="O6" s="5" t="s">
        <v>9</v>
      </c>
      <c r="P6" s="5" t="s">
        <v>9</v>
      </c>
      <c r="Q6" s="1"/>
      <c r="R6" s="19" t="s">
        <v>12</v>
      </c>
      <c r="S6" s="19" t="s">
        <v>13</v>
      </c>
      <c r="T6" s="19" t="s">
        <v>43</v>
      </c>
      <c r="U6" s="19" t="s">
        <v>36</v>
      </c>
    </row>
    <row r="7" spans="1:21" ht="30" customHeight="1" x14ac:dyDescent="0.2">
      <c r="A7" s="5">
        <v>2</v>
      </c>
      <c r="B7" s="5">
        <f>ROUNDUP('Demand Forecasting'!G7,0)</f>
        <v>11</v>
      </c>
      <c r="C7" s="1"/>
      <c r="D7" s="19" t="s">
        <v>44</v>
      </c>
      <c r="E7" s="5">
        <f>3%*E20/E8</f>
        <v>2.8799999999999999E-2</v>
      </c>
      <c r="F7" s="1"/>
      <c r="G7" s="5">
        <v>1</v>
      </c>
      <c r="H7" s="11">
        <v>6</v>
      </c>
      <c r="I7" s="14">
        <v>97.222222222222427</v>
      </c>
      <c r="J7" s="12">
        <v>0</v>
      </c>
      <c r="K7" s="12">
        <v>3</v>
      </c>
      <c r="L7" s="12">
        <v>0</v>
      </c>
      <c r="M7" s="12">
        <v>0</v>
      </c>
      <c r="N7" s="12">
        <v>0</v>
      </c>
      <c r="O7" s="11">
        <v>10</v>
      </c>
      <c r="P7" s="12">
        <f>B6</f>
        <v>10</v>
      </c>
      <c r="Q7" s="1"/>
      <c r="R7" s="16">
        <f>L6+O7+N7-P7-M6-L7+M7</f>
        <v>0</v>
      </c>
      <c r="S7" s="16">
        <f>O7-($E$6*H7+$E$7*I7)</f>
        <v>0</v>
      </c>
      <c r="T7" s="16">
        <f>H7*$E$8-I7</f>
        <v>52.777777777777573</v>
      </c>
      <c r="U7" s="16">
        <f>H6+J7-K7-H7</f>
        <v>0</v>
      </c>
    </row>
    <row r="8" spans="1:21" ht="30" customHeight="1" x14ac:dyDescent="0.2">
      <c r="A8" s="5">
        <v>3</v>
      </c>
      <c r="B8" s="5">
        <f>ROUNDUP('Demand Forecasting'!G8,0)</f>
        <v>11</v>
      </c>
      <c r="C8" s="1"/>
      <c r="D8" s="19" t="s">
        <v>42</v>
      </c>
      <c r="E8" s="6">
        <v>25</v>
      </c>
      <c r="F8" s="1"/>
      <c r="G8" s="5">
        <v>2</v>
      </c>
      <c r="H8" s="11">
        <v>6</v>
      </c>
      <c r="I8" s="14">
        <v>131.94444444444466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1">
        <v>11</v>
      </c>
      <c r="P8" s="12">
        <f t="shared" ref="P8:P18" si="0">B7</f>
        <v>11</v>
      </c>
      <c r="Q8" s="1"/>
      <c r="R8" s="16">
        <f t="shared" ref="R8:R18" si="1">L7+O8+N8-P8-M7-L8+M8</f>
        <v>0</v>
      </c>
      <c r="S8" s="16">
        <f>O8-($E$6*H8+$E$7*I8)</f>
        <v>0</v>
      </c>
      <c r="T8" s="16">
        <f t="shared" ref="T8:T18" si="2">H8*$E$8-I8</f>
        <v>18.055555555555344</v>
      </c>
      <c r="U8" s="16">
        <f t="shared" ref="U8:U18" si="3">H7+J8-K8-H8</f>
        <v>0</v>
      </c>
    </row>
    <row r="9" spans="1:21" ht="30" customHeight="1" x14ac:dyDescent="0.2">
      <c r="A9" s="5">
        <v>4</v>
      </c>
      <c r="B9" s="5">
        <f>ROUNDUP('Demand Forecasting'!G9,0)</f>
        <v>12</v>
      </c>
      <c r="C9" s="1"/>
      <c r="D9" s="19" t="s">
        <v>20</v>
      </c>
      <c r="E9" s="5">
        <v>1000</v>
      </c>
      <c r="F9" s="1"/>
      <c r="G9" s="5">
        <v>3</v>
      </c>
      <c r="H9" s="11">
        <v>6</v>
      </c>
      <c r="I9" s="14">
        <v>131.94444444444468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1">
        <v>11</v>
      </c>
      <c r="P9" s="12">
        <f t="shared" si="0"/>
        <v>11</v>
      </c>
      <c r="Q9" s="1"/>
      <c r="R9" s="16">
        <f t="shared" si="1"/>
        <v>0</v>
      </c>
      <c r="S9" s="16">
        <f t="shared" ref="S9:S18" si="4">O9-($E$6*H9+$E$7*I9)</f>
        <v>0</v>
      </c>
      <c r="T9" s="16">
        <f t="shared" si="2"/>
        <v>18.055555555555316</v>
      </c>
      <c r="U9" s="16">
        <f t="shared" si="3"/>
        <v>0</v>
      </c>
    </row>
    <row r="10" spans="1:21" ht="30" customHeight="1" x14ac:dyDescent="0.2">
      <c r="A10" s="5">
        <v>5</v>
      </c>
      <c r="B10" s="5">
        <f>ROUNDUP('Demand Forecasting'!G10,0)</f>
        <v>13</v>
      </c>
      <c r="C10" s="1"/>
      <c r="D10" s="19" t="s">
        <v>41</v>
      </c>
      <c r="E10" s="12">
        <v>500</v>
      </c>
      <c r="F10" s="1"/>
      <c r="G10" s="5">
        <v>4</v>
      </c>
      <c r="H10" s="11">
        <v>7</v>
      </c>
      <c r="I10" s="14">
        <v>125.00000000000024</v>
      </c>
      <c r="J10" s="12">
        <v>1</v>
      </c>
      <c r="K10" s="12">
        <v>0</v>
      </c>
      <c r="L10" s="12">
        <v>0</v>
      </c>
      <c r="M10" s="12">
        <v>0</v>
      </c>
      <c r="N10" s="12">
        <v>0</v>
      </c>
      <c r="O10" s="11">
        <v>12</v>
      </c>
      <c r="P10" s="12">
        <f t="shared" si="0"/>
        <v>12</v>
      </c>
      <c r="Q10" s="1"/>
      <c r="R10" s="16">
        <f t="shared" si="1"/>
        <v>0</v>
      </c>
      <c r="S10" s="16">
        <f t="shared" si="4"/>
        <v>0</v>
      </c>
      <c r="T10" s="16">
        <f t="shared" si="2"/>
        <v>49.999999999999758</v>
      </c>
      <c r="U10" s="16">
        <f t="shared" si="3"/>
        <v>0</v>
      </c>
    </row>
    <row r="11" spans="1:21" ht="30" customHeight="1" x14ac:dyDescent="0.2">
      <c r="A11" s="5">
        <v>6</v>
      </c>
      <c r="B11" s="5">
        <f>ROUNDUP('Demand Forecasting'!G11,0)</f>
        <v>14</v>
      </c>
      <c r="C11" s="1"/>
      <c r="D11" s="19" t="s">
        <v>21</v>
      </c>
      <c r="E11" s="5">
        <v>500</v>
      </c>
      <c r="F11" s="1"/>
      <c r="G11" s="5">
        <v>5</v>
      </c>
      <c r="H11" s="11">
        <v>7</v>
      </c>
      <c r="I11" s="14">
        <v>159.72222222222248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1">
        <v>13</v>
      </c>
      <c r="P11" s="12">
        <f t="shared" si="0"/>
        <v>13</v>
      </c>
      <c r="Q11" s="1"/>
      <c r="R11" s="16">
        <f t="shared" si="1"/>
        <v>0</v>
      </c>
      <c r="S11" s="16">
        <f t="shared" si="4"/>
        <v>0</v>
      </c>
      <c r="T11" s="16">
        <f t="shared" si="2"/>
        <v>15.277777777777516</v>
      </c>
      <c r="U11" s="16">
        <f t="shared" si="3"/>
        <v>0</v>
      </c>
    </row>
    <row r="12" spans="1:21" ht="30" customHeight="1" x14ac:dyDescent="0.2">
      <c r="A12" s="5">
        <v>7</v>
      </c>
      <c r="B12" s="5">
        <f>ROUNDUP('Demand Forecasting'!G12,0)</f>
        <v>14</v>
      </c>
      <c r="C12" s="1"/>
      <c r="D12" s="19" t="s">
        <v>40</v>
      </c>
      <c r="E12" s="5">
        <v>1500</v>
      </c>
      <c r="F12" s="1"/>
      <c r="G12" s="5">
        <v>6</v>
      </c>
      <c r="H12" s="11">
        <v>8</v>
      </c>
      <c r="I12" s="14">
        <v>152.77777777777803</v>
      </c>
      <c r="J12" s="12">
        <v>1</v>
      </c>
      <c r="K12" s="12">
        <v>0</v>
      </c>
      <c r="L12" s="12">
        <v>0</v>
      </c>
      <c r="M12" s="12">
        <v>0</v>
      </c>
      <c r="N12" s="12">
        <v>0</v>
      </c>
      <c r="O12" s="11">
        <v>14</v>
      </c>
      <c r="P12" s="12">
        <f t="shared" si="0"/>
        <v>14</v>
      </c>
      <c r="Q12" s="1"/>
      <c r="R12" s="16">
        <f t="shared" si="1"/>
        <v>0</v>
      </c>
      <c r="S12" s="16">
        <f t="shared" si="4"/>
        <v>0</v>
      </c>
      <c r="T12" s="16">
        <f t="shared" si="2"/>
        <v>47.222222222221973</v>
      </c>
      <c r="U12" s="16">
        <f t="shared" si="3"/>
        <v>0</v>
      </c>
    </row>
    <row r="13" spans="1:21" ht="30" customHeight="1" x14ac:dyDescent="0.2">
      <c r="A13" s="5">
        <v>8</v>
      </c>
      <c r="B13" s="5">
        <f>ROUNDUP('Demand Forecasting'!G13,0)</f>
        <v>15</v>
      </c>
      <c r="C13" s="1"/>
      <c r="D13" s="19" t="s">
        <v>31</v>
      </c>
      <c r="E13" s="5">
        <v>12000</v>
      </c>
      <c r="F13" s="1"/>
      <c r="G13" s="5">
        <v>7</v>
      </c>
      <c r="H13" s="11">
        <v>8</v>
      </c>
      <c r="I13" s="14">
        <v>152.77777777777806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1">
        <v>14</v>
      </c>
      <c r="P13" s="12">
        <f t="shared" si="0"/>
        <v>14</v>
      </c>
      <c r="Q13" s="1"/>
      <c r="R13" s="16">
        <f t="shared" si="1"/>
        <v>0</v>
      </c>
      <c r="S13" s="16">
        <f>O13-($E$6*H13+$E$7*I13)</f>
        <v>0</v>
      </c>
      <c r="T13" s="16">
        <f t="shared" si="2"/>
        <v>47.222222222221944</v>
      </c>
      <c r="U13" s="16">
        <f t="shared" si="3"/>
        <v>0</v>
      </c>
    </row>
    <row r="14" spans="1:21" ht="30" customHeight="1" x14ac:dyDescent="0.2">
      <c r="A14" s="5">
        <v>9</v>
      </c>
      <c r="B14" s="5">
        <f>ROUNDUP('Demand Forecasting'!G14,0)</f>
        <v>16</v>
      </c>
      <c r="C14" s="1"/>
      <c r="D14" s="19" t="s">
        <v>22</v>
      </c>
      <c r="E14" s="5">
        <v>100</v>
      </c>
      <c r="F14" s="1"/>
      <c r="G14" s="5">
        <v>8</v>
      </c>
      <c r="H14" s="11">
        <v>8</v>
      </c>
      <c r="I14" s="14">
        <v>187.50000000000031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1">
        <v>15</v>
      </c>
      <c r="P14" s="12">
        <f t="shared" si="0"/>
        <v>15</v>
      </c>
      <c r="Q14" s="1"/>
      <c r="R14" s="16">
        <f t="shared" si="1"/>
        <v>0</v>
      </c>
      <c r="S14" s="16">
        <f t="shared" si="4"/>
        <v>0</v>
      </c>
      <c r="T14" s="16">
        <f t="shared" si="2"/>
        <v>12.499999999999687</v>
      </c>
      <c r="U14" s="16">
        <f t="shared" si="3"/>
        <v>0</v>
      </c>
    </row>
    <row r="15" spans="1:21" ht="30" customHeight="1" x14ac:dyDescent="0.2">
      <c r="A15" s="5">
        <v>10</v>
      </c>
      <c r="B15" s="5">
        <f>ROUNDUP('Demand Forecasting'!G15,0)</f>
        <v>16</v>
      </c>
      <c r="C15" s="1"/>
      <c r="D15" s="19" t="s">
        <v>23</v>
      </c>
      <c r="E15" s="5">
        <v>50000</v>
      </c>
      <c r="F15" s="1"/>
      <c r="G15" s="5">
        <v>9</v>
      </c>
      <c r="H15" s="11">
        <v>9</v>
      </c>
      <c r="I15" s="14">
        <v>180.55555555555588</v>
      </c>
      <c r="J15" s="12">
        <v>1</v>
      </c>
      <c r="K15" s="12">
        <v>0</v>
      </c>
      <c r="L15" s="12">
        <v>0</v>
      </c>
      <c r="M15" s="12">
        <v>0</v>
      </c>
      <c r="N15" s="12">
        <v>0</v>
      </c>
      <c r="O15" s="11">
        <v>16</v>
      </c>
      <c r="P15" s="12">
        <f t="shared" si="0"/>
        <v>16</v>
      </c>
      <c r="Q15" s="1"/>
      <c r="R15" s="16">
        <f t="shared" si="1"/>
        <v>0</v>
      </c>
      <c r="S15" s="16">
        <f t="shared" si="4"/>
        <v>0</v>
      </c>
      <c r="T15" s="16">
        <f t="shared" si="2"/>
        <v>44.444444444444116</v>
      </c>
      <c r="U15" s="16">
        <f t="shared" si="3"/>
        <v>0</v>
      </c>
    </row>
    <row r="16" spans="1:21" ht="30" customHeight="1" x14ac:dyDescent="0.2">
      <c r="A16" s="5">
        <v>11</v>
      </c>
      <c r="B16" s="5">
        <f>ROUNDUP('Demand Forecasting'!G16,0)</f>
        <v>17</v>
      </c>
      <c r="C16" s="1"/>
      <c r="D16" s="19" t="s">
        <v>24</v>
      </c>
      <c r="E16" s="5">
        <v>0</v>
      </c>
      <c r="F16" s="1"/>
      <c r="G16" s="5">
        <v>10</v>
      </c>
      <c r="H16" s="11">
        <v>9</v>
      </c>
      <c r="I16" s="14">
        <v>180.55555555555588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1">
        <v>16</v>
      </c>
      <c r="P16" s="12">
        <f t="shared" si="0"/>
        <v>16</v>
      </c>
      <c r="Q16" s="1"/>
      <c r="R16" s="16">
        <f t="shared" si="1"/>
        <v>0</v>
      </c>
      <c r="S16" s="16">
        <f t="shared" si="4"/>
        <v>0</v>
      </c>
      <c r="T16" s="16">
        <f t="shared" si="2"/>
        <v>44.444444444444116</v>
      </c>
      <c r="U16" s="16">
        <f t="shared" si="3"/>
        <v>0</v>
      </c>
    </row>
    <row r="17" spans="1:21" ht="30" customHeight="1" x14ac:dyDescent="0.2">
      <c r="A17" s="5">
        <v>12</v>
      </c>
      <c r="B17" s="5">
        <f>ROUNDUP('Demand Forecasting'!G17,0)</f>
        <v>18</v>
      </c>
      <c r="C17" s="4"/>
      <c r="D17" s="19" t="s">
        <v>25</v>
      </c>
      <c r="E17" s="5">
        <v>0</v>
      </c>
      <c r="F17" s="1"/>
      <c r="G17" s="5">
        <v>11</v>
      </c>
      <c r="H17" s="11">
        <v>9</v>
      </c>
      <c r="I17" s="14">
        <v>215.2777777777782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1">
        <v>17</v>
      </c>
      <c r="P17" s="12">
        <f t="shared" si="0"/>
        <v>17</v>
      </c>
      <c r="Q17" s="1"/>
      <c r="R17" s="16">
        <f t="shared" si="1"/>
        <v>0</v>
      </c>
      <c r="S17" s="16">
        <f t="shared" si="4"/>
        <v>0</v>
      </c>
      <c r="T17" s="16">
        <f t="shared" si="2"/>
        <v>9.7222222222218022</v>
      </c>
      <c r="U17" s="16">
        <f t="shared" si="3"/>
        <v>0</v>
      </c>
    </row>
    <row r="18" spans="1:21" ht="30" customHeight="1" x14ac:dyDescent="0.2">
      <c r="D18" s="17" t="s">
        <v>39</v>
      </c>
      <c r="E18" s="5">
        <v>0</v>
      </c>
      <c r="F18" s="1"/>
      <c r="G18" s="5">
        <v>12</v>
      </c>
      <c r="H18" s="11">
        <v>10</v>
      </c>
      <c r="I18" s="14">
        <v>208.33333333333377</v>
      </c>
      <c r="J18" s="12">
        <v>1</v>
      </c>
      <c r="K18" s="12">
        <v>0</v>
      </c>
      <c r="L18" s="12">
        <v>0</v>
      </c>
      <c r="M18" s="12">
        <v>0</v>
      </c>
      <c r="N18" s="12">
        <v>0</v>
      </c>
      <c r="O18" s="11">
        <v>18</v>
      </c>
      <c r="P18" s="12">
        <f t="shared" si="0"/>
        <v>18</v>
      </c>
      <c r="Q18" s="1"/>
      <c r="R18" s="16">
        <f t="shared" si="1"/>
        <v>0</v>
      </c>
      <c r="S18" s="16">
        <f t="shared" si="4"/>
        <v>0</v>
      </c>
      <c r="T18" s="16">
        <f t="shared" si="2"/>
        <v>41.666666666666231</v>
      </c>
      <c r="U18" s="16">
        <f t="shared" si="3"/>
        <v>0</v>
      </c>
    </row>
    <row r="19" spans="1:21" ht="30" customHeight="1" x14ac:dyDescent="0.2">
      <c r="D19" s="17" t="s">
        <v>26</v>
      </c>
      <c r="E19" s="5">
        <v>9</v>
      </c>
      <c r="F19" s="1"/>
      <c r="G19" s="50" t="s">
        <v>11</v>
      </c>
      <c r="H19" s="19" t="s">
        <v>14</v>
      </c>
      <c r="I19" s="19" t="s">
        <v>15</v>
      </c>
      <c r="J19" s="19" t="s">
        <v>34</v>
      </c>
      <c r="K19" s="19" t="s">
        <v>35</v>
      </c>
      <c r="L19" s="19" t="s">
        <v>16</v>
      </c>
      <c r="M19" s="19" t="s">
        <v>30</v>
      </c>
      <c r="N19" s="19" t="s">
        <v>27</v>
      </c>
      <c r="O19" s="19" t="s">
        <v>17</v>
      </c>
      <c r="P19" s="19" t="s">
        <v>51</v>
      </c>
      <c r="Q19" s="1"/>
      <c r="R19" s="1"/>
      <c r="S19" s="1"/>
      <c r="T19" s="1"/>
      <c r="U19" s="1"/>
    </row>
    <row r="20" spans="1:21" ht="30" customHeight="1" x14ac:dyDescent="0.2">
      <c r="D20" s="17" t="s">
        <v>38</v>
      </c>
      <c r="E20" s="5">
        <v>24</v>
      </c>
      <c r="F20" s="1"/>
      <c r="G20" s="51"/>
      <c r="H20" s="8">
        <f>$E$13*SUM(H7:H18)</f>
        <v>1116000</v>
      </c>
      <c r="I20" s="15">
        <f>$E$14*SUM(I7:I18)</f>
        <v>192361.11111111147</v>
      </c>
      <c r="J20" s="8">
        <f>$E$11*SUM(J7:J18)</f>
        <v>2000</v>
      </c>
      <c r="K20" s="8">
        <f>$E$12*SUM(K7:K18)</f>
        <v>4500</v>
      </c>
      <c r="L20" s="8">
        <f>$E$9*SUM(L7:L18)</f>
        <v>0</v>
      </c>
      <c r="M20" s="8">
        <f>$E$10*SUM(M7:M18)</f>
        <v>0</v>
      </c>
      <c r="N20" s="8">
        <f>$E$15*SUM(N7:N18)</f>
        <v>0</v>
      </c>
      <c r="O20" s="8">
        <f>$E$5*SUM(O7:O18)</f>
        <v>2505000</v>
      </c>
      <c r="P20" s="28">
        <f>(E21*SUM(P7:P18))-SUM(H20:O20)</f>
        <v>6200138.8888888881</v>
      </c>
      <c r="Q20" s="1"/>
      <c r="R20" s="1"/>
      <c r="S20" s="1"/>
      <c r="T20" s="1"/>
      <c r="U20" s="1"/>
    </row>
    <row r="21" spans="1:21" ht="30" customHeight="1" x14ac:dyDescent="0.2">
      <c r="D21" s="19" t="s">
        <v>50</v>
      </c>
      <c r="E21" s="5">
        <v>60000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30" customHeight="1" x14ac:dyDescent="0.2"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30" customHeight="1" x14ac:dyDescent="0.2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30" customHeight="1" x14ac:dyDescent="0.2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30" customHeight="1" x14ac:dyDescent="0.2"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30" customHeight="1" x14ac:dyDescent="0.2"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30" customHeight="1" x14ac:dyDescent="0.2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30" customHeight="1" x14ac:dyDescent="0.2"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30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30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30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30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U32" s="1"/>
    </row>
    <row r="33" spans="1:21" ht="30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U33" s="1"/>
    </row>
    <row r="34" spans="1:21" ht="30" customHeight="1" x14ac:dyDescent="0.2"/>
    <row r="35" spans="1:21" ht="30" customHeight="1" x14ac:dyDescent="0.2"/>
    <row r="36" spans="1:21" ht="30" customHeight="1" x14ac:dyDescent="0.2"/>
  </sheetData>
  <mergeCells count="4">
    <mergeCell ref="A4:E4"/>
    <mergeCell ref="G4:P4"/>
    <mergeCell ref="R4:U4"/>
    <mergeCell ref="G19:G20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0DD21-37B6-0E47-A492-5469266A294C}">
  <dimension ref="A1:U36"/>
  <sheetViews>
    <sheetView showGridLines="0" topLeftCell="E1" zoomScale="125" workbookViewId="0">
      <selection activeCell="G4" sqref="G4:P20"/>
    </sheetView>
  </sheetViews>
  <sheetFormatPr baseColWidth="10" defaultColWidth="8.83203125" defaultRowHeight="13" x14ac:dyDescent="0.2"/>
  <cols>
    <col min="1" max="1" width="20.83203125" style="2" customWidth="1"/>
    <col min="2" max="2" width="20.1640625" style="2" customWidth="1"/>
    <col min="3" max="3" width="0.6640625" style="2" customWidth="1"/>
    <col min="4" max="4" width="43" style="2" customWidth="1"/>
    <col min="5" max="5" width="20.83203125" style="2" customWidth="1"/>
    <col min="6" max="6" width="1" style="2" customWidth="1"/>
    <col min="7" max="16" width="20.83203125" style="2" customWidth="1"/>
    <col min="17" max="17" width="0.6640625" style="2" customWidth="1"/>
    <col min="18" max="20" width="20.83203125" style="2" customWidth="1"/>
    <col min="21" max="22" width="20.1640625" style="2" customWidth="1"/>
    <col min="23" max="16384" width="8.83203125" style="2"/>
  </cols>
  <sheetData>
    <row r="1" spans="1:21" ht="30" customHeight="1" x14ac:dyDescent="0.2">
      <c r="F1" s="1"/>
      <c r="U1" s="1"/>
    </row>
    <row r="2" spans="1:21" ht="30" customHeight="1" x14ac:dyDescent="0.2">
      <c r="F2" s="1"/>
      <c r="U2" s="1"/>
    </row>
    <row r="3" spans="1:21" ht="30" customHeight="1" x14ac:dyDescent="0.2">
      <c r="F3" s="1"/>
      <c r="U3" s="1"/>
    </row>
    <row r="4" spans="1:21" ht="30" customHeight="1" x14ac:dyDescent="0.2">
      <c r="A4" s="46" t="s">
        <v>18</v>
      </c>
      <c r="B4" s="46"/>
      <c r="C4" s="46"/>
      <c r="D4" s="46"/>
      <c r="E4" s="46"/>
      <c r="F4" s="1"/>
      <c r="G4" s="47" t="s">
        <v>4</v>
      </c>
      <c r="H4" s="48"/>
      <c r="I4" s="48"/>
      <c r="J4" s="48"/>
      <c r="K4" s="48"/>
      <c r="L4" s="48"/>
      <c r="M4" s="48"/>
      <c r="N4" s="48"/>
      <c r="O4" s="48"/>
      <c r="P4" s="49"/>
      <c r="Q4" s="1"/>
      <c r="R4" s="52" t="s">
        <v>2</v>
      </c>
      <c r="S4" s="52"/>
      <c r="T4" s="52"/>
      <c r="U4" s="52"/>
    </row>
    <row r="5" spans="1:21" ht="30" customHeight="1" x14ac:dyDescent="0.2">
      <c r="A5" s="18" t="s">
        <v>0</v>
      </c>
      <c r="B5" s="18" t="s">
        <v>49</v>
      </c>
      <c r="C5" s="3"/>
      <c r="D5" s="19" t="s">
        <v>19</v>
      </c>
      <c r="E5" s="5">
        <v>15000</v>
      </c>
      <c r="F5" s="1"/>
      <c r="G5" s="19" t="s">
        <v>0</v>
      </c>
      <c r="H5" s="19" t="s">
        <v>5</v>
      </c>
      <c r="I5" s="19" t="s">
        <v>6</v>
      </c>
      <c r="J5" s="19" t="s">
        <v>32</v>
      </c>
      <c r="K5" s="19" t="s">
        <v>33</v>
      </c>
      <c r="L5" s="19" t="s">
        <v>7</v>
      </c>
      <c r="M5" s="19" t="s">
        <v>29</v>
      </c>
      <c r="N5" s="19" t="s">
        <v>28</v>
      </c>
      <c r="O5" s="19" t="s">
        <v>8</v>
      </c>
      <c r="P5" s="19" t="s">
        <v>48</v>
      </c>
      <c r="Q5" s="1"/>
      <c r="R5" s="19" t="s">
        <v>3</v>
      </c>
      <c r="S5" s="19" t="s">
        <v>3</v>
      </c>
      <c r="T5" s="19" t="s">
        <v>45</v>
      </c>
      <c r="U5" s="19" t="s">
        <v>3</v>
      </c>
    </row>
    <row r="6" spans="1:21" ht="30" customHeight="1" x14ac:dyDescent="0.2">
      <c r="A6" s="5">
        <v>1</v>
      </c>
      <c r="B6" s="5">
        <f>ROUNDUP('Demand Forecasting'!G6,0)</f>
        <v>10</v>
      </c>
      <c r="C6" s="1"/>
      <c r="D6" s="19" t="s">
        <v>37</v>
      </c>
      <c r="E6" s="5">
        <f>5%*E20</f>
        <v>1.2000000000000002</v>
      </c>
      <c r="F6" s="1"/>
      <c r="G6" s="5">
        <v>0</v>
      </c>
      <c r="H6" s="6">
        <v>9</v>
      </c>
      <c r="I6" s="5" t="s">
        <v>9</v>
      </c>
      <c r="J6" s="5" t="s">
        <v>9</v>
      </c>
      <c r="K6" s="5" t="s">
        <v>9</v>
      </c>
      <c r="L6" s="6">
        <v>0</v>
      </c>
      <c r="M6" s="6">
        <v>0</v>
      </c>
      <c r="N6" s="5" t="s">
        <v>9</v>
      </c>
      <c r="O6" s="5" t="s">
        <v>9</v>
      </c>
      <c r="P6" s="5" t="s">
        <v>9</v>
      </c>
      <c r="Q6" s="1"/>
      <c r="R6" s="19" t="s">
        <v>12</v>
      </c>
      <c r="S6" s="19" t="s">
        <v>13</v>
      </c>
      <c r="T6" s="19" t="s">
        <v>43</v>
      </c>
      <c r="U6" s="19" t="s">
        <v>36</v>
      </c>
    </row>
    <row r="7" spans="1:21" ht="30" customHeight="1" x14ac:dyDescent="0.2">
      <c r="A7" s="5">
        <v>2</v>
      </c>
      <c r="B7" s="5">
        <f>ROUNDUP('Demand Forecasting'!G7,0)</f>
        <v>11</v>
      </c>
      <c r="C7" s="1"/>
      <c r="D7" s="19" t="s">
        <v>44</v>
      </c>
      <c r="E7" s="5">
        <f>3%*E20/E8</f>
        <v>2.4E-2</v>
      </c>
      <c r="F7" s="1"/>
      <c r="G7" s="5">
        <v>1</v>
      </c>
      <c r="H7" s="11">
        <v>6</v>
      </c>
      <c r="I7" s="14">
        <v>158.33333333333317</v>
      </c>
      <c r="J7" s="12">
        <v>0</v>
      </c>
      <c r="K7" s="12">
        <v>3</v>
      </c>
      <c r="L7" s="12">
        <v>0</v>
      </c>
      <c r="M7" s="12">
        <v>0</v>
      </c>
      <c r="N7" s="12">
        <v>0</v>
      </c>
      <c r="O7" s="11">
        <v>11</v>
      </c>
      <c r="P7" s="12">
        <f>ROUNDUP(B6*1.1,0)</f>
        <v>11</v>
      </c>
      <c r="Q7" s="1"/>
      <c r="R7" s="5">
        <f>L6+O7+N7-P7-M6-L7+M7</f>
        <v>0</v>
      </c>
      <c r="S7" s="5">
        <f>O7-($E$6*H7+$E$7*I7)</f>
        <v>0</v>
      </c>
      <c r="T7" s="16">
        <f>H7*$E$8-I7</f>
        <v>21.666666666666828</v>
      </c>
      <c r="U7" s="5">
        <f>H6+J7-K7-H7</f>
        <v>0</v>
      </c>
    </row>
    <row r="8" spans="1:21" ht="30" customHeight="1" x14ac:dyDescent="0.2">
      <c r="A8" s="5">
        <v>3</v>
      </c>
      <c r="B8" s="5">
        <f>ROUNDUP('Demand Forecasting'!G8,0)</f>
        <v>11</v>
      </c>
      <c r="C8" s="1"/>
      <c r="D8" s="19" t="s">
        <v>42</v>
      </c>
      <c r="E8" s="5">
        <v>30</v>
      </c>
      <c r="F8" s="1"/>
      <c r="G8" s="5">
        <v>2</v>
      </c>
      <c r="H8" s="11">
        <v>7</v>
      </c>
      <c r="I8" s="14">
        <v>191.66666666666637</v>
      </c>
      <c r="J8" s="12">
        <v>1</v>
      </c>
      <c r="K8" s="12">
        <v>0</v>
      </c>
      <c r="L8" s="12">
        <v>0</v>
      </c>
      <c r="M8" s="12">
        <v>0</v>
      </c>
      <c r="N8" s="12">
        <v>0</v>
      </c>
      <c r="O8" s="11">
        <v>13</v>
      </c>
      <c r="P8" s="12">
        <f t="shared" ref="P8:P18" si="0">ROUNDUP(B7*1.1,0)</f>
        <v>13</v>
      </c>
      <c r="Q8" s="1"/>
      <c r="R8" s="5">
        <f t="shared" ref="R8:R18" si="1">L7+O8+N8-P8-M7-L8+M8</f>
        <v>0</v>
      </c>
      <c r="S8" s="5">
        <f>O8-($E$6*H8+$E$7*I8)</f>
        <v>0</v>
      </c>
      <c r="T8" s="16">
        <f t="shared" ref="T8:T18" si="2">H8*$E$8-I8</f>
        <v>18.333333333333627</v>
      </c>
      <c r="U8" s="5">
        <f t="shared" ref="U8:U18" si="3">H7+J8-K8-H8</f>
        <v>0</v>
      </c>
    </row>
    <row r="9" spans="1:21" ht="30" customHeight="1" x14ac:dyDescent="0.2">
      <c r="A9" s="5">
        <v>4</v>
      </c>
      <c r="B9" s="5">
        <f>ROUNDUP('Demand Forecasting'!G9,0)</f>
        <v>12</v>
      </c>
      <c r="C9" s="1"/>
      <c r="D9" s="19" t="s">
        <v>20</v>
      </c>
      <c r="E9" s="5">
        <v>1000</v>
      </c>
      <c r="F9" s="1"/>
      <c r="G9" s="5">
        <v>3</v>
      </c>
      <c r="H9" s="11">
        <v>7</v>
      </c>
      <c r="I9" s="14">
        <v>191.66666666666652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1">
        <v>13</v>
      </c>
      <c r="P9" s="12">
        <f t="shared" si="0"/>
        <v>13</v>
      </c>
      <c r="Q9" s="1"/>
      <c r="R9" s="5">
        <f t="shared" si="1"/>
        <v>0</v>
      </c>
      <c r="S9" s="5">
        <f t="shared" ref="S9:S18" si="4">O9-($E$6*H9+$E$7*I9)</f>
        <v>0</v>
      </c>
      <c r="T9" s="16">
        <f t="shared" si="2"/>
        <v>18.333333333333485</v>
      </c>
      <c r="U9" s="5">
        <f t="shared" si="3"/>
        <v>0</v>
      </c>
    </row>
    <row r="10" spans="1:21" ht="30" customHeight="1" x14ac:dyDescent="0.2">
      <c r="A10" s="5">
        <v>5</v>
      </c>
      <c r="B10" s="5">
        <f>ROUNDUP('Demand Forecasting'!G10,0)</f>
        <v>13</v>
      </c>
      <c r="C10" s="1"/>
      <c r="D10" s="19" t="s">
        <v>41</v>
      </c>
      <c r="E10" s="12">
        <v>500</v>
      </c>
      <c r="F10" s="1"/>
      <c r="G10" s="5">
        <v>4</v>
      </c>
      <c r="H10" s="11">
        <v>8</v>
      </c>
      <c r="I10" s="14">
        <v>183.33333333333312</v>
      </c>
      <c r="J10" s="12">
        <v>1</v>
      </c>
      <c r="K10" s="12">
        <v>0</v>
      </c>
      <c r="L10" s="12">
        <v>0</v>
      </c>
      <c r="M10" s="12">
        <v>0</v>
      </c>
      <c r="N10" s="12">
        <v>0</v>
      </c>
      <c r="O10" s="11">
        <v>14</v>
      </c>
      <c r="P10" s="12">
        <f t="shared" si="0"/>
        <v>14</v>
      </c>
      <c r="Q10" s="1"/>
      <c r="R10" s="5">
        <f t="shared" si="1"/>
        <v>0</v>
      </c>
      <c r="S10" s="5">
        <f t="shared" si="4"/>
        <v>0</v>
      </c>
      <c r="T10" s="16">
        <f t="shared" si="2"/>
        <v>56.666666666666885</v>
      </c>
      <c r="U10" s="5">
        <f t="shared" si="3"/>
        <v>0</v>
      </c>
    </row>
    <row r="11" spans="1:21" ht="30" customHeight="1" x14ac:dyDescent="0.2">
      <c r="A11" s="5">
        <v>6</v>
      </c>
      <c r="B11" s="5">
        <f>ROUNDUP('Demand Forecasting'!G11,0)</f>
        <v>14</v>
      </c>
      <c r="C11" s="1"/>
      <c r="D11" s="19" t="s">
        <v>21</v>
      </c>
      <c r="E11" s="5">
        <v>500</v>
      </c>
      <c r="F11" s="1"/>
      <c r="G11" s="5">
        <v>5</v>
      </c>
      <c r="H11" s="11">
        <v>8</v>
      </c>
      <c r="I11" s="14">
        <v>224.9999999999998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1">
        <v>15</v>
      </c>
      <c r="P11" s="12">
        <f t="shared" si="0"/>
        <v>15</v>
      </c>
      <c r="Q11" s="1"/>
      <c r="R11" s="5">
        <f t="shared" si="1"/>
        <v>0</v>
      </c>
      <c r="S11" s="5">
        <f t="shared" si="4"/>
        <v>0</v>
      </c>
      <c r="T11" s="16">
        <f t="shared" si="2"/>
        <v>15.000000000000199</v>
      </c>
      <c r="U11" s="5">
        <f t="shared" si="3"/>
        <v>0</v>
      </c>
    </row>
    <row r="12" spans="1:21" ht="30" customHeight="1" x14ac:dyDescent="0.2">
      <c r="A12" s="5">
        <v>7</v>
      </c>
      <c r="B12" s="5">
        <f>ROUNDUP('Demand Forecasting'!G12,0)</f>
        <v>14</v>
      </c>
      <c r="C12" s="1"/>
      <c r="D12" s="19" t="s">
        <v>40</v>
      </c>
      <c r="E12" s="5">
        <v>1500</v>
      </c>
      <c r="F12" s="1"/>
      <c r="G12" s="5">
        <v>6</v>
      </c>
      <c r="H12" s="11">
        <v>9</v>
      </c>
      <c r="I12" s="14">
        <v>216.66666666666643</v>
      </c>
      <c r="J12" s="12">
        <v>1</v>
      </c>
      <c r="K12" s="12">
        <v>0</v>
      </c>
      <c r="L12" s="12">
        <v>0</v>
      </c>
      <c r="M12" s="12">
        <v>0</v>
      </c>
      <c r="N12" s="12">
        <v>0</v>
      </c>
      <c r="O12" s="11">
        <v>16</v>
      </c>
      <c r="P12" s="12">
        <f t="shared" si="0"/>
        <v>16</v>
      </c>
      <c r="Q12" s="1"/>
      <c r="R12" s="5">
        <f t="shared" si="1"/>
        <v>0</v>
      </c>
      <c r="S12" s="5">
        <f t="shared" si="4"/>
        <v>0</v>
      </c>
      <c r="T12" s="16">
        <f t="shared" si="2"/>
        <v>53.33333333333357</v>
      </c>
      <c r="U12" s="5">
        <f t="shared" si="3"/>
        <v>0</v>
      </c>
    </row>
    <row r="13" spans="1:21" ht="30" customHeight="1" x14ac:dyDescent="0.2">
      <c r="A13" s="5">
        <v>8</v>
      </c>
      <c r="B13" s="5">
        <f>ROUNDUP('Demand Forecasting'!G13,0)</f>
        <v>15</v>
      </c>
      <c r="C13" s="1"/>
      <c r="D13" s="19" t="s">
        <v>31</v>
      </c>
      <c r="E13" s="5">
        <v>12000</v>
      </c>
      <c r="F13" s="1"/>
      <c r="G13" s="5">
        <v>7</v>
      </c>
      <c r="H13" s="11">
        <v>9</v>
      </c>
      <c r="I13" s="14">
        <v>216.66666666666646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1">
        <v>16</v>
      </c>
      <c r="P13" s="12">
        <f t="shared" si="0"/>
        <v>16</v>
      </c>
      <c r="Q13" s="1"/>
      <c r="R13" s="5">
        <f t="shared" si="1"/>
        <v>0</v>
      </c>
      <c r="S13" s="5">
        <f>O13-($E$6*H13+$E$7*I13)</f>
        <v>0</v>
      </c>
      <c r="T13" s="16">
        <f t="shared" si="2"/>
        <v>53.333333333333542</v>
      </c>
      <c r="U13" s="5">
        <f t="shared" si="3"/>
        <v>0</v>
      </c>
    </row>
    <row r="14" spans="1:21" ht="30" customHeight="1" x14ac:dyDescent="0.2">
      <c r="A14" s="5">
        <v>9</v>
      </c>
      <c r="B14" s="5">
        <f>ROUNDUP('Demand Forecasting'!G14,0)</f>
        <v>16</v>
      </c>
      <c r="C14" s="1"/>
      <c r="D14" s="19" t="s">
        <v>22</v>
      </c>
      <c r="E14" s="5">
        <v>100</v>
      </c>
      <c r="F14" s="1"/>
      <c r="G14" s="5">
        <v>8</v>
      </c>
      <c r="H14" s="11">
        <v>9</v>
      </c>
      <c r="I14" s="14">
        <v>258.33333333333303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1">
        <v>17</v>
      </c>
      <c r="P14" s="12">
        <f t="shared" si="0"/>
        <v>17</v>
      </c>
      <c r="Q14" s="1"/>
      <c r="R14" s="5">
        <f t="shared" si="1"/>
        <v>0</v>
      </c>
      <c r="S14" s="5">
        <f t="shared" si="4"/>
        <v>0</v>
      </c>
      <c r="T14" s="16">
        <f t="shared" si="2"/>
        <v>11.66666666666697</v>
      </c>
      <c r="U14" s="5">
        <f t="shared" si="3"/>
        <v>0</v>
      </c>
    </row>
    <row r="15" spans="1:21" ht="30" customHeight="1" x14ac:dyDescent="0.2">
      <c r="A15" s="5">
        <v>10</v>
      </c>
      <c r="B15" s="5">
        <f>ROUNDUP('Demand Forecasting'!G15,0)</f>
        <v>16</v>
      </c>
      <c r="C15" s="1"/>
      <c r="D15" s="19" t="s">
        <v>23</v>
      </c>
      <c r="E15" s="5">
        <v>50000</v>
      </c>
      <c r="F15" s="1"/>
      <c r="G15" s="5">
        <v>9</v>
      </c>
      <c r="H15" s="11">
        <v>10</v>
      </c>
      <c r="I15" s="14">
        <v>249.99999999999974</v>
      </c>
      <c r="J15" s="12">
        <v>1</v>
      </c>
      <c r="K15" s="12">
        <v>0</v>
      </c>
      <c r="L15" s="12">
        <v>0</v>
      </c>
      <c r="M15" s="12">
        <v>0</v>
      </c>
      <c r="N15" s="12">
        <v>0</v>
      </c>
      <c r="O15" s="11">
        <v>18</v>
      </c>
      <c r="P15" s="12">
        <f t="shared" si="0"/>
        <v>18</v>
      </c>
      <c r="Q15" s="1"/>
      <c r="R15" s="5">
        <f t="shared" si="1"/>
        <v>0</v>
      </c>
      <c r="S15" s="5">
        <f t="shared" si="4"/>
        <v>0</v>
      </c>
      <c r="T15" s="16">
        <f t="shared" si="2"/>
        <v>50.000000000000256</v>
      </c>
      <c r="U15" s="5">
        <f t="shared" si="3"/>
        <v>0</v>
      </c>
    </row>
    <row r="16" spans="1:21" ht="30" customHeight="1" x14ac:dyDescent="0.2">
      <c r="A16" s="5">
        <v>11</v>
      </c>
      <c r="B16" s="5">
        <f>ROUNDUP('Demand Forecasting'!G16,0)</f>
        <v>17</v>
      </c>
      <c r="C16" s="1"/>
      <c r="D16" s="19" t="s">
        <v>24</v>
      </c>
      <c r="E16" s="5">
        <v>0</v>
      </c>
      <c r="F16" s="1"/>
      <c r="G16" s="5">
        <v>10</v>
      </c>
      <c r="H16" s="11">
        <v>10</v>
      </c>
      <c r="I16" s="14">
        <v>249.99999999999972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1">
        <v>18</v>
      </c>
      <c r="P16" s="12">
        <f t="shared" si="0"/>
        <v>18</v>
      </c>
      <c r="Q16" s="1"/>
      <c r="R16" s="5">
        <f t="shared" si="1"/>
        <v>0</v>
      </c>
      <c r="S16" s="5">
        <f t="shared" si="4"/>
        <v>0</v>
      </c>
      <c r="T16" s="16">
        <f t="shared" si="2"/>
        <v>50.000000000000284</v>
      </c>
      <c r="U16" s="5">
        <f t="shared" si="3"/>
        <v>0</v>
      </c>
    </row>
    <row r="17" spans="1:21" ht="30" customHeight="1" x14ac:dyDescent="0.2">
      <c r="A17" s="5">
        <v>12</v>
      </c>
      <c r="B17" s="5">
        <f>ROUNDUP('Demand Forecasting'!G17,0)</f>
        <v>18</v>
      </c>
      <c r="C17" s="4"/>
      <c r="D17" s="19" t="s">
        <v>25</v>
      </c>
      <c r="E17" s="5">
        <v>0</v>
      </c>
      <c r="F17" s="1"/>
      <c r="G17" s="5">
        <v>11</v>
      </c>
      <c r="H17" s="11">
        <v>10</v>
      </c>
      <c r="I17" s="14">
        <v>291.6666666666664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1">
        <v>19</v>
      </c>
      <c r="P17" s="12">
        <f t="shared" si="0"/>
        <v>19</v>
      </c>
      <c r="Q17" s="1"/>
      <c r="R17" s="5">
        <f t="shared" si="1"/>
        <v>0</v>
      </c>
      <c r="S17" s="5">
        <f t="shared" si="4"/>
        <v>0</v>
      </c>
      <c r="T17" s="16">
        <f t="shared" si="2"/>
        <v>8.3333333333335986</v>
      </c>
      <c r="U17" s="5">
        <f t="shared" si="3"/>
        <v>0</v>
      </c>
    </row>
    <row r="18" spans="1:21" ht="30" customHeight="1" x14ac:dyDescent="0.2">
      <c r="D18" s="17" t="s">
        <v>39</v>
      </c>
      <c r="E18" s="5">
        <v>0</v>
      </c>
      <c r="F18" s="1"/>
      <c r="G18" s="5">
        <v>12</v>
      </c>
      <c r="H18" s="11">
        <v>11</v>
      </c>
      <c r="I18" s="14">
        <v>283.33333333333303</v>
      </c>
      <c r="J18" s="12">
        <v>1</v>
      </c>
      <c r="K18" s="12">
        <v>0</v>
      </c>
      <c r="L18" s="12">
        <v>0</v>
      </c>
      <c r="M18" s="12">
        <v>0</v>
      </c>
      <c r="N18" s="12">
        <v>0</v>
      </c>
      <c r="O18" s="11">
        <v>20</v>
      </c>
      <c r="P18" s="12">
        <f t="shared" si="0"/>
        <v>20</v>
      </c>
      <c r="Q18" s="1"/>
      <c r="R18" s="5">
        <f t="shared" si="1"/>
        <v>0</v>
      </c>
      <c r="S18" s="5">
        <f t="shared" si="4"/>
        <v>0</v>
      </c>
      <c r="T18" s="16">
        <f t="shared" si="2"/>
        <v>46.66666666666697</v>
      </c>
      <c r="U18" s="5">
        <f t="shared" si="3"/>
        <v>0</v>
      </c>
    </row>
    <row r="19" spans="1:21" ht="30" customHeight="1" x14ac:dyDescent="0.2">
      <c r="D19" s="17" t="s">
        <v>26</v>
      </c>
      <c r="E19" s="5">
        <v>9</v>
      </c>
      <c r="F19" s="1"/>
      <c r="G19" s="50" t="s">
        <v>11</v>
      </c>
      <c r="H19" s="19" t="s">
        <v>14</v>
      </c>
      <c r="I19" s="19" t="s">
        <v>15</v>
      </c>
      <c r="J19" s="19" t="s">
        <v>34</v>
      </c>
      <c r="K19" s="19" t="s">
        <v>35</v>
      </c>
      <c r="L19" s="19" t="s">
        <v>16</v>
      </c>
      <c r="M19" s="19" t="s">
        <v>30</v>
      </c>
      <c r="N19" s="19" t="s">
        <v>27</v>
      </c>
      <c r="O19" s="19" t="s">
        <v>17</v>
      </c>
      <c r="P19" s="19" t="s">
        <v>51</v>
      </c>
      <c r="Q19" s="1"/>
      <c r="R19" s="1"/>
      <c r="S19" s="1"/>
      <c r="T19" s="1"/>
      <c r="U19" s="1"/>
    </row>
    <row r="20" spans="1:21" ht="30" customHeight="1" x14ac:dyDescent="0.2">
      <c r="D20" s="17" t="s">
        <v>38</v>
      </c>
      <c r="E20" s="5">
        <v>24</v>
      </c>
      <c r="F20" s="1"/>
      <c r="G20" s="51"/>
      <c r="H20" s="8">
        <f>$E$13*SUM(H7:H18)</f>
        <v>1248000</v>
      </c>
      <c r="I20" s="15">
        <f>$E$14*SUM(I7:I18)</f>
        <v>271666.6666666664</v>
      </c>
      <c r="J20" s="8">
        <f>$E$11*SUM(J7:J18)</f>
        <v>2500</v>
      </c>
      <c r="K20" s="8">
        <f>$E$12*SUM(K7:K18)</f>
        <v>4500</v>
      </c>
      <c r="L20" s="8">
        <f>$E$9*SUM(L7:L18)</f>
        <v>0</v>
      </c>
      <c r="M20" s="8">
        <f>$E$10*SUM(M7:M18)</f>
        <v>0</v>
      </c>
      <c r="N20" s="8">
        <f>$E$15*SUM(N7:N18)</f>
        <v>0</v>
      </c>
      <c r="O20" s="8">
        <f>$E$5*SUM(O7:O18)</f>
        <v>2850000</v>
      </c>
      <c r="P20" s="28">
        <f>(E21*SUM(P7:P18))-SUM(H20:O20)</f>
        <v>6453333.333333334</v>
      </c>
      <c r="Q20" s="1"/>
      <c r="R20" s="1"/>
      <c r="S20" s="1"/>
      <c r="T20" s="1"/>
      <c r="U20" s="1"/>
    </row>
    <row r="21" spans="1:21" ht="30" customHeight="1" x14ac:dyDescent="0.2">
      <c r="D21" s="19" t="s">
        <v>50</v>
      </c>
      <c r="E21" s="5">
        <f>60000*95%</f>
        <v>57000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30" customHeight="1" x14ac:dyDescent="0.2"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30" customHeight="1" x14ac:dyDescent="0.2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30" customHeight="1" x14ac:dyDescent="0.2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30" customHeight="1" x14ac:dyDescent="0.2"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30" customHeight="1" x14ac:dyDescent="0.2"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30" customHeight="1" x14ac:dyDescent="0.2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30" customHeight="1" x14ac:dyDescent="0.2"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30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30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30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30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U32" s="1"/>
    </row>
    <row r="33" spans="1:21" ht="30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U33" s="1"/>
    </row>
    <row r="34" spans="1:21" ht="30" customHeight="1" x14ac:dyDescent="0.2"/>
    <row r="35" spans="1:21" ht="30" customHeight="1" x14ac:dyDescent="0.2"/>
    <row r="36" spans="1:21" ht="30" customHeight="1" x14ac:dyDescent="0.2"/>
  </sheetData>
  <mergeCells count="4">
    <mergeCell ref="A4:E4"/>
    <mergeCell ref="G4:P4"/>
    <mergeCell ref="R4:U4"/>
    <mergeCell ref="G19:G20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A2C3C-BD9F-E84D-87A1-7097D659F22F}">
  <dimension ref="A1:U36"/>
  <sheetViews>
    <sheetView showGridLines="0" topLeftCell="D15" zoomScale="125" workbookViewId="0">
      <selection activeCell="G4" sqref="G4:P20"/>
    </sheetView>
  </sheetViews>
  <sheetFormatPr baseColWidth="10" defaultColWidth="8.83203125" defaultRowHeight="13" x14ac:dyDescent="0.2"/>
  <cols>
    <col min="1" max="1" width="20.83203125" style="2" customWidth="1"/>
    <col min="2" max="2" width="20.1640625" style="2" customWidth="1"/>
    <col min="3" max="3" width="0.6640625" style="2" customWidth="1"/>
    <col min="4" max="4" width="43" style="2" customWidth="1"/>
    <col min="5" max="5" width="20.83203125" style="2" customWidth="1"/>
    <col min="6" max="6" width="1" style="2" customWidth="1"/>
    <col min="7" max="16" width="20.83203125" style="2" customWidth="1"/>
    <col min="17" max="17" width="0.6640625" style="2" customWidth="1"/>
    <col min="18" max="20" width="20.83203125" style="2" customWidth="1"/>
    <col min="21" max="22" width="20.1640625" style="2" customWidth="1"/>
    <col min="23" max="16384" width="8.83203125" style="2"/>
  </cols>
  <sheetData>
    <row r="1" spans="1:21" ht="30" customHeight="1" x14ac:dyDescent="0.2">
      <c r="F1" s="1"/>
      <c r="U1" s="1"/>
    </row>
    <row r="2" spans="1:21" ht="30" customHeight="1" x14ac:dyDescent="0.2">
      <c r="F2" s="1"/>
      <c r="U2" s="1"/>
    </row>
    <row r="3" spans="1:21" ht="30" customHeight="1" x14ac:dyDescent="0.2">
      <c r="F3" s="1"/>
      <c r="U3" s="1"/>
    </row>
    <row r="4" spans="1:21" ht="30" customHeight="1" x14ac:dyDescent="0.2">
      <c r="A4" s="46" t="s">
        <v>18</v>
      </c>
      <c r="B4" s="46"/>
      <c r="C4" s="46"/>
      <c r="D4" s="46"/>
      <c r="E4" s="46"/>
      <c r="F4" s="1"/>
      <c r="G4" s="47" t="s">
        <v>4</v>
      </c>
      <c r="H4" s="48"/>
      <c r="I4" s="48"/>
      <c r="J4" s="48"/>
      <c r="K4" s="48"/>
      <c r="L4" s="48"/>
      <c r="M4" s="48"/>
      <c r="N4" s="48"/>
      <c r="O4" s="48"/>
      <c r="P4" s="49"/>
      <c r="Q4" s="1"/>
      <c r="R4" s="52" t="s">
        <v>2</v>
      </c>
      <c r="S4" s="52"/>
      <c r="T4" s="52"/>
      <c r="U4" s="52"/>
    </row>
    <row r="5" spans="1:21" ht="30" customHeight="1" x14ac:dyDescent="0.2">
      <c r="A5" s="18" t="s">
        <v>0</v>
      </c>
      <c r="B5" s="18" t="s">
        <v>49</v>
      </c>
      <c r="C5" s="3"/>
      <c r="D5" s="19" t="s">
        <v>19</v>
      </c>
      <c r="E5" s="5">
        <v>15000</v>
      </c>
      <c r="F5" s="1"/>
      <c r="G5" s="19" t="s">
        <v>0</v>
      </c>
      <c r="H5" s="19" t="s">
        <v>5</v>
      </c>
      <c r="I5" s="19" t="s">
        <v>6</v>
      </c>
      <c r="J5" s="19" t="s">
        <v>32</v>
      </c>
      <c r="K5" s="19" t="s">
        <v>33</v>
      </c>
      <c r="L5" s="19" t="s">
        <v>7</v>
      </c>
      <c r="M5" s="19" t="s">
        <v>29</v>
      </c>
      <c r="N5" s="19" t="s">
        <v>28</v>
      </c>
      <c r="O5" s="19" t="s">
        <v>8</v>
      </c>
      <c r="P5" s="19" t="s">
        <v>48</v>
      </c>
      <c r="Q5" s="1"/>
      <c r="R5" s="19" t="s">
        <v>3</v>
      </c>
      <c r="S5" s="19" t="s">
        <v>3</v>
      </c>
      <c r="T5" s="19" t="s">
        <v>45</v>
      </c>
      <c r="U5" s="19" t="s">
        <v>3</v>
      </c>
    </row>
    <row r="6" spans="1:21" ht="30" customHeight="1" x14ac:dyDescent="0.2">
      <c r="A6" s="5">
        <v>1</v>
      </c>
      <c r="B6" s="5">
        <f>ROUNDUP('Demand Forecasting'!G6,0)</f>
        <v>10</v>
      </c>
      <c r="C6" s="1"/>
      <c r="D6" s="19" t="s">
        <v>37</v>
      </c>
      <c r="E6" s="5">
        <f>5%*E20</f>
        <v>1.2000000000000002</v>
      </c>
      <c r="F6" s="1"/>
      <c r="G6" s="5">
        <v>0</v>
      </c>
      <c r="H6" s="6">
        <v>9</v>
      </c>
      <c r="I6" s="5" t="s">
        <v>9</v>
      </c>
      <c r="J6" s="5" t="s">
        <v>9</v>
      </c>
      <c r="K6" s="5" t="s">
        <v>9</v>
      </c>
      <c r="L6" s="6">
        <v>0</v>
      </c>
      <c r="M6" s="6">
        <v>0</v>
      </c>
      <c r="N6" s="5" t="s">
        <v>9</v>
      </c>
      <c r="O6" s="5" t="s">
        <v>9</v>
      </c>
      <c r="P6" s="5" t="s">
        <v>9</v>
      </c>
      <c r="Q6" s="1"/>
      <c r="R6" s="19" t="s">
        <v>12</v>
      </c>
      <c r="S6" s="19" t="s">
        <v>13</v>
      </c>
      <c r="T6" s="19" t="s">
        <v>43</v>
      </c>
      <c r="U6" s="19" t="s">
        <v>36</v>
      </c>
    </row>
    <row r="7" spans="1:21" ht="30" customHeight="1" x14ac:dyDescent="0.2">
      <c r="A7" s="5">
        <v>2</v>
      </c>
      <c r="B7" s="5">
        <f>ROUNDUP('Demand Forecasting'!G7,0)</f>
        <v>11</v>
      </c>
      <c r="C7" s="1"/>
      <c r="D7" s="19" t="s">
        <v>44</v>
      </c>
      <c r="E7" s="5">
        <f>3%*E20/E8</f>
        <v>2.4E-2</v>
      </c>
      <c r="F7" s="1"/>
      <c r="G7" s="5">
        <v>1</v>
      </c>
      <c r="H7" s="11">
        <v>7</v>
      </c>
      <c r="I7" s="14">
        <v>149.99999999999989</v>
      </c>
      <c r="J7" s="12">
        <v>0</v>
      </c>
      <c r="K7" s="12">
        <v>2</v>
      </c>
      <c r="L7" s="12">
        <v>0</v>
      </c>
      <c r="M7" s="12">
        <v>0</v>
      </c>
      <c r="N7" s="12">
        <v>0</v>
      </c>
      <c r="O7" s="11">
        <v>12</v>
      </c>
      <c r="P7" s="12">
        <f>ROUNDUP(B6*1.2,0)</f>
        <v>12</v>
      </c>
      <c r="Q7" s="1"/>
      <c r="R7" s="5">
        <f>L6+O7+N7-P7-M6-L7+M7</f>
        <v>0</v>
      </c>
      <c r="S7" s="5">
        <f>O7-($E$6*H7+$E$7*I7)</f>
        <v>0</v>
      </c>
      <c r="T7" s="16">
        <f>H7*$E$8-I7</f>
        <v>60.000000000000114</v>
      </c>
      <c r="U7" s="5">
        <f>H6+J7-K7-H7</f>
        <v>0</v>
      </c>
    </row>
    <row r="8" spans="1:21" ht="30" customHeight="1" x14ac:dyDescent="0.2">
      <c r="A8" s="5">
        <v>3</v>
      </c>
      <c r="B8" s="5">
        <f>ROUNDUP('Demand Forecasting'!G8,0)</f>
        <v>11</v>
      </c>
      <c r="C8" s="1"/>
      <c r="D8" s="19" t="s">
        <v>42</v>
      </c>
      <c r="E8" s="5">
        <v>30</v>
      </c>
      <c r="F8" s="1"/>
      <c r="G8" s="5">
        <v>2</v>
      </c>
      <c r="H8" s="11">
        <v>8</v>
      </c>
      <c r="I8" s="14">
        <v>183.33333333333312</v>
      </c>
      <c r="J8" s="12">
        <v>1</v>
      </c>
      <c r="K8" s="12">
        <v>0</v>
      </c>
      <c r="L8" s="12">
        <v>0</v>
      </c>
      <c r="M8" s="12">
        <v>0</v>
      </c>
      <c r="N8" s="12">
        <v>0</v>
      </c>
      <c r="O8" s="11">
        <v>14</v>
      </c>
      <c r="P8" s="12">
        <f t="shared" ref="P8:P18" si="0">ROUNDUP(B7*1.2,0)</f>
        <v>14</v>
      </c>
      <c r="Q8" s="1"/>
      <c r="R8" s="5">
        <f t="shared" ref="R8:R18" si="1">L7+O8+N8-P8-M7-L8+M8</f>
        <v>0</v>
      </c>
      <c r="S8" s="5">
        <f>O8-($E$6*H8+$E$7*I8)</f>
        <v>0</v>
      </c>
      <c r="T8" s="16">
        <f t="shared" ref="T8:T18" si="2">H8*$E$8-I8</f>
        <v>56.666666666666885</v>
      </c>
      <c r="U8" s="5">
        <f t="shared" ref="U8:U18" si="3">H7+J8-K8-H8</f>
        <v>0</v>
      </c>
    </row>
    <row r="9" spans="1:21" ht="30" customHeight="1" x14ac:dyDescent="0.2">
      <c r="A9" s="5">
        <v>4</v>
      </c>
      <c r="B9" s="5">
        <f>ROUNDUP('Demand Forecasting'!G9,0)</f>
        <v>12</v>
      </c>
      <c r="C9" s="1"/>
      <c r="D9" s="19" t="s">
        <v>20</v>
      </c>
      <c r="E9" s="5">
        <v>1000</v>
      </c>
      <c r="F9" s="1"/>
      <c r="G9" s="5">
        <v>3</v>
      </c>
      <c r="H9" s="11">
        <v>8</v>
      </c>
      <c r="I9" s="14">
        <v>183.3333333333332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1">
        <v>14</v>
      </c>
      <c r="P9" s="12">
        <f t="shared" si="0"/>
        <v>14</v>
      </c>
      <c r="Q9" s="1"/>
      <c r="R9" s="5">
        <f t="shared" si="1"/>
        <v>0</v>
      </c>
      <c r="S9" s="5">
        <f t="shared" ref="S9:S18" si="4">O9-($E$6*H9+$E$7*I9)</f>
        <v>0</v>
      </c>
      <c r="T9" s="16">
        <f t="shared" si="2"/>
        <v>56.666666666666799</v>
      </c>
      <c r="U9" s="5">
        <f t="shared" si="3"/>
        <v>0</v>
      </c>
    </row>
    <row r="10" spans="1:21" ht="30" customHeight="1" x14ac:dyDescent="0.2">
      <c r="A10" s="5">
        <v>5</v>
      </c>
      <c r="B10" s="5">
        <f>ROUNDUP('Demand Forecasting'!G10,0)</f>
        <v>13</v>
      </c>
      <c r="C10" s="1"/>
      <c r="D10" s="19" t="s">
        <v>41</v>
      </c>
      <c r="E10" s="12">
        <v>500</v>
      </c>
      <c r="F10" s="1"/>
      <c r="G10" s="5">
        <v>4</v>
      </c>
      <c r="H10" s="11">
        <v>8</v>
      </c>
      <c r="I10" s="14">
        <v>224.99999999999974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1">
        <v>15</v>
      </c>
      <c r="P10" s="12">
        <f t="shared" si="0"/>
        <v>15</v>
      </c>
      <c r="Q10" s="1"/>
      <c r="R10" s="5">
        <f t="shared" si="1"/>
        <v>0</v>
      </c>
      <c r="S10" s="5">
        <f t="shared" si="4"/>
        <v>0</v>
      </c>
      <c r="T10" s="16">
        <f t="shared" si="2"/>
        <v>15.000000000000256</v>
      </c>
      <c r="U10" s="5">
        <f t="shared" si="3"/>
        <v>0</v>
      </c>
    </row>
    <row r="11" spans="1:21" ht="30" customHeight="1" x14ac:dyDescent="0.2">
      <c r="A11" s="5">
        <v>6</v>
      </c>
      <c r="B11" s="5">
        <f>ROUNDUP('Demand Forecasting'!G11,0)</f>
        <v>14</v>
      </c>
      <c r="C11" s="1"/>
      <c r="D11" s="19" t="s">
        <v>21</v>
      </c>
      <c r="E11" s="5">
        <v>500</v>
      </c>
      <c r="F11" s="1"/>
      <c r="G11" s="5">
        <v>5</v>
      </c>
      <c r="H11" s="11">
        <v>9</v>
      </c>
      <c r="I11" s="14">
        <v>216.66666666666646</v>
      </c>
      <c r="J11" s="12">
        <v>1</v>
      </c>
      <c r="K11" s="12">
        <v>0</v>
      </c>
      <c r="L11" s="12">
        <v>0</v>
      </c>
      <c r="M11" s="12">
        <v>0</v>
      </c>
      <c r="N11" s="12">
        <v>0</v>
      </c>
      <c r="O11" s="11">
        <v>16</v>
      </c>
      <c r="P11" s="12">
        <f t="shared" si="0"/>
        <v>16</v>
      </c>
      <c r="Q11" s="1"/>
      <c r="R11" s="5">
        <f t="shared" si="1"/>
        <v>0</v>
      </c>
      <c r="S11" s="5">
        <f t="shared" si="4"/>
        <v>0</v>
      </c>
      <c r="T11" s="16">
        <f t="shared" si="2"/>
        <v>53.333333333333542</v>
      </c>
      <c r="U11" s="5">
        <f t="shared" si="3"/>
        <v>0</v>
      </c>
    </row>
    <row r="12" spans="1:21" ht="30" customHeight="1" x14ac:dyDescent="0.2">
      <c r="A12" s="5">
        <v>7</v>
      </c>
      <c r="B12" s="5">
        <f>ROUNDUP('Demand Forecasting'!G12,0)</f>
        <v>14</v>
      </c>
      <c r="C12" s="1"/>
      <c r="D12" s="19" t="s">
        <v>40</v>
      </c>
      <c r="E12" s="5">
        <v>1500</v>
      </c>
      <c r="F12" s="1"/>
      <c r="G12" s="5">
        <v>6</v>
      </c>
      <c r="H12" s="11">
        <v>9</v>
      </c>
      <c r="I12" s="14">
        <v>258.33333333333303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1">
        <v>17</v>
      </c>
      <c r="P12" s="12">
        <f t="shared" si="0"/>
        <v>17</v>
      </c>
      <c r="Q12" s="1"/>
      <c r="R12" s="5">
        <f t="shared" si="1"/>
        <v>0</v>
      </c>
      <c r="S12" s="5">
        <f t="shared" si="4"/>
        <v>0</v>
      </c>
      <c r="T12" s="16">
        <f t="shared" si="2"/>
        <v>11.66666666666697</v>
      </c>
      <c r="U12" s="5">
        <f t="shared" si="3"/>
        <v>0</v>
      </c>
    </row>
    <row r="13" spans="1:21" ht="30" customHeight="1" x14ac:dyDescent="0.2">
      <c r="A13" s="5">
        <v>8</v>
      </c>
      <c r="B13" s="5">
        <f>ROUNDUP('Demand Forecasting'!G13,0)</f>
        <v>15</v>
      </c>
      <c r="C13" s="1"/>
      <c r="D13" s="19" t="s">
        <v>31</v>
      </c>
      <c r="E13" s="5">
        <v>12000</v>
      </c>
      <c r="F13" s="1"/>
      <c r="G13" s="5">
        <v>7</v>
      </c>
      <c r="H13" s="11">
        <v>9</v>
      </c>
      <c r="I13" s="14">
        <v>258.33333333333314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1">
        <v>17</v>
      </c>
      <c r="P13" s="12">
        <f t="shared" si="0"/>
        <v>17</v>
      </c>
      <c r="Q13" s="1"/>
      <c r="R13" s="5">
        <f t="shared" si="1"/>
        <v>0</v>
      </c>
      <c r="S13" s="5">
        <f>O13-($E$6*H13+$E$7*I13)</f>
        <v>0</v>
      </c>
      <c r="T13" s="16">
        <f t="shared" si="2"/>
        <v>11.666666666666856</v>
      </c>
      <c r="U13" s="5">
        <f t="shared" si="3"/>
        <v>0</v>
      </c>
    </row>
    <row r="14" spans="1:21" ht="30" customHeight="1" x14ac:dyDescent="0.2">
      <c r="A14" s="5">
        <v>9</v>
      </c>
      <c r="B14" s="5">
        <f>ROUNDUP('Demand Forecasting'!G14,0)</f>
        <v>16</v>
      </c>
      <c r="C14" s="1"/>
      <c r="D14" s="19" t="s">
        <v>22</v>
      </c>
      <c r="E14" s="5">
        <v>100</v>
      </c>
      <c r="F14" s="1"/>
      <c r="G14" s="5">
        <v>8</v>
      </c>
      <c r="H14" s="11">
        <v>10</v>
      </c>
      <c r="I14" s="14">
        <v>249.99999999999974</v>
      </c>
      <c r="J14" s="12">
        <v>1</v>
      </c>
      <c r="K14" s="12">
        <v>0</v>
      </c>
      <c r="L14" s="12">
        <v>0</v>
      </c>
      <c r="M14" s="12">
        <v>0</v>
      </c>
      <c r="N14" s="12">
        <v>0</v>
      </c>
      <c r="O14" s="11">
        <v>18</v>
      </c>
      <c r="P14" s="12">
        <f t="shared" si="0"/>
        <v>18</v>
      </c>
      <c r="Q14" s="1"/>
      <c r="R14" s="5">
        <f t="shared" si="1"/>
        <v>0</v>
      </c>
      <c r="S14" s="5">
        <f t="shared" si="4"/>
        <v>0</v>
      </c>
      <c r="T14" s="16">
        <f t="shared" si="2"/>
        <v>50.000000000000256</v>
      </c>
      <c r="U14" s="5">
        <f t="shared" si="3"/>
        <v>0</v>
      </c>
    </row>
    <row r="15" spans="1:21" ht="30" customHeight="1" x14ac:dyDescent="0.2">
      <c r="A15" s="5">
        <v>10</v>
      </c>
      <c r="B15" s="5">
        <f>ROUNDUP('Demand Forecasting'!G15,0)</f>
        <v>16</v>
      </c>
      <c r="C15" s="1"/>
      <c r="D15" s="19" t="s">
        <v>23</v>
      </c>
      <c r="E15" s="5">
        <v>50000</v>
      </c>
      <c r="F15" s="1"/>
      <c r="G15" s="5">
        <v>9</v>
      </c>
      <c r="H15" s="11">
        <v>11</v>
      </c>
      <c r="I15" s="14">
        <v>283.33333333333292</v>
      </c>
      <c r="J15" s="12">
        <v>1</v>
      </c>
      <c r="K15" s="12">
        <v>0</v>
      </c>
      <c r="L15" s="12">
        <v>0</v>
      </c>
      <c r="M15" s="12">
        <v>0</v>
      </c>
      <c r="N15" s="12">
        <v>0</v>
      </c>
      <c r="O15" s="11">
        <v>20</v>
      </c>
      <c r="P15" s="12">
        <f t="shared" si="0"/>
        <v>20</v>
      </c>
      <c r="Q15" s="1"/>
      <c r="R15" s="5">
        <f t="shared" si="1"/>
        <v>0</v>
      </c>
      <c r="S15" s="5">
        <f t="shared" si="4"/>
        <v>0</v>
      </c>
      <c r="T15" s="16">
        <f t="shared" si="2"/>
        <v>46.666666666667084</v>
      </c>
      <c r="U15" s="5">
        <f t="shared" si="3"/>
        <v>0</v>
      </c>
    </row>
    <row r="16" spans="1:21" ht="30" customHeight="1" x14ac:dyDescent="0.2">
      <c r="A16" s="5">
        <v>11</v>
      </c>
      <c r="B16" s="5">
        <f>ROUNDUP('Demand Forecasting'!G16,0)</f>
        <v>17</v>
      </c>
      <c r="C16" s="1"/>
      <c r="D16" s="19" t="s">
        <v>24</v>
      </c>
      <c r="E16" s="5">
        <v>0</v>
      </c>
      <c r="F16" s="1"/>
      <c r="G16" s="5">
        <v>10</v>
      </c>
      <c r="H16" s="11">
        <v>11</v>
      </c>
      <c r="I16" s="14">
        <v>283.33333333333303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1">
        <v>20</v>
      </c>
      <c r="P16" s="12">
        <f t="shared" si="0"/>
        <v>20</v>
      </c>
      <c r="Q16" s="1"/>
      <c r="R16" s="5">
        <f t="shared" si="1"/>
        <v>0</v>
      </c>
      <c r="S16" s="5">
        <f t="shared" si="4"/>
        <v>0</v>
      </c>
      <c r="T16" s="16">
        <f t="shared" si="2"/>
        <v>46.66666666666697</v>
      </c>
      <c r="U16" s="5">
        <f t="shared" si="3"/>
        <v>0</v>
      </c>
    </row>
    <row r="17" spans="1:21" ht="30" customHeight="1" x14ac:dyDescent="0.2">
      <c r="A17" s="5">
        <v>12</v>
      </c>
      <c r="B17" s="5">
        <f>ROUNDUP('Demand Forecasting'!G17,0)</f>
        <v>18</v>
      </c>
      <c r="C17" s="4"/>
      <c r="D17" s="19" t="s">
        <v>25</v>
      </c>
      <c r="E17" s="5">
        <v>0</v>
      </c>
      <c r="F17" s="1"/>
      <c r="G17" s="5">
        <v>11</v>
      </c>
      <c r="H17" s="11">
        <v>11</v>
      </c>
      <c r="I17" s="14">
        <v>324.99999999999972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1">
        <v>21</v>
      </c>
      <c r="P17" s="12">
        <f t="shared" si="0"/>
        <v>21</v>
      </c>
      <c r="Q17" s="1"/>
      <c r="R17" s="5">
        <f t="shared" si="1"/>
        <v>0</v>
      </c>
      <c r="S17" s="5">
        <f t="shared" si="4"/>
        <v>0</v>
      </c>
      <c r="T17" s="16">
        <f t="shared" si="2"/>
        <v>5.0000000000002842</v>
      </c>
      <c r="U17" s="5">
        <f t="shared" si="3"/>
        <v>0</v>
      </c>
    </row>
    <row r="18" spans="1:21" ht="30" customHeight="1" x14ac:dyDescent="0.2">
      <c r="D18" s="17" t="s">
        <v>39</v>
      </c>
      <c r="E18" s="5">
        <v>0</v>
      </c>
      <c r="F18" s="1"/>
      <c r="G18" s="5">
        <v>12</v>
      </c>
      <c r="H18" s="11">
        <v>12</v>
      </c>
      <c r="I18" s="14">
        <v>316.66666666666629</v>
      </c>
      <c r="J18" s="12">
        <v>1</v>
      </c>
      <c r="K18" s="12">
        <v>0</v>
      </c>
      <c r="L18" s="12">
        <v>0</v>
      </c>
      <c r="M18" s="12">
        <v>0</v>
      </c>
      <c r="N18" s="12">
        <v>0</v>
      </c>
      <c r="O18" s="11">
        <v>22</v>
      </c>
      <c r="P18" s="12">
        <f t="shared" si="0"/>
        <v>22</v>
      </c>
      <c r="Q18" s="1"/>
      <c r="R18" s="5">
        <f t="shared" si="1"/>
        <v>0</v>
      </c>
      <c r="S18" s="5">
        <f t="shared" si="4"/>
        <v>0</v>
      </c>
      <c r="T18" s="16">
        <f t="shared" si="2"/>
        <v>43.333333333333712</v>
      </c>
      <c r="U18" s="5">
        <f t="shared" si="3"/>
        <v>0</v>
      </c>
    </row>
    <row r="19" spans="1:21" ht="30" customHeight="1" x14ac:dyDescent="0.2">
      <c r="D19" s="17" t="s">
        <v>26</v>
      </c>
      <c r="E19" s="5">
        <v>9</v>
      </c>
      <c r="F19" s="1"/>
      <c r="G19" s="50" t="s">
        <v>11</v>
      </c>
      <c r="H19" s="19" t="s">
        <v>14</v>
      </c>
      <c r="I19" s="19" t="s">
        <v>15</v>
      </c>
      <c r="J19" s="19" t="s">
        <v>34</v>
      </c>
      <c r="K19" s="19" t="s">
        <v>35</v>
      </c>
      <c r="L19" s="19" t="s">
        <v>16</v>
      </c>
      <c r="M19" s="19" t="s">
        <v>30</v>
      </c>
      <c r="N19" s="19" t="s">
        <v>27</v>
      </c>
      <c r="O19" s="19" t="s">
        <v>17</v>
      </c>
      <c r="P19" s="19" t="s">
        <v>51</v>
      </c>
      <c r="Q19" s="1"/>
      <c r="R19" s="1"/>
      <c r="S19" s="1"/>
      <c r="T19" s="1"/>
      <c r="U19" s="1"/>
    </row>
    <row r="20" spans="1:21" ht="30" customHeight="1" x14ac:dyDescent="0.2">
      <c r="D20" s="17" t="s">
        <v>38</v>
      </c>
      <c r="E20" s="5">
        <v>24</v>
      </c>
      <c r="F20" s="1"/>
      <c r="G20" s="51"/>
      <c r="H20" s="8">
        <f>$E$13*SUM(H7:H18)</f>
        <v>1356000</v>
      </c>
      <c r="I20" s="15">
        <f>$E$14*SUM(I7:I18)</f>
        <v>293333.33333333302</v>
      </c>
      <c r="J20" s="8">
        <f>$E$11*SUM(J7:J18)</f>
        <v>2500</v>
      </c>
      <c r="K20" s="8">
        <f>$E$12*SUM(K7:K18)</f>
        <v>3000</v>
      </c>
      <c r="L20" s="8">
        <f>$E$9*SUM(L7:L18)</f>
        <v>0</v>
      </c>
      <c r="M20" s="8">
        <f>$E$10*SUM(M7:M18)</f>
        <v>0</v>
      </c>
      <c r="N20" s="8">
        <f>$E$15*SUM(N7:N18)</f>
        <v>0</v>
      </c>
      <c r="O20" s="8">
        <f>$E$5*SUM(O7:O18)</f>
        <v>3090000</v>
      </c>
      <c r="P20" s="28">
        <f>(E21*SUM(P7:P18))-SUM(H20:O20)</f>
        <v>6379166.666666667</v>
      </c>
      <c r="Q20" s="1"/>
      <c r="R20" s="1"/>
      <c r="S20" s="1"/>
      <c r="T20" s="1"/>
      <c r="U20" s="1"/>
    </row>
    <row r="21" spans="1:21" ht="30" customHeight="1" x14ac:dyDescent="0.2">
      <c r="D21" s="19" t="s">
        <v>50</v>
      </c>
      <c r="E21" s="5">
        <f>60000*90%</f>
        <v>54000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30" customHeight="1" x14ac:dyDescent="0.2"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30" customHeight="1" x14ac:dyDescent="0.2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30" customHeight="1" x14ac:dyDescent="0.2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30" customHeight="1" x14ac:dyDescent="0.2"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30" customHeight="1" x14ac:dyDescent="0.2"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30" customHeight="1" x14ac:dyDescent="0.2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30" customHeight="1" x14ac:dyDescent="0.2"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30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30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30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30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U32" s="1"/>
    </row>
    <row r="33" spans="1:21" ht="30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U33" s="1"/>
    </row>
    <row r="34" spans="1:21" ht="30" customHeight="1" x14ac:dyDescent="0.2"/>
    <row r="35" spans="1:21" ht="30" customHeight="1" x14ac:dyDescent="0.2"/>
    <row r="36" spans="1:21" ht="30" customHeight="1" x14ac:dyDescent="0.2"/>
  </sheetData>
  <mergeCells count="4">
    <mergeCell ref="A4:E4"/>
    <mergeCell ref="G4:P4"/>
    <mergeCell ref="R4:U4"/>
    <mergeCell ref="G19:G20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3BC3E-11EE-0043-A346-323DBBE593BF}">
  <dimension ref="A1:U36"/>
  <sheetViews>
    <sheetView showGridLines="0" tabSelected="1" topLeftCell="B2" zoomScale="67" workbookViewId="0">
      <selection activeCell="L14" sqref="L14"/>
    </sheetView>
  </sheetViews>
  <sheetFormatPr baseColWidth="10" defaultColWidth="8.83203125" defaultRowHeight="13" x14ac:dyDescent="0.2"/>
  <cols>
    <col min="1" max="1" width="20.83203125" style="2" customWidth="1"/>
    <col min="2" max="2" width="20.1640625" style="2" customWidth="1"/>
    <col min="3" max="3" width="0.6640625" style="2" customWidth="1"/>
    <col min="4" max="4" width="43" style="2" customWidth="1"/>
    <col min="5" max="5" width="20.83203125" style="2" customWidth="1"/>
    <col min="6" max="6" width="1" style="2" customWidth="1"/>
    <col min="7" max="16" width="20.83203125" style="2" customWidth="1"/>
    <col min="17" max="17" width="0.6640625" style="2" customWidth="1"/>
    <col min="18" max="20" width="20.83203125" style="2" customWidth="1"/>
    <col min="21" max="22" width="20.1640625" style="2" customWidth="1"/>
    <col min="23" max="16384" width="8.83203125" style="2"/>
  </cols>
  <sheetData>
    <row r="1" spans="1:21" ht="30" customHeight="1" x14ac:dyDescent="0.2">
      <c r="F1" s="1"/>
      <c r="U1" s="1"/>
    </row>
    <row r="2" spans="1:21" ht="30" customHeight="1" x14ac:dyDescent="0.2">
      <c r="F2" s="1"/>
      <c r="U2" s="1"/>
    </row>
    <row r="3" spans="1:21" ht="30" customHeight="1" x14ac:dyDescent="0.2">
      <c r="F3" s="1"/>
      <c r="U3" s="1"/>
    </row>
    <row r="4" spans="1:21" ht="30" customHeight="1" x14ac:dyDescent="0.2">
      <c r="A4" s="46" t="s">
        <v>18</v>
      </c>
      <c r="B4" s="46"/>
      <c r="C4" s="46"/>
      <c r="D4" s="46"/>
      <c r="E4" s="46"/>
      <c r="F4" s="1"/>
      <c r="G4" s="47" t="s">
        <v>4</v>
      </c>
      <c r="H4" s="48"/>
      <c r="I4" s="48"/>
      <c r="J4" s="48"/>
      <c r="K4" s="48"/>
      <c r="L4" s="48"/>
      <c r="M4" s="48"/>
      <c r="N4" s="48"/>
      <c r="O4" s="48"/>
      <c r="P4" s="49"/>
      <c r="Q4" s="1"/>
      <c r="R4" s="52" t="s">
        <v>2</v>
      </c>
      <c r="S4" s="52"/>
      <c r="T4" s="52"/>
      <c r="U4" s="52"/>
    </row>
    <row r="5" spans="1:21" ht="30" customHeight="1" x14ac:dyDescent="0.2">
      <c r="A5" s="21" t="s">
        <v>0</v>
      </c>
      <c r="B5" s="21" t="s">
        <v>1</v>
      </c>
      <c r="C5" s="3"/>
      <c r="D5" s="22" t="s">
        <v>19</v>
      </c>
      <c r="E5" s="5">
        <v>15000</v>
      </c>
      <c r="F5" s="1"/>
      <c r="G5" s="22" t="s">
        <v>0</v>
      </c>
      <c r="H5" s="22" t="s">
        <v>5</v>
      </c>
      <c r="I5" s="22" t="s">
        <v>6</v>
      </c>
      <c r="J5" s="22" t="s">
        <v>32</v>
      </c>
      <c r="K5" s="22" t="s">
        <v>33</v>
      </c>
      <c r="L5" s="22" t="s">
        <v>7</v>
      </c>
      <c r="M5" s="22" t="s">
        <v>29</v>
      </c>
      <c r="N5" s="22" t="s">
        <v>28</v>
      </c>
      <c r="O5" s="22" t="s">
        <v>8</v>
      </c>
      <c r="P5" s="22" t="s">
        <v>48</v>
      </c>
      <c r="Q5" s="1"/>
      <c r="R5" s="22" t="s">
        <v>3</v>
      </c>
      <c r="S5" s="22" t="s">
        <v>3</v>
      </c>
      <c r="T5" s="22" t="s">
        <v>45</v>
      </c>
      <c r="U5" s="22" t="s">
        <v>3</v>
      </c>
    </row>
    <row r="6" spans="1:21" ht="30" customHeight="1" x14ac:dyDescent="0.2">
      <c r="A6" s="5">
        <v>1</v>
      </c>
      <c r="B6" s="5">
        <f>ROUNDUP('Demand Forecasting'!G6,0)</f>
        <v>10</v>
      </c>
      <c r="C6" s="1"/>
      <c r="D6" s="22" t="s">
        <v>37</v>
      </c>
      <c r="E6" s="5">
        <f>5%*E20</f>
        <v>1.2000000000000002</v>
      </c>
      <c r="F6" s="1"/>
      <c r="G6" s="5">
        <v>0</v>
      </c>
      <c r="H6" s="6">
        <v>9</v>
      </c>
      <c r="I6" s="5" t="s">
        <v>9</v>
      </c>
      <c r="J6" s="5" t="s">
        <v>9</v>
      </c>
      <c r="K6" s="5" t="s">
        <v>9</v>
      </c>
      <c r="L6" s="6">
        <v>0</v>
      </c>
      <c r="M6" s="6">
        <v>0</v>
      </c>
      <c r="N6" s="5" t="s">
        <v>9</v>
      </c>
      <c r="O6" s="5" t="s">
        <v>9</v>
      </c>
      <c r="P6" s="5" t="s">
        <v>9</v>
      </c>
      <c r="Q6" s="1"/>
      <c r="R6" s="22" t="s">
        <v>12</v>
      </c>
      <c r="S6" s="22" t="s">
        <v>13</v>
      </c>
      <c r="T6" s="22" t="s">
        <v>43</v>
      </c>
      <c r="U6" s="22" t="s">
        <v>36</v>
      </c>
    </row>
    <row r="7" spans="1:21" ht="30" customHeight="1" x14ac:dyDescent="0.2">
      <c r="A7" s="5">
        <v>2</v>
      </c>
      <c r="B7" s="5">
        <f>ROUNDUP('Demand Forecasting'!G7,0)</f>
        <v>11</v>
      </c>
      <c r="C7" s="1"/>
      <c r="D7" s="22" t="s">
        <v>44</v>
      </c>
      <c r="E7" s="5">
        <f>3%*E20/E8</f>
        <v>2.8799999999999999E-2</v>
      </c>
      <c r="F7" s="1"/>
      <c r="G7" s="5">
        <v>1</v>
      </c>
      <c r="H7" s="11">
        <v>6</v>
      </c>
      <c r="I7" s="14">
        <v>131.94444444444468</v>
      </c>
      <c r="J7" s="12">
        <v>0</v>
      </c>
      <c r="K7" s="12">
        <v>3</v>
      </c>
      <c r="L7" s="12">
        <v>0</v>
      </c>
      <c r="M7" s="12">
        <v>0</v>
      </c>
      <c r="N7" s="12">
        <v>0</v>
      </c>
      <c r="O7" s="11">
        <v>11</v>
      </c>
      <c r="P7" s="12">
        <f>ROUNDUP(B6*1.1,0)</f>
        <v>11</v>
      </c>
      <c r="Q7" s="1"/>
      <c r="R7" s="16">
        <f>L6+O7+N7-P7-M6-L7+M7</f>
        <v>0</v>
      </c>
      <c r="S7" s="16">
        <f>O7-($E$6*H7+$E$7*I7)</f>
        <v>0</v>
      </c>
      <c r="T7" s="16">
        <f>H7*$E$8-I7</f>
        <v>18.055555555555316</v>
      </c>
      <c r="U7" s="16">
        <f>H6+J7-K7-H7</f>
        <v>0</v>
      </c>
    </row>
    <row r="8" spans="1:21" ht="30" customHeight="1" x14ac:dyDescent="0.2">
      <c r="A8" s="5">
        <v>3</v>
      </c>
      <c r="B8" s="5">
        <f>ROUNDUP('Demand Forecasting'!G8,0)</f>
        <v>11</v>
      </c>
      <c r="C8" s="1"/>
      <c r="D8" s="22" t="s">
        <v>42</v>
      </c>
      <c r="E8" s="6">
        <v>25</v>
      </c>
      <c r="F8" s="1"/>
      <c r="G8" s="5">
        <v>2</v>
      </c>
      <c r="H8" s="11">
        <v>7</v>
      </c>
      <c r="I8" s="14">
        <v>159.72222222222251</v>
      </c>
      <c r="J8" s="12">
        <v>1</v>
      </c>
      <c r="K8" s="12">
        <v>0</v>
      </c>
      <c r="L8" s="12">
        <v>0</v>
      </c>
      <c r="M8" s="12">
        <v>0</v>
      </c>
      <c r="N8" s="12">
        <v>0</v>
      </c>
      <c r="O8" s="11">
        <v>13</v>
      </c>
      <c r="P8" s="12">
        <f t="shared" ref="P8:P18" si="0">ROUNDUP(B7*1.1,0)</f>
        <v>13</v>
      </c>
      <c r="Q8" s="1"/>
      <c r="R8" s="16">
        <f t="shared" ref="R8:R18" si="1">L7+O8+N8-P8-M7-L8+M8</f>
        <v>0</v>
      </c>
      <c r="S8" s="16">
        <f>O8-($E$6*H8+$E$7*I8)</f>
        <v>0</v>
      </c>
      <c r="T8" s="16">
        <f t="shared" ref="T8:T18" si="2">H8*$E$8-I8</f>
        <v>15.277777777777487</v>
      </c>
      <c r="U8" s="16">
        <f t="shared" ref="U8:U18" si="3">H7+J8-K8-H8</f>
        <v>0</v>
      </c>
    </row>
    <row r="9" spans="1:21" ht="30" customHeight="1" x14ac:dyDescent="0.2">
      <c r="A9" s="5">
        <v>4</v>
      </c>
      <c r="B9" s="5">
        <f>ROUNDUP('Demand Forecasting'!G9,0)</f>
        <v>12</v>
      </c>
      <c r="C9" s="1"/>
      <c r="D9" s="22" t="s">
        <v>20</v>
      </c>
      <c r="E9" s="5">
        <v>1000</v>
      </c>
      <c r="F9" s="1"/>
      <c r="G9" s="5">
        <v>3</v>
      </c>
      <c r="H9" s="11">
        <v>7</v>
      </c>
      <c r="I9" s="14">
        <v>159.72222222222254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1">
        <v>13</v>
      </c>
      <c r="P9" s="12">
        <f t="shared" si="0"/>
        <v>13</v>
      </c>
      <c r="Q9" s="1"/>
      <c r="R9" s="16">
        <f t="shared" si="1"/>
        <v>0</v>
      </c>
      <c r="S9" s="16">
        <f t="shared" ref="S9:S18" si="4">O9-($E$6*H9+$E$7*I9)</f>
        <v>0</v>
      </c>
      <c r="T9" s="16">
        <f t="shared" si="2"/>
        <v>15.277777777777459</v>
      </c>
      <c r="U9" s="16">
        <f t="shared" si="3"/>
        <v>0</v>
      </c>
    </row>
    <row r="10" spans="1:21" ht="30" customHeight="1" x14ac:dyDescent="0.2">
      <c r="A10" s="5">
        <v>5</v>
      </c>
      <c r="B10" s="5">
        <f>ROUNDUP('Demand Forecasting'!G10,0)</f>
        <v>13</v>
      </c>
      <c r="C10" s="1"/>
      <c r="D10" s="22" t="s">
        <v>41</v>
      </c>
      <c r="E10" s="12">
        <v>500</v>
      </c>
      <c r="F10" s="1"/>
      <c r="G10" s="5">
        <v>4</v>
      </c>
      <c r="H10" s="11">
        <v>8</v>
      </c>
      <c r="I10" s="14">
        <v>152.77777777777803</v>
      </c>
      <c r="J10" s="12">
        <v>1</v>
      </c>
      <c r="K10" s="12">
        <v>0</v>
      </c>
      <c r="L10" s="12">
        <v>0</v>
      </c>
      <c r="M10" s="12">
        <v>0</v>
      </c>
      <c r="N10" s="12">
        <v>0</v>
      </c>
      <c r="O10" s="11">
        <v>14</v>
      </c>
      <c r="P10" s="12">
        <f t="shared" si="0"/>
        <v>14</v>
      </c>
      <c r="Q10" s="1"/>
      <c r="R10" s="16">
        <f t="shared" si="1"/>
        <v>0</v>
      </c>
      <c r="S10" s="16">
        <f t="shared" si="4"/>
        <v>0</v>
      </c>
      <c r="T10" s="16">
        <f t="shared" si="2"/>
        <v>47.222222222221973</v>
      </c>
      <c r="U10" s="16">
        <f t="shared" si="3"/>
        <v>0</v>
      </c>
    </row>
    <row r="11" spans="1:21" ht="30" customHeight="1" x14ac:dyDescent="0.2">
      <c r="A11" s="5">
        <v>6</v>
      </c>
      <c r="B11" s="5">
        <f>ROUNDUP('Demand Forecasting'!G11,0)</f>
        <v>14</v>
      </c>
      <c r="C11" s="1"/>
      <c r="D11" s="22" t="s">
        <v>21</v>
      </c>
      <c r="E11" s="5">
        <v>500</v>
      </c>
      <c r="F11" s="1"/>
      <c r="G11" s="5">
        <v>5</v>
      </c>
      <c r="H11" s="11">
        <v>8</v>
      </c>
      <c r="I11" s="14">
        <v>187.50000000000034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1">
        <v>15</v>
      </c>
      <c r="P11" s="12">
        <f t="shared" si="0"/>
        <v>15</v>
      </c>
      <c r="Q11" s="1"/>
      <c r="R11" s="16">
        <f t="shared" si="1"/>
        <v>0</v>
      </c>
      <c r="S11" s="16">
        <f t="shared" si="4"/>
        <v>0</v>
      </c>
      <c r="T11" s="16">
        <f t="shared" si="2"/>
        <v>12.499999999999659</v>
      </c>
      <c r="U11" s="16">
        <f t="shared" si="3"/>
        <v>0</v>
      </c>
    </row>
    <row r="12" spans="1:21" ht="30" customHeight="1" x14ac:dyDescent="0.2">
      <c r="A12" s="5">
        <v>7</v>
      </c>
      <c r="B12" s="5">
        <f>ROUNDUP('Demand Forecasting'!G12,0)</f>
        <v>14</v>
      </c>
      <c r="C12" s="1"/>
      <c r="D12" s="22" t="s">
        <v>40</v>
      </c>
      <c r="E12" s="5">
        <v>1500</v>
      </c>
      <c r="F12" s="1"/>
      <c r="G12" s="5">
        <v>6</v>
      </c>
      <c r="H12" s="11">
        <v>9</v>
      </c>
      <c r="I12" s="14">
        <v>180.5555555555558</v>
      </c>
      <c r="J12" s="12">
        <v>1</v>
      </c>
      <c r="K12" s="12">
        <v>0</v>
      </c>
      <c r="L12" s="12">
        <v>0</v>
      </c>
      <c r="M12" s="12">
        <v>0</v>
      </c>
      <c r="N12" s="12">
        <v>0</v>
      </c>
      <c r="O12" s="11">
        <v>16</v>
      </c>
      <c r="P12" s="12">
        <f t="shared" si="0"/>
        <v>16</v>
      </c>
      <c r="Q12" s="1"/>
      <c r="R12" s="16">
        <f t="shared" si="1"/>
        <v>0</v>
      </c>
      <c r="S12" s="16">
        <f t="shared" si="4"/>
        <v>0</v>
      </c>
      <c r="T12" s="16">
        <f t="shared" si="2"/>
        <v>44.444444444444201</v>
      </c>
      <c r="U12" s="16">
        <f t="shared" si="3"/>
        <v>0</v>
      </c>
    </row>
    <row r="13" spans="1:21" ht="30" customHeight="1" x14ac:dyDescent="0.2">
      <c r="A13" s="5">
        <v>8</v>
      </c>
      <c r="B13" s="5">
        <f>ROUNDUP('Demand Forecasting'!G13,0)</f>
        <v>15</v>
      </c>
      <c r="C13" s="1"/>
      <c r="D13" s="22" t="s">
        <v>31</v>
      </c>
      <c r="E13" s="5">
        <v>12000</v>
      </c>
      <c r="F13" s="1"/>
      <c r="G13" s="5">
        <v>7</v>
      </c>
      <c r="H13" s="11">
        <v>9</v>
      </c>
      <c r="I13" s="14">
        <v>180.55555555555577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1">
        <v>16</v>
      </c>
      <c r="P13" s="12">
        <f t="shared" si="0"/>
        <v>16</v>
      </c>
      <c r="Q13" s="1"/>
      <c r="R13" s="16">
        <f t="shared" si="1"/>
        <v>0</v>
      </c>
      <c r="S13" s="16">
        <f>O13-($E$6*H13+$E$7*I13)</f>
        <v>0</v>
      </c>
      <c r="T13" s="16">
        <f t="shared" si="2"/>
        <v>44.44444444444423</v>
      </c>
      <c r="U13" s="16">
        <f t="shared" si="3"/>
        <v>0</v>
      </c>
    </row>
    <row r="14" spans="1:21" ht="30" customHeight="1" x14ac:dyDescent="0.2">
      <c r="A14" s="5">
        <v>9</v>
      </c>
      <c r="B14" s="5">
        <f>ROUNDUP('Demand Forecasting'!G14,0)</f>
        <v>16</v>
      </c>
      <c r="C14" s="1"/>
      <c r="D14" s="22" t="s">
        <v>22</v>
      </c>
      <c r="E14" s="5">
        <v>100</v>
      </c>
      <c r="F14" s="1"/>
      <c r="G14" s="5">
        <v>8</v>
      </c>
      <c r="H14" s="11">
        <v>9</v>
      </c>
      <c r="I14" s="14">
        <v>215.2777777777782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1">
        <v>17</v>
      </c>
      <c r="P14" s="12">
        <f t="shared" si="0"/>
        <v>17</v>
      </c>
      <c r="Q14" s="1"/>
      <c r="R14" s="16">
        <f t="shared" si="1"/>
        <v>0</v>
      </c>
      <c r="S14" s="16">
        <f t="shared" si="4"/>
        <v>0</v>
      </c>
      <c r="T14" s="16">
        <f t="shared" si="2"/>
        <v>9.7222222222218022</v>
      </c>
      <c r="U14" s="16">
        <f t="shared" si="3"/>
        <v>0</v>
      </c>
    </row>
    <row r="15" spans="1:21" ht="30" customHeight="1" x14ac:dyDescent="0.2">
      <c r="A15" s="5">
        <v>10</v>
      </c>
      <c r="B15" s="5">
        <f>ROUNDUP('Demand Forecasting'!G15,0)</f>
        <v>16</v>
      </c>
      <c r="C15" s="1"/>
      <c r="D15" s="22" t="s">
        <v>23</v>
      </c>
      <c r="E15" s="5">
        <v>50000</v>
      </c>
      <c r="F15" s="1"/>
      <c r="G15" s="5">
        <v>9</v>
      </c>
      <c r="H15" s="11">
        <v>10</v>
      </c>
      <c r="I15" s="14">
        <v>208.33333333333366</v>
      </c>
      <c r="J15" s="12">
        <v>1</v>
      </c>
      <c r="K15" s="12">
        <v>0</v>
      </c>
      <c r="L15" s="12">
        <v>0</v>
      </c>
      <c r="M15" s="12">
        <v>0</v>
      </c>
      <c r="N15" s="12">
        <v>0</v>
      </c>
      <c r="O15" s="11">
        <v>18</v>
      </c>
      <c r="P15" s="12">
        <f t="shared" si="0"/>
        <v>18</v>
      </c>
      <c r="Q15" s="1"/>
      <c r="R15" s="16">
        <f t="shared" si="1"/>
        <v>0</v>
      </c>
      <c r="S15" s="16">
        <f t="shared" si="4"/>
        <v>0</v>
      </c>
      <c r="T15" s="16">
        <f t="shared" si="2"/>
        <v>41.666666666666345</v>
      </c>
      <c r="U15" s="16">
        <f t="shared" si="3"/>
        <v>0</v>
      </c>
    </row>
    <row r="16" spans="1:21" ht="30" customHeight="1" x14ac:dyDescent="0.2">
      <c r="A16" s="5">
        <v>11</v>
      </c>
      <c r="B16" s="5">
        <f>ROUNDUP('Demand Forecasting'!G16,0)</f>
        <v>17</v>
      </c>
      <c r="C16" s="1"/>
      <c r="D16" s="22" t="s">
        <v>24</v>
      </c>
      <c r="E16" s="5">
        <v>0</v>
      </c>
      <c r="F16" s="1"/>
      <c r="G16" s="5">
        <v>10</v>
      </c>
      <c r="H16" s="11">
        <v>10</v>
      </c>
      <c r="I16" s="14">
        <v>208.33333333333366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1">
        <v>18</v>
      </c>
      <c r="P16" s="12">
        <f t="shared" si="0"/>
        <v>18</v>
      </c>
      <c r="Q16" s="1"/>
      <c r="R16" s="16">
        <f t="shared" si="1"/>
        <v>0</v>
      </c>
      <c r="S16" s="16">
        <f t="shared" si="4"/>
        <v>0</v>
      </c>
      <c r="T16" s="16">
        <f t="shared" si="2"/>
        <v>41.666666666666345</v>
      </c>
      <c r="U16" s="16">
        <f t="shared" si="3"/>
        <v>0</v>
      </c>
    </row>
    <row r="17" spans="1:21" ht="30" customHeight="1" x14ac:dyDescent="0.2">
      <c r="A17" s="5">
        <v>12</v>
      </c>
      <c r="B17" s="5">
        <f>ROUNDUP('Demand Forecasting'!G17,0)</f>
        <v>18</v>
      </c>
      <c r="C17" s="4"/>
      <c r="D17" s="22" t="s">
        <v>25</v>
      </c>
      <c r="E17" s="5">
        <v>0</v>
      </c>
      <c r="F17" s="1"/>
      <c r="G17" s="5">
        <v>11</v>
      </c>
      <c r="H17" s="11">
        <v>10</v>
      </c>
      <c r="I17" s="14">
        <v>243.05555555555605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1">
        <v>19</v>
      </c>
      <c r="P17" s="12">
        <f t="shared" si="0"/>
        <v>19</v>
      </c>
      <c r="Q17" s="1"/>
      <c r="R17" s="16">
        <f t="shared" si="1"/>
        <v>0</v>
      </c>
      <c r="S17" s="16">
        <f t="shared" si="4"/>
        <v>0</v>
      </c>
      <c r="T17" s="16">
        <f t="shared" si="2"/>
        <v>6.9444444444439455</v>
      </c>
      <c r="U17" s="16">
        <f t="shared" si="3"/>
        <v>0</v>
      </c>
    </row>
    <row r="18" spans="1:21" ht="30" customHeight="1" x14ac:dyDescent="0.2">
      <c r="D18" s="20" t="s">
        <v>39</v>
      </c>
      <c r="E18" s="5">
        <v>0</v>
      </c>
      <c r="F18" s="1"/>
      <c r="G18" s="5">
        <v>12</v>
      </c>
      <c r="H18" s="11">
        <v>11</v>
      </c>
      <c r="I18" s="14">
        <v>236.11111111111148</v>
      </c>
      <c r="J18" s="12">
        <v>1</v>
      </c>
      <c r="K18" s="12">
        <v>0</v>
      </c>
      <c r="L18" s="12">
        <v>0</v>
      </c>
      <c r="M18" s="12">
        <v>0</v>
      </c>
      <c r="N18" s="12">
        <v>0</v>
      </c>
      <c r="O18" s="11">
        <v>20</v>
      </c>
      <c r="P18" s="12">
        <f t="shared" si="0"/>
        <v>20</v>
      </c>
      <c r="Q18" s="1"/>
      <c r="R18" s="16">
        <f t="shared" si="1"/>
        <v>0</v>
      </c>
      <c r="S18" s="16">
        <f t="shared" si="4"/>
        <v>0</v>
      </c>
      <c r="T18" s="16">
        <f t="shared" si="2"/>
        <v>38.888888888888516</v>
      </c>
      <c r="U18" s="16">
        <f t="shared" si="3"/>
        <v>0</v>
      </c>
    </row>
    <row r="19" spans="1:21" ht="30" customHeight="1" x14ac:dyDescent="0.2">
      <c r="D19" s="20" t="s">
        <v>26</v>
      </c>
      <c r="E19" s="5">
        <v>9</v>
      </c>
      <c r="F19" s="1"/>
      <c r="G19" s="50" t="s">
        <v>11</v>
      </c>
      <c r="H19" s="22" t="s">
        <v>14</v>
      </c>
      <c r="I19" s="22" t="s">
        <v>15</v>
      </c>
      <c r="J19" s="22" t="s">
        <v>34</v>
      </c>
      <c r="K19" s="22" t="s">
        <v>35</v>
      </c>
      <c r="L19" s="22" t="s">
        <v>16</v>
      </c>
      <c r="M19" s="22" t="s">
        <v>30</v>
      </c>
      <c r="N19" s="22" t="s">
        <v>27</v>
      </c>
      <c r="O19" s="22" t="s">
        <v>17</v>
      </c>
      <c r="P19" s="22" t="s">
        <v>51</v>
      </c>
      <c r="Q19" s="1"/>
      <c r="R19" s="1"/>
      <c r="S19" s="1"/>
      <c r="T19" s="1"/>
      <c r="U19" s="1"/>
    </row>
    <row r="20" spans="1:21" ht="30" customHeight="1" x14ac:dyDescent="0.2">
      <c r="D20" s="20" t="s">
        <v>38</v>
      </c>
      <c r="E20" s="5">
        <v>24</v>
      </c>
      <c r="F20" s="1"/>
      <c r="G20" s="51"/>
      <c r="H20" s="8">
        <f>$E$13*SUM(H7:H18)</f>
        <v>1248000</v>
      </c>
      <c r="I20" s="15">
        <f>$E$14*SUM(I7:I18)</f>
        <v>226388.88888888928</v>
      </c>
      <c r="J20" s="8">
        <f>$E$11*SUM(J7:J18)</f>
        <v>2500</v>
      </c>
      <c r="K20" s="8">
        <f>$E$12*SUM(K7:K18)</f>
        <v>4500</v>
      </c>
      <c r="L20" s="8">
        <f>$E$9*SUM(L7:L18)</f>
        <v>0</v>
      </c>
      <c r="M20" s="8">
        <f>$E$10*SUM(M7:M18)</f>
        <v>0</v>
      </c>
      <c r="N20" s="8">
        <f>$E$15*SUM(N7:N18)</f>
        <v>0</v>
      </c>
      <c r="O20" s="8">
        <f>$E$5*SUM(O7:O18)</f>
        <v>2850000</v>
      </c>
      <c r="P20" s="28">
        <f>(E21*SUM(P7:P18))-SUM(H20:O20)</f>
        <v>6498611.111111111</v>
      </c>
      <c r="Q20" s="1"/>
      <c r="R20" s="1"/>
      <c r="S20" s="1"/>
      <c r="T20" s="1"/>
      <c r="U20" s="1"/>
    </row>
    <row r="21" spans="1:21" ht="30" customHeight="1" x14ac:dyDescent="0.2">
      <c r="D21" s="22" t="s">
        <v>50</v>
      </c>
      <c r="E21" s="5">
        <f>60000*0.95</f>
        <v>57000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30" customHeight="1" x14ac:dyDescent="0.2"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30" customHeight="1" x14ac:dyDescent="0.2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30" customHeight="1" x14ac:dyDescent="0.2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30" customHeight="1" x14ac:dyDescent="0.2"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30" customHeight="1" x14ac:dyDescent="0.2"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30" customHeight="1" x14ac:dyDescent="0.2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30" customHeight="1" x14ac:dyDescent="0.2"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30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30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30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30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U32" s="1"/>
    </row>
    <row r="33" spans="1:21" ht="30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U33" s="1"/>
    </row>
    <row r="34" spans="1:21" ht="30" customHeight="1" x14ac:dyDescent="0.2"/>
    <row r="35" spans="1:21" ht="30" customHeight="1" x14ac:dyDescent="0.2"/>
    <row r="36" spans="1:21" ht="30" customHeight="1" x14ac:dyDescent="0.2"/>
  </sheetData>
  <mergeCells count="4">
    <mergeCell ref="A4:E4"/>
    <mergeCell ref="G4:P4"/>
    <mergeCell ref="R4:U4"/>
    <mergeCell ref="G19:G20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B5ADA-3376-EC48-98B7-F32327E393F0}">
  <dimension ref="D5:G12"/>
  <sheetViews>
    <sheetView showGridLines="0" workbookViewId="0">
      <selection activeCell="D5" sqref="D5:G12"/>
    </sheetView>
  </sheetViews>
  <sheetFormatPr baseColWidth="10" defaultRowHeight="15" x14ac:dyDescent="0.2"/>
  <cols>
    <col min="4" max="4" width="21" customWidth="1"/>
    <col min="5" max="5" width="30.83203125" customWidth="1"/>
    <col min="6" max="6" width="21" customWidth="1"/>
    <col min="7" max="7" width="25.83203125" customWidth="1"/>
  </cols>
  <sheetData>
    <row r="5" spans="4:7" ht="30" customHeight="1" x14ac:dyDescent="0.2">
      <c r="D5" s="33" t="s">
        <v>69</v>
      </c>
      <c r="E5" s="33" t="s">
        <v>65</v>
      </c>
      <c r="F5" s="33" t="s">
        <v>75</v>
      </c>
      <c r="G5" s="33" t="s">
        <v>76</v>
      </c>
    </row>
    <row r="6" spans="4:7" ht="30" customHeight="1" x14ac:dyDescent="0.2">
      <c r="D6" s="33">
        <v>1</v>
      </c>
      <c r="E6" s="33" t="s">
        <v>66</v>
      </c>
      <c r="F6" s="34">
        <f>'Case 1 - Chase'!P20</f>
        <v>6161666.666666667</v>
      </c>
      <c r="G6" s="53" t="s">
        <v>74</v>
      </c>
    </row>
    <row r="7" spans="4:7" ht="30" customHeight="1" x14ac:dyDescent="0.2">
      <c r="D7" s="33">
        <v>2</v>
      </c>
      <c r="E7" s="33" t="s">
        <v>67</v>
      </c>
      <c r="F7" s="34">
        <f>'Case 2 - Level'!P20</f>
        <v>6018500</v>
      </c>
      <c r="G7" s="54"/>
    </row>
    <row r="8" spans="4:7" ht="30" customHeight="1" x14ac:dyDescent="0.2">
      <c r="D8" s="33">
        <v>3</v>
      </c>
      <c r="E8" s="33" t="s">
        <v>68</v>
      </c>
      <c r="F8" s="34">
        <f>'Case 3 - Subcontracting'!P20</f>
        <v>4861500</v>
      </c>
      <c r="G8" s="54"/>
    </row>
    <row r="9" spans="4:7" ht="30" customHeight="1" x14ac:dyDescent="0.2">
      <c r="D9" s="33">
        <v>4</v>
      </c>
      <c r="E9" s="33" t="s">
        <v>70</v>
      </c>
      <c r="F9" s="34">
        <f>'Case 4 - Reduced Overtime'!P20</f>
        <v>6200138.8888888881</v>
      </c>
      <c r="G9" s="54"/>
    </row>
    <row r="10" spans="4:7" ht="30" customHeight="1" x14ac:dyDescent="0.2">
      <c r="D10" s="33">
        <v>5</v>
      </c>
      <c r="E10" s="33" t="s">
        <v>71</v>
      </c>
      <c r="F10" s="34">
        <f>'Case 5 - 5% Discounting'!P20</f>
        <v>6453333.333333334</v>
      </c>
      <c r="G10" s="54"/>
    </row>
    <row r="11" spans="4:7" ht="30" customHeight="1" x14ac:dyDescent="0.2">
      <c r="D11" s="33">
        <v>6</v>
      </c>
      <c r="E11" s="33" t="s">
        <v>72</v>
      </c>
      <c r="F11" s="34">
        <f>'Case 6 - 10% Discounting'!P20</f>
        <v>6379166.666666667</v>
      </c>
      <c r="G11" s="54"/>
    </row>
    <row r="12" spans="4:7" ht="30" customHeight="1" x14ac:dyDescent="0.2">
      <c r="D12" s="33">
        <v>7</v>
      </c>
      <c r="E12" s="33" t="s">
        <v>73</v>
      </c>
      <c r="F12" s="34">
        <f>'Case 7 - Reduced OT+5% Discount'!P20</f>
        <v>6498611.111111111</v>
      </c>
      <c r="G12" s="54"/>
    </row>
  </sheetData>
  <mergeCells count="1">
    <mergeCell ref="G6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Demand Forecasting</vt:lpstr>
      <vt:lpstr>Case 1 - Chase</vt:lpstr>
      <vt:lpstr>Case 2 - Level</vt:lpstr>
      <vt:lpstr>Case 3 - Subcontracting</vt:lpstr>
      <vt:lpstr>Case 4 - Reduced Overtime</vt:lpstr>
      <vt:lpstr>Case 5 - 5% Discounting</vt:lpstr>
      <vt:lpstr>Case 6 - 10% Discounting</vt:lpstr>
      <vt:lpstr>Case 7 - Reduced OT+5% Discount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Sebnem</dc:creator>
  <cp:lastModifiedBy>Dhana Surya Perumalsamy</cp:lastModifiedBy>
  <dcterms:created xsi:type="dcterms:W3CDTF">2019-02-08T23:35:14Z</dcterms:created>
  <dcterms:modified xsi:type="dcterms:W3CDTF">2022-12-03T18:18:25Z</dcterms:modified>
</cp:coreProperties>
</file>