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garcia/___LiL Producer Course Production/________2024/The Cost of AI A Technical Breakdown_3845063/2_Project/Exercise Files/Chap 07/"/>
    </mc:Choice>
  </mc:AlternateContent>
  <xr:revisionPtr revIDLastSave="0" documentId="13_ncr:1_{F7088CB6-ABEA-C940-BBA9-2A26FCEEE294}" xr6:coauthVersionLast="47" xr6:coauthVersionMax="47" xr10:uidLastSave="{00000000-0000-0000-0000-000000000000}"/>
  <bookViews>
    <workbookView xWindow="0" yWindow="760" windowWidth="34560" windowHeight="21580" xr2:uid="{1DFDDDC4-D981-9043-A0C9-5A51DE338BC5}"/>
  </bookViews>
  <sheets>
    <sheet name="Profit" sheetId="3" r:id="rId1"/>
    <sheet name="Current Revenue" sheetId="1" r:id="rId2"/>
    <sheet name="Support costs" sheetId="4" r:id="rId3"/>
    <sheet name="Support metric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  <c r="M3" i="3"/>
  <c r="N3" i="3"/>
  <c r="O3" i="3" s="1"/>
  <c r="M4" i="3"/>
  <c r="N4" i="3"/>
  <c r="O4" i="3"/>
  <c r="P4" i="3"/>
  <c r="M10" i="3"/>
  <c r="M11" i="3" s="1"/>
  <c r="N10" i="3"/>
  <c r="O10" i="3"/>
  <c r="P10" i="3"/>
  <c r="M12" i="3"/>
  <c r="N12" i="3"/>
  <c r="M13" i="3"/>
  <c r="N13" i="3"/>
  <c r="M17" i="3"/>
  <c r="N17" i="3"/>
  <c r="O17" i="3"/>
  <c r="P17" i="3"/>
  <c r="D21" i="3"/>
  <c r="M3" i="4"/>
  <c r="N3" i="4" s="1"/>
  <c r="M5" i="4"/>
  <c r="M11" i="4"/>
  <c r="N11" i="4"/>
  <c r="O11" i="4"/>
  <c r="O13" i="4" s="1"/>
  <c r="O14" i="4" s="1"/>
  <c r="P11" i="4"/>
  <c r="P13" i="4" s="1"/>
  <c r="P14" i="4" s="1"/>
  <c r="M13" i="4"/>
  <c r="M14" i="4" s="1"/>
  <c r="M16" i="4" s="1"/>
  <c r="M5" i="3" s="1"/>
  <c r="M7" i="3" s="1"/>
  <c r="N13" i="4"/>
  <c r="N14" i="4" s="1"/>
  <c r="M20" i="4"/>
  <c r="M22" i="4" s="1"/>
  <c r="N20" i="4"/>
  <c r="N22" i="4" s="1"/>
  <c r="O20" i="4"/>
  <c r="O22" i="4" s="1"/>
  <c r="P20" i="4"/>
  <c r="M28" i="4"/>
  <c r="N28" i="4" s="1"/>
  <c r="M30" i="4"/>
  <c r="M31" i="4" s="1"/>
  <c r="B27" i="3"/>
  <c r="C25" i="3"/>
  <c r="C27" i="3" s="1"/>
  <c r="D25" i="3"/>
  <c r="E25" i="3"/>
  <c r="C4" i="3"/>
  <c r="D4" i="3"/>
  <c r="E4" i="3"/>
  <c r="F4" i="3"/>
  <c r="G4" i="3"/>
  <c r="H4" i="3"/>
  <c r="I4" i="3"/>
  <c r="J4" i="3"/>
  <c r="K4" i="3"/>
  <c r="L4" i="3"/>
  <c r="C7" i="3"/>
  <c r="D7" i="3"/>
  <c r="E7" i="3"/>
  <c r="F7" i="3"/>
  <c r="C21" i="3"/>
  <c r="E21" i="3"/>
  <c r="F21" i="3"/>
  <c r="F25" i="3" s="1"/>
  <c r="G21" i="3"/>
  <c r="H21" i="3"/>
  <c r="I21" i="3"/>
  <c r="J21" i="3"/>
  <c r="K21" i="3"/>
  <c r="L21" i="3"/>
  <c r="B21" i="3"/>
  <c r="K30" i="4"/>
  <c r="L30" i="4"/>
  <c r="G30" i="4"/>
  <c r="H30" i="4"/>
  <c r="I30" i="4"/>
  <c r="J30" i="4"/>
  <c r="C17" i="3"/>
  <c r="D17" i="3"/>
  <c r="E17" i="3"/>
  <c r="F17" i="3"/>
  <c r="C16" i="3"/>
  <c r="D16" i="3"/>
  <c r="E16" i="3"/>
  <c r="F16" i="3"/>
  <c r="G16" i="3"/>
  <c r="H16" i="3"/>
  <c r="I16" i="3"/>
  <c r="J16" i="3"/>
  <c r="K16" i="3"/>
  <c r="L16" i="3"/>
  <c r="B17" i="3"/>
  <c r="B14" i="3"/>
  <c r="B16" i="3" s="1"/>
  <c r="H28" i="4"/>
  <c r="I20" i="4"/>
  <c r="J20" i="4" s="1"/>
  <c r="K20" i="4" s="1"/>
  <c r="L20" i="4" s="1"/>
  <c r="H20" i="4"/>
  <c r="G20" i="4"/>
  <c r="C20" i="4"/>
  <c r="D20" i="4" s="1"/>
  <c r="G28" i="4"/>
  <c r="E28" i="4"/>
  <c r="F28" i="4"/>
  <c r="I28" i="4"/>
  <c r="J28" i="4" s="1"/>
  <c r="K28" i="4" s="1"/>
  <c r="L28" i="4" s="1"/>
  <c r="D28" i="4"/>
  <c r="C28" i="4"/>
  <c r="B28" i="4"/>
  <c r="B11" i="4"/>
  <c r="B20" i="4"/>
  <c r="B3" i="4"/>
  <c r="B5" i="4" s="1"/>
  <c r="C30" i="4"/>
  <c r="C31" i="4" s="1"/>
  <c r="B30" i="4"/>
  <c r="B31" i="4" s="1"/>
  <c r="C22" i="4"/>
  <c r="B22" i="4"/>
  <c r="C16" i="4"/>
  <c r="C14" i="4"/>
  <c r="C13" i="4"/>
  <c r="B13" i="4"/>
  <c r="B14" i="4" s="1"/>
  <c r="D11" i="4"/>
  <c r="E11" i="4" s="1"/>
  <c r="C11" i="4"/>
  <c r="C3" i="4"/>
  <c r="C5" i="4" s="1"/>
  <c r="C5" i="3"/>
  <c r="B4" i="3"/>
  <c r="L11" i="3"/>
  <c r="E12" i="3"/>
  <c r="E13" i="3" s="1"/>
  <c r="E14" i="3" s="1"/>
  <c r="F12" i="3"/>
  <c r="F13" i="3" s="1"/>
  <c r="F14" i="3" s="1"/>
  <c r="D12" i="3"/>
  <c r="D13" i="3" s="1"/>
  <c r="L10" i="3"/>
  <c r="D10" i="3"/>
  <c r="E10" i="3"/>
  <c r="F10" i="3"/>
  <c r="G10" i="3"/>
  <c r="G11" i="3" s="1"/>
  <c r="H10" i="3"/>
  <c r="H11" i="3" s="1"/>
  <c r="I10" i="3"/>
  <c r="I11" i="3" s="1"/>
  <c r="J10" i="3"/>
  <c r="J11" i="3" s="1"/>
  <c r="K10" i="3"/>
  <c r="K11" i="3" s="1"/>
  <c r="C10" i="3"/>
  <c r="C14" i="3" s="1"/>
  <c r="E3" i="3"/>
  <c r="F3" i="3" s="1"/>
  <c r="G3" i="3" s="1"/>
  <c r="H3" i="3" s="1"/>
  <c r="I3" i="3" s="1"/>
  <c r="J3" i="3" s="1"/>
  <c r="K3" i="3" s="1"/>
  <c r="L3" i="3" s="1"/>
  <c r="L12" i="3" s="1"/>
  <c r="L13" i="3" s="1"/>
  <c r="C3" i="3"/>
  <c r="C10" i="1"/>
  <c r="C21" i="1"/>
  <c r="C24" i="1"/>
  <c r="C23" i="1"/>
  <c r="C22" i="1"/>
  <c r="C6" i="2"/>
  <c r="B6" i="2"/>
  <c r="C40" i="2"/>
  <c r="C39" i="2" s="1"/>
  <c r="C8" i="2" s="1"/>
  <c r="B40" i="2"/>
  <c r="C29" i="2"/>
  <c r="C7" i="2" s="1"/>
  <c r="C34" i="2"/>
  <c r="C32" i="2" s="1"/>
  <c r="C36" i="2" s="1"/>
  <c r="C42" i="2" s="1"/>
  <c r="B39" i="2"/>
  <c r="B34" i="2"/>
  <c r="B32" i="2" s="1"/>
  <c r="B36" i="2" s="1"/>
  <c r="B42" i="2" s="1"/>
  <c r="B29" i="2"/>
  <c r="B7" i="2" s="1"/>
  <c r="C11" i="1"/>
  <c r="B11" i="1"/>
  <c r="C12" i="1"/>
  <c r="B12" i="1"/>
  <c r="C16" i="1"/>
  <c r="C15" i="2"/>
  <c r="B15" i="2"/>
  <c r="C13" i="2"/>
  <c r="B13" i="2"/>
  <c r="C3" i="2"/>
  <c r="C6" i="1"/>
  <c r="B6" i="1"/>
  <c r="C9" i="1" s="1"/>
  <c r="C17" i="1" s="1"/>
  <c r="C4" i="1"/>
  <c r="C13" i="1" s="1"/>
  <c r="B4" i="1"/>
  <c r="B13" i="1" s="1"/>
  <c r="P3" i="3" l="1"/>
  <c r="P12" i="3" s="1"/>
  <c r="P13" i="3" s="1"/>
  <c r="O12" i="3"/>
  <c r="O13" i="3" s="1"/>
  <c r="O11" i="3"/>
  <c r="O14" i="3" s="1"/>
  <c r="M14" i="3"/>
  <c r="P11" i="3"/>
  <c r="P14" i="3" s="1"/>
  <c r="N11" i="3"/>
  <c r="N14" i="3" s="1"/>
  <c r="D27" i="3"/>
  <c r="E27" i="3" s="1"/>
  <c r="F27" i="3" s="1"/>
  <c r="O28" i="4"/>
  <c r="N30" i="4"/>
  <c r="N31" i="4" s="1"/>
  <c r="N33" i="4"/>
  <c r="M33" i="4"/>
  <c r="N5" i="4"/>
  <c r="N16" i="4" s="1"/>
  <c r="N5" i="3" s="1"/>
  <c r="N7" i="3" s="1"/>
  <c r="O3" i="4"/>
  <c r="P22" i="4"/>
  <c r="L14" i="3"/>
  <c r="D14" i="3"/>
  <c r="C33" i="4"/>
  <c r="B33" i="4"/>
  <c r="E13" i="4"/>
  <c r="E14" i="4" s="1"/>
  <c r="F11" i="4"/>
  <c r="B16" i="4"/>
  <c r="B5" i="3" s="1"/>
  <c r="B7" i="3" s="1"/>
  <c r="D13" i="4"/>
  <c r="D14" i="4" s="1"/>
  <c r="D30" i="4"/>
  <c r="D31" i="4" s="1"/>
  <c r="E20" i="4"/>
  <c r="D22" i="4"/>
  <c r="D33" i="4" s="1"/>
  <c r="D3" i="4"/>
  <c r="K12" i="3"/>
  <c r="K13" i="3" s="1"/>
  <c r="K14" i="3" s="1"/>
  <c r="J12" i="3"/>
  <c r="J13" i="3" s="1"/>
  <c r="J14" i="3" s="1"/>
  <c r="G12" i="3"/>
  <c r="G13" i="3" s="1"/>
  <c r="G14" i="3" s="1"/>
  <c r="I12" i="3"/>
  <c r="I13" i="3" s="1"/>
  <c r="I14" i="3" s="1"/>
  <c r="H12" i="3"/>
  <c r="H13" i="3" s="1"/>
  <c r="H14" i="3" s="1"/>
  <c r="C22" i="2"/>
  <c r="C25" i="1" s="1"/>
  <c r="B2" i="2"/>
  <c r="B10" i="2" s="1"/>
  <c r="B16" i="2"/>
  <c r="B8" i="2"/>
  <c r="C2" i="2"/>
  <c r="C18" i="1"/>
  <c r="N16" i="3" l="1"/>
  <c r="N21" i="3" s="1"/>
  <c r="N25" i="3" s="1"/>
  <c r="P16" i="3"/>
  <c r="P21" i="3" s="1"/>
  <c r="O16" i="3"/>
  <c r="O21" i="3" s="1"/>
  <c r="M16" i="3"/>
  <c r="M21" i="3" s="1"/>
  <c r="M25" i="3" s="1"/>
  <c r="O5" i="4"/>
  <c r="O16" i="4" s="1"/>
  <c r="O5" i="3" s="1"/>
  <c r="O7" i="3" s="1"/>
  <c r="P3" i="4"/>
  <c r="O30" i="4"/>
  <c r="O31" i="4" s="1"/>
  <c r="O33" i="4" s="1"/>
  <c r="P28" i="4"/>
  <c r="G11" i="4"/>
  <c r="F13" i="4"/>
  <c r="F14" i="4" s="1"/>
  <c r="F20" i="4"/>
  <c r="E22" i="4"/>
  <c r="E30" i="4"/>
  <c r="E31" i="4" s="1"/>
  <c r="D5" i="4"/>
  <c r="D16" i="4" s="1"/>
  <c r="D5" i="3" s="1"/>
  <c r="E3" i="4"/>
  <c r="C16" i="2"/>
  <c r="C10" i="2"/>
  <c r="C4" i="2"/>
  <c r="O25" i="3" l="1"/>
  <c r="P30" i="4"/>
  <c r="P31" i="4" s="1"/>
  <c r="P33" i="4" s="1"/>
  <c r="P5" i="4"/>
  <c r="P16" i="4" s="1"/>
  <c r="P5" i="3" s="1"/>
  <c r="P7" i="3" s="1"/>
  <c r="P25" i="3" s="1"/>
  <c r="G13" i="4"/>
  <c r="G14" i="4" s="1"/>
  <c r="H11" i="4"/>
  <c r="F30" i="4"/>
  <c r="F31" i="4" s="1"/>
  <c r="E33" i="4"/>
  <c r="F22" i="4"/>
  <c r="F3" i="4"/>
  <c r="E5" i="4"/>
  <c r="E16" i="4" s="1"/>
  <c r="E5" i="3" s="1"/>
  <c r="H13" i="4" l="1"/>
  <c r="H14" i="4" s="1"/>
  <c r="I11" i="4"/>
  <c r="G22" i="4"/>
  <c r="F33" i="4"/>
  <c r="G31" i="4"/>
  <c r="G3" i="4"/>
  <c r="F5" i="4"/>
  <c r="F16" i="4" s="1"/>
  <c r="F5" i="3" s="1"/>
  <c r="I13" i="4" l="1"/>
  <c r="I14" i="4" s="1"/>
  <c r="J11" i="4"/>
  <c r="H31" i="4"/>
  <c r="G33" i="4"/>
  <c r="G17" i="3" s="1"/>
  <c r="H22" i="4"/>
  <c r="H3" i="4"/>
  <c r="G5" i="4"/>
  <c r="G16" i="4" s="1"/>
  <c r="G5" i="3" s="1"/>
  <c r="G7" i="3" s="1"/>
  <c r="G25" i="3" s="1"/>
  <c r="G27" i="3" s="1"/>
  <c r="H33" i="4" l="1"/>
  <c r="H17" i="3" s="1"/>
  <c r="J13" i="4"/>
  <c r="J14" i="4" s="1"/>
  <c r="K11" i="4"/>
  <c r="I22" i="4"/>
  <c r="I31" i="4"/>
  <c r="I3" i="4"/>
  <c r="H5" i="4"/>
  <c r="H16" i="4" s="1"/>
  <c r="H5" i="3" s="1"/>
  <c r="H7" i="3" s="1"/>
  <c r="H25" i="3" s="1"/>
  <c r="H27" i="3" s="1"/>
  <c r="I33" i="4" l="1"/>
  <c r="I17" i="3" s="1"/>
  <c r="K13" i="4"/>
  <c r="K14" i="4" s="1"/>
  <c r="L11" i="4"/>
  <c r="L13" i="4" s="1"/>
  <c r="L14" i="4" s="1"/>
  <c r="J22" i="4"/>
  <c r="J31" i="4"/>
  <c r="J3" i="4"/>
  <c r="I5" i="4"/>
  <c r="I16" i="4" s="1"/>
  <c r="I5" i="3" s="1"/>
  <c r="I7" i="3" s="1"/>
  <c r="I25" i="3" s="1"/>
  <c r="I27" i="3" s="1"/>
  <c r="L31" i="4" l="1"/>
  <c r="K31" i="4"/>
  <c r="J33" i="4"/>
  <c r="J17" i="3" s="1"/>
  <c r="K22" i="4"/>
  <c r="L22" i="4"/>
  <c r="K3" i="4"/>
  <c r="J5" i="4"/>
  <c r="J16" i="4" s="1"/>
  <c r="J5" i="3" s="1"/>
  <c r="J7" i="3" s="1"/>
  <c r="J25" i="3" s="1"/>
  <c r="J27" i="3" s="1"/>
  <c r="L33" i="4" l="1"/>
  <c r="L17" i="3" s="1"/>
  <c r="K33" i="4"/>
  <c r="K17" i="3" s="1"/>
  <c r="L3" i="4"/>
  <c r="L5" i="4" s="1"/>
  <c r="L16" i="4" s="1"/>
  <c r="L5" i="3" s="1"/>
  <c r="L7" i="3" s="1"/>
  <c r="L25" i="3" s="1"/>
  <c r="K5" i="4"/>
  <c r="K16" i="4" s="1"/>
  <c r="K5" i="3" s="1"/>
  <c r="K7" i="3" s="1"/>
  <c r="K25" i="3" s="1"/>
  <c r="K27" i="3" s="1"/>
  <c r="L27" i="3" s="1"/>
  <c r="M27" i="3" s="1"/>
  <c r="N27" i="3" s="1"/>
  <c r="O27" i="3" s="1"/>
  <c r="P27" i="3" s="1"/>
</calcChain>
</file>

<file path=xl/sharedStrings.xml><?xml version="1.0" encoding="utf-8"?>
<sst xmlns="http://schemas.openxmlformats.org/spreadsheetml/2006/main" count="101" uniqueCount="87">
  <si>
    <t>Month</t>
  </si>
  <si>
    <t>Revenue</t>
  </si>
  <si>
    <t>Recurring user revenue</t>
  </si>
  <si>
    <t>New users revenue</t>
  </si>
  <si>
    <t>Number of new customers</t>
  </si>
  <si>
    <t>Number of recurring customers</t>
  </si>
  <si>
    <t>Average monthly revenue per customer</t>
  </si>
  <si>
    <t>Average monthly revenue per new customer</t>
  </si>
  <si>
    <t>Net revenue retention</t>
  </si>
  <si>
    <t>Churned customers</t>
  </si>
  <si>
    <t>New Customer MoM growth</t>
  </si>
  <si>
    <t>Total number of customers</t>
  </si>
  <si>
    <t>Number of support tickets</t>
  </si>
  <si>
    <t>Number of customers with support tickets</t>
  </si>
  <si>
    <t>CSAT</t>
  </si>
  <si>
    <t>Number of ticket reviews</t>
  </si>
  <si>
    <t>Rate of ticket growth</t>
  </si>
  <si>
    <t>Number of satisfied reviews</t>
  </si>
  <si>
    <t>Number of unsatisfied reviews</t>
  </si>
  <si>
    <t>Net customer MoM growth</t>
  </si>
  <si>
    <t>Average monthly revenue per recurring customer</t>
  </si>
  <si>
    <t>Churned unsatisfied users</t>
  </si>
  <si>
    <t>Churned no support users</t>
  </si>
  <si>
    <t>Churned satisfied users</t>
  </si>
  <si>
    <t>Automation rate</t>
  </si>
  <si>
    <t>Number of tickets resolved through bot support</t>
  </si>
  <si>
    <t>Number of tickets resolved through live agent support</t>
  </si>
  <si>
    <t>Number of tickets resolved through call center</t>
  </si>
  <si>
    <t>Requests to bot</t>
  </si>
  <si>
    <t>Escalated to live agent</t>
  </si>
  <si>
    <t>Drop off and call support center</t>
  </si>
  <si>
    <t xml:space="preserve">Resolved by bot </t>
  </si>
  <si>
    <t>Live agent resolution journey</t>
  </si>
  <si>
    <t>Requests to live agent</t>
  </si>
  <si>
    <t>Escalated from bot</t>
  </si>
  <si>
    <t>Resolved by live agent</t>
  </si>
  <si>
    <t>Bot Resolution journey</t>
  </si>
  <si>
    <t>Escalated to phone support</t>
  </si>
  <si>
    <t>Escalated to live agent and redirected to phone support</t>
  </si>
  <si>
    <t>Direct requests via email</t>
  </si>
  <si>
    <t>Call center resolution journey</t>
  </si>
  <si>
    <t>Direct to call center</t>
  </si>
  <si>
    <t>Escalation to call center from live agent chat</t>
  </si>
  <si>
    <t>Total requests</t>
  </si>
  <si>
    <t>From bot drop off to call center</t>
  </si>
  <si>
    <t>Churned support ticket but no review</t>
  </si>
  <si>
    <t>No support ticket users</t>
  </si>
  <si>
    <t>Number of no reviews support tickets</t>
  </si>
  <si>
    <t>Probability to churn with cs ticket - positive experience</t>
  </si>
  <si>
    <t>Probability to churn with customer support ticket</t>
  </si>
  <si>
    <t>Probability to churn with cs ticket - negative experience</t>
  </si>
  <si>
    <t>Probability to churn with cs ticket - no rating</t>
  </si>
  <si>
    <t>Probability to churn with no cs ticket</t>
  </si>
  <si>
    <t>Bot SaaS cost</t>
  </si>
  <si>
    <t>Bot Maintance cost</t>
  </si>
  <si>
    <t>Churned revenue</t>
  </si>
  <si>
    <t>Customer Churn rate</t>
  </si>
  <si>
    <t>Baseline growth</t>
  </si>
  <si>
    <t>Additional NPS growth</t>
  </si>
  <si>
    <t>Churned Revenue</t>
  </si>
  <si>
    <t>Churned Revenue difference</t>
  </si>
  <si>
    <t>Bau support cost</t>
  </si>
  <si>
    <t>Total BAU support cost</t>
  </si>
  <si>
    <t>Total revenue</t>
  </si>
  <si>
    <t>Profit BAU</t>
  </si>
  <si>
    <t>Other costs</t>
  </si>
  <si>
    <t>Support costs</t>
  </si>
  <si>
    <t>Proposal</t>
  </si>
  <si>
    <t>Call center costs (outsourced)</t>
  </si>
  <si>
    <t>Live agent support cost (in house)</t>
  </si>
  <si>
    <t>Cost per support employee, per month</t>
  </si>
  <si>
    <t>Number of support employees</t>
  </si>
  <si>
    <t>Number of  calls</t>
  </si>
  <si>
    <t>Cost per call</t>
  </si>
  <si>
    <t>Live agent tickets</t>
  </si>
  <si>
    <t>Tickets per employee</t>
  </si>
  <si>
    <t>Initiative support cost</t>
  </si>
  <si>
    <t>Project Live</t>
  </si>
  <si>
    <t>Total Initiative support cost</t>
  </si>
  <si>
    <t>Project capex</t>
  </si>
  <si>
    <t>Project go live*</t>
  </si>
  <si>
    <t>Assumes bot opex is from support budget</t>
  </si>
  <si>
    <t xml:space="preserve">Support Cost </t>
  </si>
  <si>
    <t>Proposal Profit</t>
  </si>
  <si>
    <t>Profit difference</t>
  </si>
  <si>
    <t>Cummulative profit difference</t>
  </si>
  <si>
    <t>Project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</si>
</sst>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6" fontId="0" fillId="0" borderId="0" xfId="0" applyNumberFormat="1"/>
    <xf numFmtId="44" fontId="0" fillId="0" borderId="0" xfId="1" applyFont="1"/>
    <xf numFmtId="0" fontId="3" fillId="0" borderId="0" xfId="0" applyFont="1"/>
    <xf numFmtId="44" fontId="0" fillId="0" borderId="0" xfId="0" applyNumberFormat="1"/>
    <xf numFmtId="8" fontId="0" fillId="0" borderId="0" xfId="0" applyNumberFormat="1"/>
    <xf numFmtId="9" fontId="0" fillId="0" borderId="0" xfId="2" applyFont="1"/>
    <xf numFmtId="3" fontId="0" fillId="0" borderId="0" xfId="0" applyNumberFormat="1"/>
    <xf numFmtId="14" fontId="0" fillId="0" borderId="0" xfId="0" applyNumberFormat="1"/>
    <xf numFmtId="3" fontId="3" fillId="0" borderId="0" xfId="0" applyNumberFormat="1" applyFont="1"/>
    <xf numFmtId="164" fontId="0" fillId="0" borderId="0" xfId="0" applyNumberFormat="1"/>
    <xf numFmtId="165" fontId="0" fillId="0" borderId="0" xfId="2" applyNumberFormat="1" applyFont="1"/>
    <xf numFmtId="9" fontId="0" fillId="0" borderId="0" xfId="0" applyNumberFormat="1"/>
    <xf numFmtId="0" fontId="0" fillId="0" borderId="0" xfId="2" applyNumberFormat="1" applyFont="1"/>
    <xf numFmtId="10" fontId="0" fillId="0" borderId="0" xfId="2" applyNumberFormat="1" applyFont="1"/>
    <xf numFmtId="10" fontId="0" fillId="0" borderId="0" xfId="0" applyNumberFormat="1"/>
    <xf numFmtId="14" fontId="2" fillId="0" borderId="0" xfId="0" applyNumberFormat="1" applyFont="1"/>
    <xf numFmtId="14" fontId="3" fillId="0" borderId="0" xfId="0" applyNumberFormat="1" applyFont="1"/>
    <xf numFmtId="14" fontId="4" fillId="0" borderId="0" xfId="0" applyNumberFormat="1" applyFont="1"/>
    <xf numFmtId="164" fontId="0" fillId="0" borderId="0" xfId="2" applyNumberFormat="1" applyFont="1"/>
    <xf numFmtId="6" fontId="3" fillId="0" borderId="0" xfId="0" applyNumberFormat="1" applyFont="1"/>
    <xf numFmtId="44" fontId="2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208E-528D-0E44-A3FF-1849FA04AA74}">
  <dimension ref="A1:P27"/>
  <sheetViews>
    <sheetView tabSelected="1" zoomScale="150" zoomScaleNormal="150" workbookViewId="0">
      <selection activeCell="B6" sqref="B6"/>
    </sheetView>
  </sheetViews>
  <sheetFormatPr baseColWidth="10" defaultRowHeight="16" x14ac:dyDescent="0.2"/>
  <cols>
    <col min="1" max="1" width="27.1640625" bestFit="1" customWidth="1"/>
    <col min="2" max="5" width="14.6640625" bestFit="1" customWidth="1"/>
    <col min="6" max="8" width="14" bestFit="1" customWidth="1"/>
    <col min="9" max="11" width="14" hidden="1" customWidth="1"/>
    <col min="12" max="13" width="14.6640625" hidden="1" customWidth="1"/>
    <col min="14" max="16" width="14.6640625" bestFit="1" customWidth="1"/>
  </cols>
  <sheetData>
    <row r="1" spans="1:16" x14ac:dyDescent="0.2">
      <c r="A1" s="1" t="s">
        <v>0</v>
      </c>
      <c r="B1" s="17">
        <v>45292</v>
      </c>
      <c r="C1" s="17">
        <v>45293</v>
      </c>
      <c r="D1" s="17">
        <v>45294</v>
      </c>
      <c r="E1" s="17">
        <v>45295</v>
      </c>
      <c r="F1" s="17">
        <v>45296</v>
      </c>
      <c r="G1" s="17">
        <v>45297</v>
      </c>
      <c r="H1" s="17">
        <v>45298</v>
      </c>
      <c r="I1" s="17">
        <v>45299</v>
      </c>
      <c r="J1" s="17">
        <v>45300</v>
      </c>
      <c r="K1" s="19">
        <v>45301</v>
      </c>
      <c r="L1" s="19">
        <v>45302</v>
      </c>
      <c r="M1" s="19">
        <v>45303</v>
      </c>
      <c r="N1" s="19">
        <v>45658</v>
      </c>
      <c r="O1" s="19">
        <v>45659</v>
      </c>
      <c r="P1" s="19">
        <v>45660</v>
      </c>
    </row>
    <row r="2" spans="1:16" x14ac:dyDescent="0.2">
      <c r="A2" t="s">
        <v>1</v>
      </c>
      <c r="B2" s="3">
        <v>5000000</v>
      </c>
      <c r="C2" s="3">
        <v>5100000</v>
      </c>
      <c r="D2" s="3">
        <v>5200000</v>
      </c>
      <c r="E2" s="3">
        <v>5300000</v>
      </c>
      <c r="F2" s="3">
        <v>5400000</v>
      </c>
      <c r="G2" s="3">
        <v>5500000</v>
      </c>
      <c r="H2" s="3">
        <v>5600000</v>
      </c>
      <c r="I2" s="3">
        <v>5700000</v>
      </c>
      <c r="J2" s="3">
        <v>5800000</v>
      </c>
      <c r="K2" s="3">
        <v>5900000</v>
      </c>
      <c r="L2" s="3">
        <v>6000000</v>
      </c>
      <c r="M2" s="3">
        <v>6100000</v>
      </c>
      <c r="N2" s="3">
        <v>6200000</v>
      </c>
      <c r="O2" s="3">
        <v>6300000</v>
      </c>
      <c r="P2" s="3">
        <v>6400000</v>
      </c>
    </row>
    <row r="3" spans="1:16" x14ac:dyDescent="0.2">
      <c r="A3" t="s">
        <v>55</v>
      </c>
      <c r="C3" s="3">
        <f>'Current Revenue'!$C10</f>
        <v>-149476</v>
      </c>
      <c r="D3" s="3">
        <v>-150000</v>
      </c>
      <c r="E3" s="3">
        <f>D3*1.06</f>
        <v>-159000</v>
      </c>
      <c r="F3" s="3">
        <f t="shared" ref="F3:L3" si="0">E3*1.06</f>
        <v>-168540</v>
      </c>
      <c r="G3" s="3">
        <f t="shared" si="0"/>
        <v>-178652.40000000002</v>
      </c>
      <c r="H3" s="3">
        <f t="shared" si="0"/>
        <v>-189371.54400000002</v>
      </c>
      <c r="I3" s="3">
        <f t="shared" si="0"/>
        <v>-200733.83664000002</v>
      </c>
      <c r="J3" s="3">
        <f t="shared" si="0"/>
        <v>-212777.86683840005</v>
      </c>
      <c r="K3" s="3">
        <f t="shared" si="0"/>
        <v>-225544.53884870408</v>
      </c>
      <c r="L3" s="3">
        <f t="shared" si="0"/>
        <v>-239077.21117962632</v>
      </c>
      <c r="M3" s="3">
        <f t="shared" ref="M3:P3" si="1">L3*1.06</f>
        <v>-253421.84385040391</v>
      </c>
      <c r="N3" s="3">
        <f t="shared" si="1"/>
        <v>-268627.15448142815</v>
      </c>
      <c r="O3" s="3">
        <f t="shared" si="1"/>
        <v>-284744.78375031386</v>
      </c>
      <c r="P3" s="3">
        <f t="shared" si="1"/>
        <v>-301829.47077533271</v>
      </c>
    </row>
    <row r="4" spans="1:16" x14ac:dyDescent="0.2">
      <c r="A4" t="s">
        <v>65</v>
      </c>
      <c r="B4" s="5">
        <f>-B2*0.7</f>
        <v>-3500000</v>
      </c>
      <c r="C4" s="5">
        <f t="shared" ref="C4:L4" si="2">-C2*0.7</f>
        <v>-3570000</v>
      </c>
      <c r="D4" s="5">
        <f t="shared" si="2"/>
        <v>-3640000</v>
      </c>
      <c r="E4" s="5">
        <f t="shared" si="2"/>
        <v>-3709999.9999999995</v>
      </c>
      <c r="F4" s="5">
        <f t="shared" si="2"/>
        <v>-3779999.9999999995</v>
      </c>
      <c r="G4" s="5">
        <f t="shared" si="2"/>
        <v>-3849999.9999999995</v>
      </c>
      <c r="H4" s="5">
        <f t="shared" si="2"/>
        <v>-3919999.9999999995</v>
      </c>
      <c r="I4" s="5">
        <f t="shared" si="2"/>
        <v>-3989999.9999999995</v>
      </c>
      <c r="J4" s="5">
        <f t="shared" si="2"/>
        <v>-4059999.9999999995</v>
      </c>
      <c r="K4" s="5">
        <f t="shared" si="2"/>
        <v>-4129999.9999999995</v>
      </c>
      <c r="L4" s="5">
        <f t="shared" si="2"/>
        <v>-4200000</v>
      </c>
      <c r="M4" s="5">
        <f t="shared" ref="M4:P4" si="3">-M2*0.7</f>
        <v>-4270000</v>
      </c>
      <c r="N4" s="5">
        <f t="shared" si="3"/>
        <v>-4340000</v>
      </c>
      <c r="O4" s="5">
        <f t="shared" si="3"/>
        <v>-4410000</v>
      </c>
      <c r="P4" s="5">
        <f t="shared" si="3"/>
        <v>-4480000</v>
      </c>
    </row>
    <row r="5" spans="1:16" x14ac:dyDescent="0.2">
      <c r="A5" t="s">
        <v>66</v>
      </c>
      <c r="B5" s="8">
        <f>'Support costs'!B16</f>
        <v>-39480</v>
      </c>
      <c r="C5" s="8">
        <f>'Support costs'!C16</f>
        <v>-46380</v>
      </c>
      <c r="D5" s="8">
        <f>'Support costs'!D16</f>
        <v>-47280</v>
      </c>
      <c r="E5" s="8">
        <f>'Support costs'!E16</f>
        <v>-48180</v>
      </c>
      <c r="F5" s="8">
        <f>'Support costs'!F16</f>
        <v>-49080</v>
      </c>
      <c r="G5" s="8">
        <f>'Support costs'!G16</f>
        <v>-51810</v>
      </c>
      <c r="H5" s="8">
        <f>'Support costs'!H16</f>
        <v>-52860.000000000007</v>
      </c>
      <c r="I5" s="8">
        <f>'Support costs'!I16</f>
        <v>-53910.000000000007</v>
      </c>
      <c r="J5" s="8">
        <f>'Support costs'!J16</f>
        <v>-54960.000000000007</v>
      </c>
      <c r="K5" s="8">
        <f>'Support costs'!K16</f>
        <v>-56010.000000000015</v>
      </c>
      <c r="L5" s="8">
        <f>'Support costs'!L16</f>
        <v>-63060.000000000015</v>
      </c>
      <c r="M5" s="8">
        <f>'Support costs'!M16</f>
        <v>-64656.000000000015</v>
      </c>
      <c r="N5" s="8">
        <f>'Support costs'!N16</f>
        <v>-66312.000000000015</v>
      </c>
      <c r="O5" s="8">
        <f>'Support costs'!O16</f>
        <v>-68028.000000000015</v>
      </c>
      <c r="P5" s="8">
        <f>'Support costs'!P16</f>
        <v>-69804.000000000015</v>
      </c>
    </row>
    <row r="6" spans="1:16" x14ac:dyDescent="0.2">
      <c r="B6" s="8"/>
      <c r="C6" s="8"/>
      <c r="D6" s="8"/>
      <c r="E6" s="8"/>
      <c r="F6" s="8"/>
      <c r="G6" s="8"/>
      <c r="H6" s="8"/>
      <c r="I6" s="8"/>
      <c r="J6" s="8"/>
      <c r="K6" s="3"/>
      <c r="L6" s="3"/>
      <c r="M6" s="3"/>
      <c r="N6" s="3"/>
      <c r="O6" s="3"/>
      <c r="P6" s="3"/>
    </row>
    <row r="7" spans="1:16" x14ac:dyDescent="0.2">
      <c r="A7" s="1" t="s">
        <v>64</v>
      </c>
      <c r="B7" s="5">
        <f>B2+B4+B5</f>
        <v>1460520</v>
      </c>
      <c r="C7" s="5">
        <f t="shared" ref="C7:L7" si="4">C2+C4+C5</f>
        <v>1483620</v>
      </c>
      <c r="D7" s="5">
        <f t="shared" si="4"/>
        <v>1512720</v>
      </c>
      <c r="E7" s="5">
        <f t="shared" si="4"/>
        <v>1541820.0000000005</v>
      </c>
      <c r="F7" s="5">
        <f t="shared" si="4"/>
        <v>1570920.0000000005</v>
      </c>
      <c r="G7" s="5">
        <f t="shared" si="4"/>
        <v>1598190.0000000005</v>
      </c>
      <c r="H7" s="5">
        <f t="shared" si="4"/>
        <v>1627140.0000000005</v>
      </c>
      <c r="I7" s="5">
        <f t="shared" si="4"/>
        <v>1656090.0000000005</v>
      </c>
      <c r="J7" s="5">
        <f t="shared" si="4"/>
        <v>1685040.0000000005</v>
      </c>
      <c r="K7" s="5">
        <f t="shared" si="4"/>
        <v>1713990.0000000005</v>
      </c>
      <c r="L7" s="5">
        <f t="shared" si="4"/>
        <v>1736940</v>
      </c>
      <c r="M7" s="5">
        <f t="shared" ref="M7:P7" si="5">M2+M4+M5</f>
        <v>1765344</v>
      </c>
      <c r="N7" s="5">
        <f t="shared" si="5"/>
        <v>1793688</v>
      </c>
      <c r="O7" s="5">
        <f t="shared" si="5"/>
        <v>1821972</v>
      </c>
      <c r="P7" s="5">
        <f t="shared" si="5"/>
        <v>1850196</v>
      </c>
    </row>
    <row r="8" spans="1:16" x14ac:dyDescent="0.2">
      <c r="L8" s="13"/>
      <c r="M8" s="13"/>
      <c r="N8" s="13"/>
      <c r="O8" s="13"/>
      <c r="P8" s="13"/>
    </row>
    <row r="9" spans="1:16" x14ac:dyDescent="0.2">
      <c r="A9" s="1" t="s">
        <v>67</v>
      </c>
      <c r="B9" s="3"/>
      <c r="C9" s="3"/>
      <c r="D9" s="22" t="s">
        <v>86</v>
      </c>
      <c r="G9" s="1" t="s">
        <v>77</v>
      </c>
    </row>
    <row r="10" spans="1:16" x14ac:dyDescent="0.2">
      <c r="A10" t="s">
        <v>57</v>
      </c>
      <c r="B10" s="3">
        <v>5000000</v>
      </c>
      <c r="C10" s="3">
        <f>C2</f>
        <v>5100000</v>
      </c>
      <c r="D10" s="3">
        <f t="shared" ref="D10:L10" si="6">D2</f>
        <v>5200000</v>
      </c>
      <c r="E10" s="3">
        <f t="shared" si="6"/>
        <v>5300000</v>
      </c>
      <c r="F10" s="3">
        <f t="shared" si="6"/>
        <v>5400000</v>
      </c>
      <c r="G10" s="3">
        <f t="shared" si="6"/>
        <v>5500000</v>
      </c>
      <c r="H10" s="3">
        <f t="shared" si="6"/>
        <v>5600000</v>
      </c>
      <c r="I10" s="3">
        <f t="shared" si="6"/>
        <v>5700000</v>
      </c>
      <c r="J10" s="3">
        <f t="shared" si="6"/>
        <v>5800000</v>
      </c>
      <c r="K10" s="3">
        <f t="shared" si="6"/>
        <v>5900000</v>
      </c>
      <c r="L10" s="3">
        <f t="shared" si="6"/>
        <v>6000000</v>
      </c>
      <c r="M10" s="3">
        <f t="shared" ref="M10:P10" si="7">M2</f>
        <v>6100000</v>
      </c>
      <c r="N10" s="3">
        <f t="shared" si="7"/>
        <v>6200000</v>
      </c>
      <c r="O10" s="3">
        <f t="shared" si="7"/>
        <v>6300000</v>
      </c>
      <c r="P10" s="3">
        <f t="shared" si="7"/>
        <v>6400000</v>
      </c>
    </row>
    <row r="11" spans="1:16" x14ac:dyDescent="0.2">
      <c r="A11" t="s">
        <v>58</v>
      </c>
      <c r="B11" s="5"/>
      <c r="C11" s="5"/>
      <c r="D11" s="5"/>
      <c r="E11" s="5"/>
      <c r="F11" s="5"/>
      <c r="G11" s="5">
        <f t="shared" ref="G11:L11" si="8">G10*0.01</f>
        <v>55000</v>
      </c>
      <c r="H11" s="5">
        <f t="shared" si="8"/>
        <v>56000</v>
      </c>
      <c r="I11" s="5">
        <f t="shared" si="8"/>
        <v>57000</v>
      </c>
      <c r="J11" s="5">
        <f t="shared" si="8"/>
        <v>58000</v>
      </c>
      <c r="K11" s="5">
        <f t="shared" si="8"/>
        <v>59000</v>
      </c>
      <c r="L11" s="5">
        <f t="shared" si="8"/>
        <v>60000</v>
      </c>
      <c r="M11" s="5">
        <f t="shared" ref="M11" si="9">M10*0.01</f>
        <v>61000</v>
      </c>
      <c r="N11" s="5">
        <f t="shared" ref="N11" si="10">N10*0.01</f>
        <v>62000</v>
      </c>
      <c r="O11" s="5">
        <f t="shared" ref="O11" si="11">O10*0.01</f>
        <v>63000</v>
      </c>
      <c r="P11" s="5">
        <f t="shared" ref="P11" si="12">P10*0.01</f>
        <v>64000</v>
      </c>
    </row>
    <row r="12" spans="1:16" x14ac:dyDescent="0.2">
      <c r="A12" t="s">
        <v>59</v>
      </c>
      <c r="D12" s="3">
        <f>D3</f>
        <v>-150000</v>
      </c>
      <c r="E12" s="3">
        <f t="shared" ref="E12:F12" si="13">E3</f>
        <v>-159000</v>
      </c>
      <c r="F12" s="3">
        <f t="shared" si="13"/>
        <v>-168540</v>
      </c>
      <c r="G12" s="5">
        <f>G3*0.9</f>
        <v>-160787.16000000003</v>
      </c>
      <c r="H12" s="5">
        <f t="shared" ref="H12:L12" si="14">H3*0.9</f>
        <v>-170434.38960000002</v>
      </c>
      <c r="I12" s="5">
        <f t="shared" si="14"/>
        <v>-180660.45297600003</v>
      </c>
      <c r="J12" s="5">
        <f t="shared" si="14"/>
        <v>-191500.08015456004</v>
      </c>
      <c r="K12" s="5">
        <f t="shared" si="14"/>
        <v>-202990.08496383368</v>
      </c>
      <c r="L12" s="5">
        <f t="shared" si="14"/>
        <v>-215169.4900616637</v>
      </c>
      <c r="M12" s="5">
        <f t="shared" ref="M12:P12" si="15">M3*0.9</f>
        <v>-228079.65946536351</v>
      </c>
      <c r="N12" s="5">
        <f t="shared" si="15"/>
        <v>-241764.43903328534</v>
      </c>
      <c r="O12" s="5">
        <f t="shared" si="15"/>
        <v>-256270.30537528248</v>
      </c>
      <c r="P12" s="5">
        <f t="shared" si="15"/>
        <v>-271646.52369779942</v>
      </c>
    </row>
    <row r="13" spans="1:16" x14ac:dyDescent="0.2">
      <c r="A13" t="s">
        <v>60</v>
      </c>
      <c r="D13" s="5">
        <f>D12-D3</f>
        <v>0</v>
      </c>
      <c r="E13" s="5">
        <f t="shared" ref="E13:L13" si="16">E12-E3</f>
        <v>0</v>
      </c>
      <c r="F13" s="5">
        <f t="shared" si="16"/>
        <v>0</v>
      </c>
      <c r="G13" s="5">
        <f t="shared" si="16"/>
        <v>17865.239999999991</v>
      </c>
      <c r="H13" s="5">
        <f t="shared" si="16"/>
        <v>18937.154399999999</v>
      </c>
      <c r="I13" s="5">
        <f t="shared" si="16"/>
        <v>20073.383663999994</v>
      </c>
      <c r="J13" s="5">
        <f t="shared" si="16"/>
        <v>21277.786683840008</v>
      </c>
      <c r="K13" s="5">
        <f t="shared" si="16"/>
        <v>22554.453884870396</v>
      </c>
      <c r="L13" s="5">
        <f t="shared" si="16"/>
        <v>23907.721117962617</v>
      </c>
      <c r="M13" s="5">
        <f t="shared" ref="M13" si="17">M12-M3</f>
        <v>25342.184385040397</v>
      </c>
      <c r="N13" s="5">
        <f t="shared" ref="N13" si="18">N12-N3</f>
        <v>26862.715448142815</v>
      </c>
      <c r="O13" s="5">
        <f t="shared" ref="O13" si="19">O12-O3</f>
        <v>28474.47837503138</v>
      </c>
      <c r="P13" s="5">
        <f t="shared" ref="P13" si="20">P12-P3</f>
        <v>30182.947077533288</v>
      </c>
    </row>
    <row r="14" spans="1:16" x14ac:dyDescent="0.2">
      <c r="A14" t="s">
        <v>63</v>
      </c>
      <c r="B14" s="5">
        <f t="shared" ref="B14:C14" si="21">B10+B11+B13</f>
        <v>5000000</v>
      </c>
      <c r="C14" s="5">
        <f t="shared" si="21"/>
        <v>5100000</v>
      </c>
      <c r="D14" s="5">
        <f>D10+D11+D13</f>
        <v>5200000</v>
      </c>
      <c r="E14" s="5">
        <f t="shared" ref="E14:L14" si="22">E10+E11+E13</f>
        <v>5300000</v>
      </c>
      <c r="F14" s="5">
        <f t="shared" si="22"/>
        <v>5400000</v>
      </c>
      <c r="G14" s="5">
        <f t="shared" si="22"/>
        <v>5572865.2400000002</v>
      </c>
      <c r="H14" s="5">
        <f t="shared" si="22"/>
        <v>5674937.1544000003</v>
      </c>
      <c r="I14" s="5">
        <f t="shared" si="22"/>
        <v>5777073.3836639998</v>
      </c>
      <c r="J14" s="5">
        <f t="shared" si="22"/>
        <v>5879277.7866838397</v>
      </c>
      <c r="K14" s="5">
        <f t="shared" si="22"/>
        <v>5981554.4538848707</v>
      </c>
      <c r="L14" s="5">
        <f t="shared" si="22"/>
        <v>6083907.7211179622</v>
      </c>
      <c r="M14" s="5">
        <f t="shared" ref="M14" si="23">M10+M11+M13</f>
        <v>6186342.1843850408</v>
      </c>
      <c r="N14" s="5">
        <f t="shared" ref="N14" si="24">N10+N11+N13</f>
        <v>6288862.715448143</v>
      </c>
      <c r="O14" s="5">
        <f t="shared" ref="O14" si="25">O10+O11+O13</f>
        <v>6391474.4783750316</v>
      </c>
      <c r="P14" s="5">
        <f t="shared" ref="P14" si="26">P10+P11+P13</f>
        <v>6494182.9470775332</v>
      </c>
    </row>
    <row r="16" spans="1:16" x14ac:dyDescent="0.2">
      <c r="A16" t="s">
        <v>65</v>
      </c>
      <c r="B16" s="5">
        <f>-B14*0.7</f>
        <v>-3500000</v>
      </c>
      <c r="C16" s="5">
        <f t="shared" ref="C16:L16" si="27">-C14*0.7</f>
        <v>-3570000</v>
      </c>
      <c r="D16" s="5">
        <f t="shared" si="27"/>
        <v>-3640000</v>
      </c>
      <c r="E16" s="5">
        <f t="shared" si="27"/>
        <v>-3709999.9999999995</v>
      </c>
      <c r="F16" s="5">
        <f t="shared" si="27"/>
        <v>-3779999.9999999995</v>
      </c>
      <c r="G16" s="5">
        <f t="shared" si="27"/>
        <v>-3901005.6680000001</v>
      </c>
      <c r="H16" s="5">
        <f t="shared" si="27"/>
        <v>-3972456.0080800001</v>
      </c>
      <c r="I16" s="5">
        <f t="shared" si="27"/>
        <v>-4043951.3685647994</v>
      </c>
      <c r="J16" s="5">
        <f t="shared" si="27"/>
        <v>-4115494.4506786875</v>
      </c>
      <c r="K16" s="5">
        <f t="shared" si="27"/>
        <v>-4187088.1177194091</v>
      </c>
      <c r="L16" s="5">
        <f t="shared" si="27"/>
        <v>-4258735.4047825737</v>
      </c>
      <c r="M16" s="5">
        <f t="shared" ref="M16:P16" si="28">-M14*0.7</f>
        <v>-4330439.529069528</v>
      </c>
      <c r="N16" s="5">
        <f t="shared" si="28"/>
        <v>-4402203.9008136997</v>
      </c>
      <c r="O16" s="5">
        <f t="shared" si="28"/>
        <v>-4474032.1348625217</v>
      </c>
      <c r="P16" s="5">
        <f t="shared" si="28"/>
        <v>-4545928.0629542731</v>
      </c>
    </row>
    <row r="17" spans="1:16" x14ac:dyDescent="0.2">
      <c r="A17" t="s">
        <v>82</v>
      </c>
      <c r="B17" s="5">
        <f>'Support costs'!B33</f>
        <v>-39480</v>
      </c>
      <c r="C17" s="5">
        <f>'Support costs'!C33</f>
        <v>-46380</v>
      </c>
      <c r="D17" s="5">
        <f>'Support costs'!D33</f>
        <v>-47280</v>
      </c>
      <c r="E17" s="5">
        <f>'Support costs'!E33</f>
        <v>-48180</v>
      </c>
      <c r="F17" s="5">
        <f>'Support costs'!F33</f>
        <v>-49080</v>
      </c>
      <c r="G17" s="5">
        <f>'Support costs'!G33</f>
        <v>-37880</v>
      </c>
      <c r="H17" s="5">
        <f>'Support costs'!H33</f>
        <v>-38142.5</v>
      </c>
      <c r="I17" s="5">
        <f>'Support costs'!I33</f>
        <v>-38405</v>
      </c>
      <c r="J17" s="5">
        <f>'Support costs'!J33</f>
        <v>-38667.5</v>
      </c>
      <c r="K17" s="5">
        <f>'Support costs'!K33</f>
        <v>-38930</v>
      </c>
      <c r="L17" s="5">
        <f>'Support costs'!L33</f>
        <v>-39192.5</v>
      </c>
      <c r="M17" s="5">
        <f>'Support costs'!M33</f>
        <v>-39668</v>
      </c>
      <c r="N17" s="5">
        <f>'Support costs'!N33</f>
        <v>-40158.5</v>
      </c>
      <c r="O17" s="5">
        <f>'Support costs'!O33</f>
        <v>-40664</v>
      </c>
      <c r="P17" s="5">
        <f>'Support costs'!P33</f>
        <v>-41184.5</v>
      </c>
    </row>
    <row r="18" spans="1:16" x14ac:dyDescent="0.2">
      <c r="A18" t="s">
        <v>79</v>
      </c>
      <c r="D18" s="5">
        <v>-250000</v>
      </c>
      <c r="G18" s="5">
        <v>-10000</v>
      </c>
      <c r="H18" s="5">
        <v>-10000</v>
      </c>
      <c r="I18" s="5">
        <v>-10000</v>
      </c>
      <c r="J18" s="5">
        <v>-10000</v>
      </c>
      <c r="K18" s="5">
        <v>-10000</v>
      </c>
      <c r="L18" s="5">
        <v>-10000</v>
      </c>
      <c r="M18" s="5">
        <v>-10000</v>
      </c>
      <c r="N18" s="5">
        <v>-10000</v>
      </c>
      <c r="O18" s="5">
        <v>-10000</v>
      </c>
      <c r="P18" s="5">
        <v>-10000</v>
      </c>
    </row>
    <row r="21" spans="1:16" x14ac:dyDescent="0.2">
      <c r="A21" t="s">
        <v>83</v>
      </c>
      <c r="B21" s="5">
        <f>B14+B16+B17+D18</f>
        <v>1210520</v>
      </c>
      <c r="C21" s="5">
        <f t="shared" ref="C21:L21" si="29">C14+C16+C17+C18</f>
        <v>1483620</v>
      </c>
      <c r="D21" s="5">
        <f>D14+D16+D17+D18</f>
        <v>1262720</v>
      </c>
      <c r="E21" s="5">
        <f t="shared" si="29"/>
        <v>1541820.0000000005</v>
      </c>
      <c r="F21" s="5">
        <f t="shared" si="29"/>
        <v>1570920.0000000005</v>
      </c>
      <c r="G21" s="5">
        <f t="shared" si="29"/>
        <v>1623979.5720000002</v>
      </c>
      <c r="H21" s="5">
        <f t="shared" si="29"/>
        <v>1654338.6463200003</v>
      </c>
      <c r="I21" s="5">
        <f t="shared" si="29"/>
        <v>1684717.0150992004</v>
      </c>
      <c r="J21" s="5">
        <f t="shared" si="29"/>
        <v>1715115.8360051522</v>
      </c>
      <c r="K21" s="5">
        <f t="shared" si="29"/>
        <v>1745536.3361654617</v>
      </c>
      <c r="L21" s="5">
        <f t="shared" si="29"/>
        <v>1775979.8163353885</v>
      </c>
      <c r="M21" s="5">
        <f t="shared" ref="M21:P21" si="30">M14+M16+M17+M18</f>
        <v>1806234.6553155128</v>
      </c>
      <c r="N21" s="5">
        <f t="shared" si="30"/>
        <v>1836500.3146344433</v>
      </c>
      <c r="O21" s="5">
        <f t="shared" si="30"/>
        <v>1866778.3435125099</v>
      </c>
      <c r="P21" s="5">
        <f t="shared" si="30"/>
        <v>1897070.3841232602</v>
      </c>
    </row>
    <row r="25" spans="1:16" x14ac:dyDescent="0.2">
      <c r="A25" s="1" t="s">
        <v>84</v>
      </c>
      <c r="B25" s="5"/>
      <c r="C25" s="5">
        <f t="shared" ref="C25:L25" si="31">C21-C7</f>
        <v>0</v>
      </c>
      <c r="D25" s="5">
        <f t="shared" si="31"/>
        <v>-250000</v>
      </c>
      <c r="E25" s="5">
        <f t="shared" si="31"/>
        <v>0</v>
      </c>
      <c r="F25" s="5">
        <f t="shared" si="31"/>
        <v>0</v>
      </c>
      <c r="G25" s="5">
        <f t="shared" si="31"/>
        <v>25789.571999999695</v>
      </c>
      <c r="H25" s="5">
        <f t="shared" si="31"/>
        <v>27198.646319999825</v>
      </c>
      <c r="I25" s="5">
        <f t="shared" si="31"/>
        <v>28627.015099199954</v>
      </c>
      <c r="J25" s="5">
        <f t="shared" si="31"/>
        <v>30075.836005151737</v>
      </c>
      <c r="K25" s="5">
        <f t="shared" si="31"/>
        <v>31546.336165461224</v>
      </c>
      <c r="L25" s="5">
        <f t="shared" si="31"/>
        <v>39039.816335388459</v>
      </c>
      <c r="M25" s="5">
        <f t="shared" ref="M25:P25" si="32">M21-M7</f>
        <v>40890.655315512791</v>
      </c>
      <c r="N25" s="5">
        <f t="shared" si="32"/>
        <v>42812.314634443261</v>
      </c>
      <c r="O25" s="5">
        <f t="shared" si="32"/>
        <v>44806.34351250995</v>
      </c>
      <c r="P25" s="5">
        <f t="shared" si="32"/>
        <v>46874.384123260155</v>
      </c>
    </row>
    <row r="27" spans="1:16" x14ac:dyDescent="0.2">
      <c r="A27" s="1" t="s">
        <v>85</v>
      </c>
      <c r="B27" s="5">
        <f>B25</f>
        <v>0</v>
      </c>
      <c r="C27" s="5">
        <f>C25+B27</f>
        <v>0</v>
      </c>
      <c r="D27" s="5">
        <f t="shared" ref="D27:L27" si="33">D25+C27</f>
        <v>-250000</v>
      </c>
      <c r="E27" s="5">
        <f t="shared" si="33"/>
        <v>-250000</v>
      </c>
      <c r="F27" s="5">
        <f t="shared" si="33"/>
        <v>-250000</v>
      </c>
      <c r="G27" s="5">
        <f t="shared" si="33"/>
        <v>-224210.42800000031</v>
      </c>
      <c r="H27" s="5">
        <f t="shared" si="33"/>
        <v>-197011.78168000048</v>
      </c>
      <c r="I27" s="5">
        <f t="shared" si="33"/>
        <v>-168384.76658080053</v>
      </c>
      <c r="J27" s="5">
        <f t="shared" si="33"/>
        <v>-138308.93057564879</v>
      </c>
      <c r="K27" s="5">
        <f t="shared" si="33"/>
        <v>-106762.59441018756</v>
      </c>
      <c r="L27" s="5">
        <f t="shared" si="33"/>
        <v>-67722.778074799106</v>
      </c>
      <c r="M27" s="5">
        <f t="shared" ref="M27:P27" si="34">M25+L27</f>
        <v>-26832.122759286314</v>
      </c>
      <c r="N27" s="5">
        <f t="shared" si="34"/>
        <v>15980.191875156946</v>
      </c>
      <c r="O27" s="5">
        <f t="shared" si="34"/>
        <v>60786.535387666896</v>
      </c>
      <c r="P27" s="5">
        <f t="shared" si="34"/>
        <v>107660.91951092705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5788F-AFF2-AE44-A88A-2C916314AC9D}">
  <dimension ref="A1:I25"/>
  <sheetViews>
    <sheetView topLeftCell="A5" zoomScale="140" zoomScaleNormal="140" workbookViewId="0">
      <selection activeCell="C25" sqref="C25"/>
    </sheetView>
  </sheetViews>
  <sheetFormatPr baseColWidth="10" defaultRowHeight="16" x14ac:dyDescent="0.2"/>
  <cols>
    <col min="1" max="1" width="47.6640625" bestFit="1" customWidth="1"/>
    <col min="2" max="2" width="18.83203125" bestFit="1" customWidth="1"/>
    <col min="3" max="3" width="19.1640625" bestFit="1" customWidth="1"/>
    <col min="4" max="4" width="31.6640625" bestFit="1" customWidth="1"/>
    <col min="5" max="5" width="22.33203125" bestFit="1" customWidth="1"/>
    <col min="6" max="6" width="28.6640625" bestFit="1" customWidth="1"/>
  </cols>
  <sheetData>
    <row r="1" spans="1:9" x14ac:dyDescent="0.2">
      <c r="A1" s="1" t="s">
        <v>0</v>
      </c>
      <c r="B1" s="9">
        <v>45292</v>
      </c>
      <c r="C1" s="9">
        <v>45293</v>
      </c>
      <c r="D1" s="17"/>
      <c r="E1" s="17"/>
      <c r="F1" s="1"/>
      <c r="I1" s="1"/>
    </row>
    <row r="2" spans="1:9" x14ac:dyDescent="0.2">
      <c r="A2" s="16" t="s">
        <v>1</v>
      </c>
      <c r="B2" s="11">
        <v>5000000</v>
      </c>
      <c r="C2" s="11">
        <v>5100000</v>
      </c>
      <c r="D2" s="10"/>
      <c r="E2" s="8"/>
    </row>
    <row r="3" spans="1:9" x14ac:dyDescent="0.2">
      <c r="A3" t="s">
        <v>2</v>
      </c>
      <c r="B3" s="11">
        <v>4831820</v>
      </c>
      <c r="C3" s="11">
        <v>4891172</v>
      </c>
      <c r="D3" s="4"/>
      <c r="G3" s="2"/>
    </row>
    <row r="4" spans="1:9" x14ac:dyDescent="0.2">
      <c r="A4" t="s">
        <v>3</v>
      </c>
      <c r="B4" s="11">
        <f>B2-B3</f>
        <v>168180</v>
      </c>
      <c r="C4" s="11">
        <f>C2-C3</f>
        <v>208828</v>
      </c>
      <c r="D4" s="4"/>
    </row>
    <row r="5" spans="1:9" x14ac:dyDescent="0.2">
      <c r="G5" s="2"/>
    </row>
    <row r="6" spans="1:9" x14ac:dyDescent="0.2">
      <c r="A6" t="s">
        <v>11</v>
      </c>
      <c r="B6">
        <f>B8+B7</f>
        <v>8589</v>
      </c>
      <c r="C6">
        <f>C8+C7</f>
        <v>8881</v>
      </c>
      <c r="G6" s="2"/>
    </row>
    <row r="7" spans="1:9" x14ac:dyDescent="0.2">
      <c r="A7" t="s">
        <v>4</v>
      </c>
      <c r="B7">
        <v>638</v>
      </c>
      <c r="C7">
        <v>780</v>
      </c>
      <c r="G7" s="7"/>
    </row>
    <row r="8" spans="1:9" x14ac:dyDescent="0.2">
      <c r="A8" t="s">
        <v>5</v>
      </c>
      <c r="B8">
        <v>7951</v>
      </c>
      <c r="C8">
        <v>8101</v>
      </c>
    </row>
    <row r="9" spans="1:9" x14ac:dyDescent="0.2">
      <c r="A9" t="s">
        <v>9</v>
      </c>
      <c r="C9" s="14">
        <f>(B6-C8)</f>
        <v>488</v>
      </c>
      <c r="D9" s="2"/>
    </row>
    <row r="10" spans="1:9" x14ac:dyDescent="0.2">
      <c r="A10" t="s">
        <v>55</v>
      </c>
      <c r="C10" s="20">
        <f>(C3-B3)-C4</f>
        <v>-149476</v>
      </c>
      <c r="D10" s="2"/>
    </row>
    <row r="11" spans="1:9" x14ac:dyDescent="0.2">
      <c r="A11" t="s">
        <v>6</v>
      </c>
      <c r="B11" s="11">
        <f>B2/B6</f>
        <v>582.13994644312493</v>
      </c>
      <c r="C11" s="11">
        <f>C2/C6</f>
        <v>574.25965544420671</v>
      </c>
      <c r="D11" s="2"/>
    </row>
    <row r="12" spans="1:9" x14ac:dyDescent="0.2">
      <c r="A12" t="s">
        <v>20</v>
      </c>
      <c r="B12" s="6">
        <f>B3/B8</f>
        <v>607.69966042007297</v>
      </c>
      <c r="C12" s="6">
        <f>C3/C8</f>
        <v>603.77385507961981</v>
      </c>
      <c r="D12" s="6"/>
    </row>
    <row r="13" spans="1:9" x14ac:dyDescent="0.2">
      <c r="A13" t="s">
        <v>7</v>
      </c>
      <c r="B13" s="6">
        <f>B4/B7</f>
        <v>263.6050156739812</v>
      </c>
      <c r="C13" s="6">
        <f>C4/C7</f>
        <v>267.7282051282051</v>
      </c>
    </row>
    <row r="14" spans="1:9" x14ac:dyDescent="0.2">
      <c r="B14" s="11"/>
      <c r="C14" s="11"/>
      <c r="D14" s="2"/>
    </row>
    <row r="16" spans="1:9" x14ac:dyDescent="0.2">
      <c r="A16" t="s">
        <v>10</v>
      </c>
      <c r="C16" s="15">
        <f>C7/C8</f>
        <v>9.6284409332181214E-2</v>
      </c>
      <c r="D16" s="6"/>
    </row>
    <row r="17" spans="1:4" x14ac:dyDescent="0.2">
      <c r="A17" t="s">
        <v>56</v>
      </c>
      <c r="B17" s="6"/>
      <c r="C17" s="15">
        <f>C9/B8</f>
        <v>6.1375927556282225E-2</v>
      </c>
    </row>
    <row r="18" spans="1:4" x14ac:dyDescent="0.2">
      <c r="A18" t="s">
        <v>19</v>
      </c>
      <c r="C18" s="15">
        <f>(C6-B6)/B6</f>
        <v>3.3996972872278493E-2</v>
      </c>
    </row>
    <row r="19" spans="1:4" x14ac:dyDescent="0.2">
      <c r="A19" t="s">
        <v>8</v>
      </c>
      <c r="B19" s="3"/>
      <c r="C19" s="15">
        <f>1+(C3-B3)/B3</f>
        <v>1.0122835701661073</v>
      </c>
      <c r="D19" s="3"/>
    </row>
    <row r="21" spans="1:4" x14ac:dyDescent="0.2">
      <c r="A21" t="s">
        <v>49</v>
      </c>
      <c r="C21" s="16">
        <f>SUM('Support metrics'!C18:C20)/SUM('Support metrics'!B10:B13)</f>
        <v>0.10308502633559068</v>
      </c>
    </row>
    <row r="22" spans="1:4" x14ac:dyDescent="0.2">
      <c r="A22" t="s">
        <v>48</v>
      </c>
      <c r="B22" s="5"/>
      <c r="C22" s="16">
        <f>'Support metrics'!C18/'Support metrics'!B12</f>
        <v>5.5555555555555552E-2</v>
      </c>
      <c r="D22" s="5"/>
    </row>
    <row r="23" spans="1:4" x14ac:dyDescent="0.2">
      <c r="A23" t="s">
        <v>50</v>
      </c>
      <c r="C23" s="16">
        <f>'Support metrics'!C19/'Support metrics'!B13</f>
        <v>0.93939393939393945</v>
      </c>
    </row>
    <row r="24" spans="1:4" x14ac:dyDescent="0.2">
      <c r="A24" t="s">
        <v>51</v>
      </c>
      <c r="C24" s="15">
        <f>'Support metrics'!C20/'Support metrics'!B10</f>
        <v>9.3259464450600182E-2</v>
      </c>
    </row>
    <row r="25" spans="1:4" x14ac:dyDescent="0.2">
      <c r="A25" t="s">
        <v>52</v>
      </c>
      <c r="C25" s="15">
        <f>'Support metrics'!C21/'Support metrics'!C22</f>
        <v>4.7013126171979641E-2</v>
      </c>
    </row>
  </sheetData>
  <pageMargins left="0.7" right="0.7" top="0.75" bottom="0.75" header="0.3" footer="0.3"/>
  <ignoredErrors>
    <ignoredError sqref="C2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F47D5-D692-3A49-9166-7112A5BD9728}">
  <dimension ref="A1:R36"/>
  <sheetViews>
    <sheetView topLeftCell="A13" zoomScale="150" zoomScaleNormal="150" workbookViewId="0">
      <selection activeCell="G28" sqref="G28"/>
    </sheetView>
  </sheetViews>
  <sheetFormatPr baseColWidth="10" defaultRowHeight="16" x14ac:dyDescent="0.2"/>
  <cols>
    <col min="1" max="1" width="33.1640625" bestFit="1" customWidth="1"/>
    <col min="2" max="2" width="13.1640625" customWidth="1"/>
    <col min="3" max="6" width="12.1640625" bestFit="1" customWidth="1"/>
    <col min="7" max="7" width="15.1640625" customWidth="1"/>
    <col min="8" max="12" width="12.1640625" bestFit="1" customWidth="1"/>
  </cols>
  <sheetData>
    <row r="1" spans="1:18" x14ac:dyDescent="0.2">
      <c r="A1" s="19"/>
      <c r="B1" s="19">
        <v>45292</v>
      </c>
      <c r="C1" s="19">
        <v>45293</v>
      </c>
      <c r="D1" s="19">
        <v>45294</v>
      </c>
      <c r="E1" s="19">
        <v>45295</v>
      </c>
      <c r="F1" s="19">
        <v>45296</v>
      </c>
      <c r="G1" s="19">
        <v>45297</v>
      </c>
      <c r="H1" s="19">
        <v>45298</v>
      </c>
      <c r="I1" s="19">
        <v>45299</v>
      </c>
      <c r="J1" s="19">
        <v>45300</v>
      </c>
      <c r="K1" s="19">
        <v>45301</v>
      </c>
      <c r="L1" s="19">
        <v>45302</v>
      </c>
      <c r="M1" s="19">
        <v>45303</v>
      </c>
      <c r="N1" s="19">
        <v>45658</v>
      </c>
      <c r="O1" s="19">
        <v>45659</v>
      </c>
      <c r="P1" s="19">
        <v>45660</v>
      </c>
      <c r="Q1" s="19"/>
      <c r="R1" s="19"/>
    </row>
    <row r="2" spans="1:18" x14ac:dyDescent="0.2">
      <c r="A2" s="19" t="s">
        <v>61</v>
      </c>
      <c r="B2" s="19"/>
      <c r="C2" s="19"/>
      <c r="D2" s="19"/>
      <c r="E2" s="19"/>
      <c r="F2" s="19"/>
      <c r="G2" s="19"/>
    </row>
    <row r="3" spans="1:18" x14ac:dyDescent="0.2">
      <c r="A3" s="18" t="s">
        <v>72</v>
      </c>
      <c r="B3" s="4">
        <f>'Support metrics'!B$8</f>
        <v>216</v>
      </c>
      <c r="C3" s="4">
        <f>'Support metrics'!C8</f>
        <v>246</v>
      </c>
      <c r="D3" s="4">
        <f>C3*(1+(C3-B3)/C3)</f>
        <v>276</v>
      </c>
      <c r="E3" s="4">
        <f>D3*(1+(D3-C3)/D3)</f>
        <v>306</v>
      </c>
      <c r="F3" s="4">
        <f t="shared" ref="F3:L3" si="0">E3*(1+(E3-D3)/E3)</f>
        <v>336.00000000000006</v>
      </c>
      <c r="G3" s="4">
        <f t="shared" si="0"/>
        <v>366.00000000000011</v>
      </c>
      <c r="H3" s="4">
        <f t="shared" si="0"/>
        <v>396.00000000000017</v>
      </c>
      <c r="I3" s="4">
        <f t="shared" si="0"/>
        <v>426.00000000000023</v>
      </c>
      <c r="J3" s="4">
        <f t="shared" si="0"/>
        <v>456.00000000000028</v>
      </c>
      <c r="K3" s="4">
        <f t="shared" si="0"/>
        <v>486.00000000000034</v>
      </c>
      <c r="L3" s="4">
        <f t="shared" si="0"/>
        <v>516.00000000000034</v>
      </c>
      <c r="M3" s="4">
        <f t="shared" ref="M3" si="1">L3*(1+(L3-K3)/L3)</f>
        <v>546.00000000000034</v>
      </c>
      <c r="N3" s="4">
        <f t="shared" ref="N3" si="2">M3*(1+(M3-L3)/M3)</f>
        <v>576.00000000000034</v>
      </c>
      <c r="O3" s="4">
        <f t="shared" ref="O3" si="3">N3*(1+(N3-M3)/N3)</f>
        <v>606.00000000000034</v>
      </c>
      <c r="P3" s="4">
        <f t="shared" ref="P3" si="4">O3*(1+(O3-N3)/O3)</f>
        <v>636.00000000000034</v>
      </c>
      <c r="Q3" s="4"/>
      <c r="R3" s="4"/>
    </row>
    <row r="4" spans="1:18" x14ac:dyDescent="0.2">
      <c r="A4" s="18" t="s">
        <v>73</v>
      </c>
      <c r="B4" s="21">
        <v>30</v>
      </c>
      <c r="C4" s="21">
        <v>30</v>
      </c>
      <c r="D4" s="21">
        <v>30</v>
      </c>
      <c r="E4" s="21">
        <v>30</v>
      </c>
      <c r="F4" s="21">
        <v>30</v>
      </c>
      <c r="G4" s="21">
        <v>35</v>
      </c>
      <c r="H4" s="21">
        <v>35</v>
      </c>
      <c r="I4" s="21">
        <v>35</v>
      </c>
      <c r="J4" s="21">
        <v>35</v>
      </c>
      <c r="K4" s="21">
        <v>35</v>
      </c>
      <c r="L4" s="21">
        <v>35</v>
      </c>
      <c r="M4" s="21">
        <v>36</v>
      </c>
      <c r="N4" s="21">
        <v>37</v>
      </c>
      <c r="O4" s="21">
        <v>38</v>
      </c>
      <c r="P4" s="21">
        <v>39</v>
      </c>
      <c r="Q4" s="21"/>
      <c r="R4" s="21"/>
    </row>
    <row r="5" spans="1:18" x14ac:dyDescent="0.2">
      <c r="A5" t="s">
        <v>68</v>
      </c>
      <c r="B5" s="11">
        <f>B3*B4</f>
        <v>6480</v>
      </c>
      <c r="C5" s="11">
        <f t="shared" ref="C5:L5" si="5">C3*C4</f>
        <v>7380</v>
      </c>
      <c r="D5" s="11">
        <f t="shared" si="5"/>
        <v>8280</v>
      </c>
      <c r="E5" s="11">
        <f t="shared" si="5"/>
        <v>9180</v>
      </c>
      <c r="F5" s="11">
        <f t="shared" si="5"/>
        <v>10080.000000000002</v>
      </c>
      <c r="G5" s="11">
        <f t="shared" si="5"/>
        <v>12810.000000000004</v>
      </c>
      <c r="H5" s="11">
        <f t="shared" si="5"/>
        <v>13860.000000000005</v>
      </c>
      <c r="I5" s="11">
        <f t="shared" si="5"/>
        <v>14910.000000000007</v>
      </c>
      <c r="J5" s="11">
        <f t="shared" si="5"/>
        <v>15960.000000000009</v>
      </c>
      <c r="K5" s="11">
        <f t="shared" si="5"/>
        <v>17010.000000000011</v>
      </c>
      <c r="L5" s="11">
        <f t="shared" si="5"/>
        <v>18060.000000000011</v>
      </c>
      <c r="M5" s="11">
        <f t="shared" ref="M5" si="6">M3*M4</f>
        <v>19656.000000000011</v>
      </c>
      <c r="N5" s="11">
        <f t="shared" ref="N5" si="7">N3*N4</f>
        <v>21312.000000000011</v>
      </c>
      <c r="O5" s="11">
        <f t="shared" ref="O5" si="8">O3*O4</f>
        <v>23028.000000000015</v>
      </c>
      <c r="P5" s="11">
        <f t="shared" ref="P5" si="9">P3*P4</f>
        <v>24804.000000000015</v>
      </c>
      <c r="Q5" s="11"/>
      <c r="R5" s="11"/>
    </row>
    <row r="6" spans="1:18" x14ac:dyDescent="0.2">
      <c r="B6" s="11"/>
      <c r="C6" s="8"/>
    </row>
    <row r="7" spans="1:18" x14ac:dyDescent="0.2">
      <c r="A7" t="s">
        <v>53</v>
      </c>
      <c r="B7" s="11">
        <v>10000</v>
      </c>
      <c r="C7" s="11">
        <v>10000</v>
      </c>
      <c r="D7" s="11">
        <v>10000</v>
      </c>
      <c r="E7" s="11">
        <v>10000</v>
      </c>
      <c r="F7" s="11">
        <v>10000</v>
      </c>
      <c r="G7" s="11">
        <v>10000</v>
      </c>
      <c r="H7" s="11">
        <v>10000</v>
      </c>
      <c r="I7" s="11">
        <v>10000</v>
      </c>
      <c r="J7" s="11">
        <v>10000</v>
      </c>
      <c r="K7" s="11">
        <v>10000</v>
      </c>
      <c r="L7" s="11">
        <v>10000</v>
      </c>
      <c r="M7" s="11">
        <v>10000</v>
      </c>
      <c r="N7" s="11">
        <v>10000</v>
      </c>
      <c r="O7" s="11">
        <v>10000</v>
      </c>
      <c r="P7" s="11">
        <v>10000</v>
      </c>
      <c r="Q7" s="11"/>
      <c r="R7" s="11"/>
    </row>
    <row r="8" spans="1:18" x14ac:dyDescent="0.2">
      <c r="A8" t="s">
        <v>54</v>
      </c>
      <c r="B8" s="11">
        <v>5000</v>
      </c>
      <c r="C8" s="11">
        <v>5000</v>
      </c>
      <c r="D8" s="11">
        <v>5000</v>
      </c>
      <c r="E8" s="11">
        <v>5000</v>
      </c>
      <c r="F8" s="11">
        <v>5000</v>
      </c>
      <c r="G8" s="11">
        <v>5000</v>
      </c>
      <c r="H8" s="11">
        <v>5000</v>
      </c>
      <c r="I8" s="11">
        <v>5000</v>
      </c>
      <c r="J8" s="11">
        <v>5000</v>
      </c>
      <c r="K8" s="11">
        <v>5000</v>
      </c>
      <c r="L8" s="11">
        <v>5000</v>
      </c>
      <c r="M8" s="11">
        <v>5000</v>
      </c>
      <c r="N8" s="11">
        <v>5000</v>
      </c>
      <c r="O8" s="11">
        <v>5000</v>
      </c>
      <c r="P8" s="11">
        <v>5000</v>
      </c>
      <c r="Q8" s="11"/>
      <c r="R8" s="11"/>
    </row>
    <row r="9" spans="1:18" x14ac:dyDescent="0.2">
      <c r="C9" s="8"/>
    </row>
    <row r="10" spans="1:18" x14ac:dyDescent="0.2">
      <c r="A10" t="s">
        <v>70</v>
      </c>
      <c r="B10" s="11">
        <v>6000</v>
      </c>
      <c r="C10" s="11">
        <v>6000</v>
      </c>
      <c r="D10" s="11">
        <v>6000</v>
      </c>
      <c r="E10" s="11">
        <v>6000</v>
      </c>
      <c r="F10" s="11">
        <v>6000</v>
      </c>
      <c r="G10" s="11">
        <v>6000</v>
      </c>
      <c r="H10" s="11">
        <v>6000</v>
      </c>
      <c r="I10" s="11">
        <v>6000</v>
      </c>
      <c r="J10" s="11">
        <v>6000</v>
      </c>
      <c r="K10" s="11">
        <v>6000</v>
      </c>
      <c r="L10" s="11">
        <v>6000</v>
      </c>
      <c r="M10" s="11">
        <v>6000</v>
      </c>
      <c r="N10" s="11">
        <v>6000</v>
      </c>
      <c r="O10" s="11">
        <v>6000</v>
      </c>
      <c r="P10" s="11">
        <v>6000</v>
      </c>
      <c r="Q10" s="11"/>
      <c r="R10" s="11"/>
    </row>
    <row r="11" spans="1:18" x14ac:dyDescent="0.2">
      <c r="A11" t="s">
        <v>74</v>
      </c>
      <c r="B11">
        <f>'Support metrics'!B$6</f>
        <v>878</v>
      </c>
      <c r="C11">
        <f>'Support metrics'!C6</f>
        <v>912</v>
      </c>
      <c r="D11" s="4">
        <f>C11*(1+(C11-B11)/C11)</f>
        <v>946</v>
      </c>
      <c r="E11" s="4">
        <f t="shared" ref="E11:L11" si="10">D11*(1+(D11-C11)/D11)</f>
        <v>980</v>
      </c>
      <c r="F11" s="4">
        <f t="shared" si="10"/>
        <v>1014</v>
      </c>
      <c r="G11" s="4">
        <f t="shared" si="10"/>
        <v>1048</v>
      </c>
      <c r="H11" s="4">
        <f t="shared" si="10"/>
        <v>1082</v>
      </c>
      <c r="I11" s="4">
        <f t="shared" si="10"/>
        <v>1116</v>
      </c>
      <c r="J11" s="4">
        <f t="shared" si="10"/>
        <v>1150</v>
      </c>
      <c r="K11" s="4">
        <f t="shared" si="10"/>
        <v>1184</v>
      </c>
      <c r="L11" s="4">
        <f t="shared" si="10"/>
        <v>1218</v>
      </c>
      <c r="M11" s="4">
        <f t="shared" ref="M11" si="11">L11*(1+(L11-K11)/L11)</f>
        <v>1252</v>
      </c>
      <c r="N11" s="4">
        <f t="shared" ref="N11" si="12">M11*(1+(M11-L11)/M11)</f>
        <v>1286</v>
      </c>
      <c r="O11" s="4">
        <f t="shared" ref="O11" si="13">N11*(1+(N11-M11)/N11)</f>
        <v>1320</v>
      </c>
      <c r="P11" s="4">
        <f t="shared" ref="P11" si="14">O11*(1+(O11-N11)/O11)</f>
        <v>1354.0000000000002</v>
      </c>
      <c r="Q11" s="4"/>
      <c r="R11" s="4"/>
    </row>
    <row r="12" spans="1:18" x14ac:dyDescent="0.2">
      <c r="A12" t="s">
        <v>75</v>
      </c>
      <c r="B12">
        <v>300</v>
      </c>
      <c r="C12">
        <v>300</v>
      </c>
      <c r="D12">
        <v>300</v>
      </c>
      <c r="E12">
        <v>300</v>
      </c>
      <c r="F12">
        <v>300</v>
      </c>
      <c r="G12">
        <v>300</v>
      </c>
      <c r="H12">
        <v>300</v>
      </c>
      <c r="I12">
        <v>300</v>
      </c>
      <c r="J12">
        <v>300</v>
      </c>
      <c r="K12">
        <v>300</v>
      </c>
      <c r="L12">
        <v>300</v>
      </c>
      <c r="M12">
        <v>301</v>
      </c>
      <c r="N12">
        <v>302</v>
      </c>
      <c r="O12">
        <v>303</v>
      </c>
      <c r="P12">
        <v>304</v>
      </c>
    </row>
    <row r="13" spans="1:18" x14ac:dyDescent="0.2">
      <c r="A13" t="s">
        <v>71</v>
      </c>
      <c r="B13" s="8">
        <f>_xlfn.CEILING.MATH(B11/B12)</f>
        <v>3</v>
      </c>
      <c r="C13" s="8">
        <f t="shared" ref="C13:L13" si="15">_xlfn.CEILING.MATH(C11/C12)</f>
        <v>4</v>
      </c>
      <c r="D13" s="8">
        <f t="shared" si="15"/>
        <v>4</v>
      </c>
      <c r="E13" s="8">
        <f t="shared" si="15"/>
        <v>4</v>
      </c>
      <c r="F13" s="8">
        <f t="shared" si="15"/>
        <v>4</v>
      </c>
      <c r="G13" s="8">
        <f t="shared" si="15"/>
        <v>4</v>
      </c>
      <c r="H13" s="8">
        <f t="shared" si="15"/>
        <v>4</v>
      </c>
      <c r="I13" s="8">
        <f t="shared" si="15"/>
        <v>4</v>
      </c>
      <c r="J13" s="8">
        <f t="shared" si="15"/>
        <v>4</v>
      </c>
      <c r="K13" s="8">
        <f t="shared" si="15"/>
        <v>4</v>
      </c>
      <c r="L13" s="8">
        <f t="shared" si="15"/>
        <v>5</v>
      </c>
      <c r="M13" s="8">
        <f t="shared" ref="M13" si="16">_xlfn.CEILING.MATH(M11/M12)</f>
        <v>5</v>
      </c>
      <c r="N13" s="8">
        <f t="shared" ref="N13" si="17">_xlfn.CEILING.MATH(N11/N12)</f>
        <v>5</v>
      </c>
      <c r="O13" s="8">
        <f t="shared" ref="O13" si="18">_xlfn.CEILING.MATH(O11/O12)</f>
        <v>5</v>
      </c>
      <c r="P13" s="8">
        <f t="shared" ref="P13" si="19">_xlfn.CEILING.MATH(P11/P12)</f>
        <v>5</v>
      </c>
      <c r="Q13" s="8"/>
      <c r="R13" s="8"/>
    </row>
    <row r="14" spans="1:18" x14ac:dyDescent="0.2">
      <c r="A14" t="s">
        <v>69</v>
      </c>
      <c r="B14" s="8">
        <f>B10*B13</f>
        <v>18000</v>
      </c>
      <c r="C14" s="8">
        <f t="shared" ref="C14:L14" si="20">C10*C13</f>
        <v>24000</v>
      </c>
      <c r="D14" s="8">
        <f t="shared" si="20"/>
        <v>24000</v>
      </c>
      <c r="E14" s="8">
        <f t="shared" si="20"/>
        <v>24000</v>
      </c>
      <c r="F14" s="8">
        <f t="shared" si="20"/>
        <v>24000</v>
      </c>
      <c r="G14" s="8">
        <f t="shared" si="20"/>
        <v>24000</v>
      </c>
      <c r="H14" s="8">
        <f t="shared" si="20"/>
        <v>24000</v>
      </c>
      <c r="I14" s="8">
        <f t="shared" si="20"/>
        <v>24000</v>
      </c>
      <c r="J14" s="8">
        <f t="shared" si="20"/>
        <v>24000</v>
      </c>
      <c r="K14" s="8">
        <f t="shared" si="20"/>
        <v>24000</v>
      </c>
      <c r="L14" s="8">
        <f t="shared" si="20"/>
        <v>30000</v>
      </c>
      <c r="M14" s="8">
        <f t="shared" ref="M14" si="21">M10*M13</f>
        <v>30000</v>
      </c>
      <c r="N14" s="8">
        <f t="shared" ref="N14" si="22">N10*N13</f>
        <v>30000</v>
      </c>
      <c r="O14" s="8">
        <f t="shared" ref="O14" si="23">O10*O13</f>
        <v>30000</v>
      </c>
      <c r="P14" s="8">
        <f t="shared" ref="P14" si="24">P10*P13</f>
        <v>30000</v>
      </c>
      <c r="Q14" s="8"/>
      <c r="R14" s="8"/>
    </row>
    <row r="16" spans="1:18" x14ac:dyDescent="0.2">
      <c r="A16" s="1" t="s">
        <v>62</v>
      </c>
      <c r="B16" s="5">
        <f>-(B5+B7+B8+B14)</f>
        <v>-39480</v>
      </c>
      <c r="C16" s="5">
        <f t="shared" ref="C16:L16" si="25">-(C5+C7+C8+C14)</f>
        <v>-46380</v>
      </c>
      <c r="D16" s="5">
        <f t="shared" si="25"/>
        <v>-47280</v>
      </c>
      <c r="E16" s="5">
        <f t="shared" si="25"/>
        <v>-48180</v>
      </c>
      <c r="F16" s="5">
        <f t="shared" si="25"/>
        <v>-49080</v>
      </c>
      <c r="G16" s="5">
        <f t="shared" si="25"/>
        <v>-51810</v>
      </c>
      <c r="H16" s="5">
        <f t="shared" si="25"/>
        <v>-52860.000000000007</v>
      </c>
      <c r="I16" s="5">
        <f t="shared" si="25"/>
        <v>-53910.000000000007</v>
      </c>
      <c r="J16" s="5">
        <f t="shared" si="25"/>
        <v>-54960.000000000007</v>
      </c>
      <c r="K16" s="5">
        <f t="shared" si="25"/>
        <v>-56010.000000000015</v>
      </c>
      <c r="L16" s="5">
        <f t="shared" si="25"/>
        <v>-63060.000000000015</v>
      </c>
      <c r="M16" s="5">
        <f t="shared" ref="M16:P16" si="26">-(M5+M7+M8+M14)</f>
        <v>-64656.000000000015</v>
      </c>
      <c r="N16" s="5">
        <f t="shared" si="26"/>
        <v>-66312.000000000015</v>
      </c>
      <c r="O16" s="5">
        <f t="shared" si="26"/>
        <v>-68028.000000000015</v>
      </c>
      <c r="P16" s="5">
        <f t="shared" si="26"/>
        <v>-69804.000000000015</v>
      </c>
      <c r="Q16" s="5"/>
      <c r="R16" s="5"/>
    </row>
    <row r="19" spans="1:18" x14ac:dyDescent="0.2">
      <c r="A19" s="19" t="s">
        <v>76</v>
      </c>
      <c r="B19" s="19"/>
      <c r="C19" s="19"/>
      <c r="D19" s="19"/>
      <c r="E19" s="19"/>
      <c r="F19" s="19"/>
      <c r="G19" s="19" t="s">
        <v>80</v>
      </c>
    </row>
    <row r="20" spans="1:18" x14ac:dyDescent="0.2">
      <c r="A20" s="18" t="s">
        <v>72</v>
      </c>
      <c r="B20" s="4">
        <f>'Support metrics'!B$8</f>
        <v>216</v>
      </c>
      <c r="C20" s="4">
        <f>'Support metrics'!C$8</f>
        <v>246</v>
      </c>
      <c r="D20" s="4">
        <f>C20*(1+(C20-B20)/C20)</f>
        <v>276</v>
      </c>
      <c r="E20" s="4">
        <f>D20*(1+(D20-C20)/D20)</f>
        <v>306</v>
      </c>
      <c r="F20" s="4">
        <f t="shared" ref="F20" si="27">E20*(1+(E20-D20)/E20)</f>
        <v>336.00000000000006</v>
      </c>
      <c r="G20" s="4">
        <f>F20*0.5</f>
        <v>168.00000000000003</v>
      </c>
      <c r="H20" s="4">
        <f>G20*(1+(0.5*((F20-E20)/F20)))</f>
        <v>175.50000000000003</v>
      </c>
      <c r="I20" s="4">
        <f t="shared" ref="I20" si="28">H20*(1+(H20-G20)/H20)</f>
        <v>183.00000000000003</v>
      </c>
      <c r="J20" s="4">
        <f t="shared" ref="J20" si="29">I20*(1+(I20-H20)/I20)</f>
        <v>190.50000000000003</v>
      </c>
      <c r="K20" s="4">
        <f t="shared" ref="K20" si="30">J20*(1+(J20-I20)/J20)</f>
        <v>198.00000000000003</v>
      </c>
      <c r="L20" s="4">
        <f t="shared" ref="L20" si="31">K20*(1+(K20-J20)/K20)</f>
        <v>205.50000000000003</v>
      </c>
      <c r="M20" s="4">
        <f t="shared" ref="M20" si="32">L20*(1+(L20-K20)/L20)</f>
        <v>213.00000000000006</v>
      </c>
      <c r="N20" s="4">
        <f t="shared" ref="N20" si="33">M20*(1+(M20-L20)/M20)</f>
        <v>220.50000000000009</v>
      </c>
      <c r="O20" s="4">
        <f t="shared" ref="O20" si="34">N20*(1+(N20-M20)/N20)</f>
        <v>228.00000000000009</v>
      </c>
      <c r="P20" s="4">
        <f t="shared" ref="P20" si="35">O20*(1+(O20-N20)/O20)</f>
        <v>235.50000000000009</v>
      </c>
      <c r="Q20" s="4"/>
      <c r="R20" s="4"/>
    </row>
    <row r="21" spans="1:18" x14ac:dyDescent="0.2">
      <c r="A21" s="18" t="s">
        <v>73</v>
      </c>
      <c r="B21" s="21">
        <v>30</v>
      </c>
      <c r="C21" s="21">
        <v>30</v>
      </c>
      <c r="D21" s="21">
        <v>30</v>
      </c>
      <c r="E21" s="21">
        <v>30</v>
      </c>
      <c r="F21" s="21">
        <v>30</v>
      </c>
      <c r="G21" s="21">
        <v>35</v>
      </c>
      <c r="H21" s="21">
        <v>35</v>
      </c>
      <c r="I21" s="21">
        <v>35</v>
      </c>
      <c r="J21" s="21">
        <v>35</v>
      </c>
      <c r="K21" s="21">
        <v>35</v>
      </c>
      <c r="L21" s="21">
        <v>35</v>
      </c>
      <c r="M21" s="21">
        <v>36</v>
      </c>
      <c r="N21" s="21">
        <v>37</v>
      </c>
      <c r="O21" s="21">
        <v>38</v>
      </c>
      <c r="P21" s="21">
        <v>39</v>
      </c>
      <c r="Q21" s="21"/>
      <c r="R21" s="21"/>
    </row>
    <row r="22" spans="1:18" x14ac:dyDescent="0.2">
      <c r="A22" t="s">
        <v>68</v>
      </c>
      <c r="B22" s="11">
        <f>B20*B21</f>
        <v>6480</v>
      </c>
      <c r="C22" s="11">
        <f t="shared" ref="C22" si="36">C20*C21</f>
        <v>7380</v>
      </c>
      <c r="D22" s="11">
        <f t="shared" ref="D22" si="37">D20*D21</f>
        <v>8280</v>
      </c>
      <c r="E22" s="11">
        <f t="shared" ref="E22" si="38">E20*E21</f>
        <v>9180</v>
      </c>
      <c r="F22" s="11">
        <f t="shared" ref="F22" si="39">F20*F21</f>
        <v>10080.000000000002</v>
      </c>
      <c r="G22" s="11">
        <f t="shared" ref="G22" si="40">G20*G21</f>
        <v>5880.0000000000009</v>
      </c>
      <c r="H22" s="11">
        <f t="shared" ref="H22" si="41">H20*H21</f>
        <v>6142.5000000000009</v>
      </c>
      <c r="I22" s="11">
        <f t="shared" ref="I22" si="42">I20*I21</f>
        <v>6405.0000000000009</v>
      </c>
      <c r="J22" s="11">
        <f t="shared" ref="J22" si="43">J20*J21</f>
        <v>6667.5000000000009</v>
      </c>
      <c r="K22" s="11">
        <f t="shared" ref="K22" si="44">K20*K21</f>
        <v>6930.0000000000009</v>
      </c>
      <c r="L22" s="11">
        <f t="shared" ref="L22" si="45">L20*L21</f>
        <v>7192.5000000000009</v>
      </c>
      <c r="M22" s="11">
        <f t="shared" ref="M22" si="46">M20*M21</f>
        <v>7668.0000000000018</v>
      </c>
      <c r="N22" s="11">
        <f t="shared" ref="N22" si="47">N20*N21</f>
        <v>8158.5000000000027</v>
      </c>
      <c r="O22" s="11">
        <f t="shared" ref="O22" si="48">O20*O21</f>
        <v>8664.0000000000036</v>
      </c>
      <c r="P22" s="11">
        <f t="shared" ref="P22" si="49">P20*P21</f>
        <v>9184.5000000000036</v>
      </c>
      <c r="Q22" s="11"/>
      <c r="R22" s="11"/>
    </row>
    <row r="23" spans="1:18" x14ac:dyDescent="0.2">
      <c r="B23" s="11"/>
      <c r="C23" s="8"/>
    </row>
    <row r="24" spans="1:18" x14ac:dyDescent="0.2">
      <c r="A24" t="s">
        <v>53</v>
      </c>
      <c r="B24" s="11">
        <v>10000</v>
      </c>
      <c r="C24" s="11">
        <v>10000</v>
      </c>
      <c r="D24" s="11">
        <v>10000</v>
      </c>
      <c r="E24" s="11">
        <v>10000</v>
      </c>
      <c r="F24" s="11">
        <v>10000</v>
      </c>
      <c r="G24" s="11">
        <v>15000</v>
      </c>
      <c r="H24" s="11">
        <v>15000</v>
      </c>
      <c r="I24" s="11">
        <v>15000</v>
      </c>
      <c r="J24" s="11">
        <v>15000</v>
      </c>
      <c r="K24" s="11">
        <v>15000</v>
      </c>
      <c r="L24" s="11">
        <v>15000</v>
      </c>
      <c r="M24" s="11">
        <v>15000</v>
      </c>
      <c r="N24" s="11">
        <v>15000</v>
      </c>
      <c r="O24" s="11">
        <v>15000</v>
      </c>
      <c r="P24" s="11">
        <v>15000</v>
      </c>
      <c r="Q24" s="11"/>
      <c r="R24" s="11"/>
    </row>
    <row r="25" spans="1:18" x14ac:dyDescent="0.2">
      <c r="A25" t="s">
        <v>54</v>
      </c>
      <c r="B25" s="11">
        <v>5000</v>
      </c>
      <c r="C25" s="11">
        <v>5000</v>
      </c>
      <c r="D25" s="11">
        <v>5000</v>
      </c>
      <c r="E25" s="11">
        <v>5000</v>
      </c>
      <c r="F25" s="11">
        <v>5000</v>
      </c>
      <c r="G25" s="11">
        <v>5000</v>
      </c>
      <c r="H25" s="11">
        <v>5000</v>
      </c>
      <c r="I25" s="11">
        <v>5000</v>
      </c>
      <c r="J25" s="11">
        <v>5000</v>
      </c>
      <c r="K25" s="11">
        <v>5000</v>
      </c>
      <c r="L25" s="11">
        <v>5000</v>
      </c>
      <c r="M25" s="11">
        <v>5000</v>
      </c>
      <c r="N25" s="11">
        <v>5000</v>
      </c>
      <c r="O25" s="11">
        <v>5000</v>
      </c>
      <c r="P25" s="11">
        <v>5000</v>
      </c>
      <c r="Q25" s="11"/>
      <c r="R25" s="11"/>
    </row>
    <row r="26" spans="1:18" x14ac:dyDescent="0.2">
      <c r="C26" s="8"/>
    </row>
    <row r="27" spans="1:18" x14ac:dyDescent="0.2">
      <c r="A27" t="s">
        <v>70</v>
      </c>
      <c r="B27" s="11">
        <v>6000</v>
      </c>
      <c r="C27" s="11">
        <v>6000</v>
      </c>
      <c r="D27" s="11">
        <v>6000</v>
      </c>
      <c r="E27" s="11">
        <v>6000</v>
      </c>
      <c r="F27" s="11">
        <v>6000</v>
      </c>
      <c r="G27" s="11">
        <v>6000</v>
      </c>
      <c r="H27" s="11">
        <v>6000</v>
      </c>
      <c r="I27" s="11">
        <v>6000</v>
      </c>
      <c r="J27" s="11">
        <v>6000</v>
      </c>
      <c r="K27" s="11">
        <v>6000</v>
      </c>
      <c r="L27" s="11">
        <v>6000</v>
      </c>
      <c r="M27" s="11">
        <v>6000</v>
      </c>
      <c r="N27" s="11">
        <v>6000</v>
      </c>
      <c r="O27" s="11">
        <v>6000</v>
      </c>
      <c r="P27" s="11">
        <v>6000</v>
      </c>
      <c r="Q27" s="11"/>
      <c r="R27" s="11"/>
    </row>
    <row r="28" spans="1:18" x14ac:dyDescent="0.2">
      <c r="A28" t="s">
        <v>74</v>
      </c>
      <c r="B28">
        <f>'Support metrics'!B$6</f>
        <v>878</v>
      </c>
      <c r="C28">
        <f>'Support metrics'!C$6</f>
        <v>912</v>
      </c>
      <c r="D28" s="4">
        <f>C28*(1+(C28-B28)/C28)</f>
        <v>946</v>
      </c>
      <c r="E28" s="4">
        <f t="shared" ref="E28:L28" si="50">D28*(1+(D28-C28)/D28)</f>
        <v>980</v>
      </c>
      <c r="F28" s="4">
        <f t="shared" si="50"/>
        <v>1014</v>
      </c>
      <c r="G28" s="4">
        <f>F28*0.5</f>
        <v>507</v>
      </c>
      <c r="H28" s="4">
        <f>G28*(1+(0.5*((F28-E28)/F28)))</f>
        <v>515.5</v>
      </c>
      <c r="I28" s="4">
        <f t="shared" si="50"/>
        <v>524</v>
      </c>
      <c r="J28" s="4">
        <f t="shared" si="50"/>
        <v>532.5</v>
      </c>
      <c r="K28" s="4">
        <f t="shared" si="50"/>
        <v>541</v>
      </c>
      <c r="L28" s="4">
        <f t="shared" si="50"/>
        <v>549.5</v>
      </c>
      <c r="M28" s="4">
        <f t="shared" ref="M28" si="51">L28*(1+(L28-K28)/L28)</f>
        <v>558</v>
      </c>
      <c r="N28" s="4">
        <f t="shared" ref="N28" si="52">M28*(1+(M28-L28)/M28)</f>
        <v>566.5</v>
      </c>
      <c r="O28" s="4">
        <f t="shared" ref="O28" si="53">N28*(1+(N28-M28)/N28)</f>
        <v>575</v>
      </c>
      <c r="P28" s="4">
        <f t="shared" ref="P28" si="54">O28*(1+(O28-N28)/O28)</f>
        <v>583.5</v>
      </c>
      <c r="Q28" s="4"/>
      <c r="R28" s="4"/>
    </row>
    <row r="29" spans="1:18" x14ac:dyDescent="0.2">
      <c r="A29" t="s">
        <v>75</v>
      </c>
      <c r="B29">
        <v>300</v>
      </c>
      <c r="C29">
        <v>300</v>
      </c>
      <c r="D29">
        <v>300</v>
      </c>
      <c r="E29">
        <v>300</v>
      </c>
      <c r="F29">
        <v>300</v>
      </c>
      <c r="G29">
        <v>300</v>
      </c>
      <c r="H29">
        <v>300</v>
      </c>
      <c r="I29">
        <v>300</v>
      </c>
      <c r="J29">
        <v>300</v>
      </c>
      <c r="K29">
        <v>300</v>
      </c>
      <c r="L29">
        <v>300</v>
      </c>
      <c r="M29">
        <v>301</v>
      </c>
      <c r="N29">
        <v>302</v>
      </c>
      <c r="O29">
        <v>303</v>
      </c>
      <c r="P29">
        <v>304</v>
      </c>
    </row>
    <row r="30" spans="1:18" x14ac:dyDescent="0.2">
      <c r="A30" t="s">
        <v>71</v>
      </c>
      <c r="B30" s="8">
        <f>_xlfn.CEILING.MATH(B28/B29)</f>
        <v>3</v>
      </c>
      <c r="C30" s="8">
        <f t="shared" ref="C30" si="55">_xlfn.CEILING.MATH(C28/C29)</f>
        <v>4</v>
      </c>
      <c r="D30" s="8">
        <f t="shared" ref="D30" si="56">_xlfn.CEILING.MATH(D28/D29)</f>
        <v>4</v>
      </c>
      <c r="E30" s="8">
        <f t="shared" ref="E30" si="57">_xlfn.CEILING.MATH(E28/E29)</f>
        <v>4</v>
      </c>
      <c r="F30" s="8">
        <f t="shared" ref="F30" si="58">_xlfn.CEILING.MATH(F28/F29)</f>
        <v>4</v>
      </c>
      <c r="G30" s="8">
        <f t="shared" ref="G30" si="59">_xlfn.CEILING.MATH(G28/G29)</f>
        <v>2</v>
      </c>
      <c r="H30" s="8">
        <f t="shared" ref="H30" si="60">_xlfn.CEILING.MATH(H28/H29)</f>
        <v>2</v>
      </c>
      <c r="I30" s="8">
        <f t="shared" ref="I30" si="61">_xlfn.CEILING.MATH(I28/I29)</f>
        <v>2</v>
      </c>
      <c r="J30" s="8">
        <f t="shared" ref="J30" si="62">_xlfn.CEILING.MATH(J28/J29)</f>
        <v>2</v>
      </c>
      <c r="K30" s="8">
        <f t="shared" ref="K30" si="63">_xlfn.CEILING.MATH(K28/K29)</f>
        <v>2</v>
      </c>
      <c r="L30" s="8">
        <f t="shared" ref="L30" si="64">_xlfn.CEILING.MATH(L28/L29)</f>
        <v>2</v>
      </c>
      <c r="M30" s="8">
        <f t="shared" ref="M30" si="65">_xlfn.CEILING.MATH(M28/M29)</f>
        <v>2</v>
      </c>
      <c r="N30" s="8">
        <f t="shared" ref="N30" si="66">_xlfn.CEILING.MATH(N28/N29)</f>
        <v>2</v>
      </c>
      <c r="O30" s="8">
        <f t="shared" ref="O30" si="67">_xlfn.CEILING.MATH(O28/O29)</f>
        <v>2</v>
      </c>
      <c r="P30" s="8">
        <f t="shared" ref="P30" si="68">_xlfn.CEILING.MATH(P28/P29)</f>
        <v>2</v>
      </c>
      <c r="Q30" s="8"/>
      <c r="R30" s="8"/>
    </row>
    <row r="31" spans="1:18" x14ac:dyDescent="0.2">
      <c r="A31" t="s">
        <v>69</v>
      </c>
      <c r="B31" s="8">
        <f>B27*B30</f>
        <v>18000</v>
      </c>
      <c r="C31" s="8">
        <f t="shared" ref="C31" si="69">C27*C30</f>
        <v>24000</v>
      </c>
      <c r="D31" s="8">
        <f t="shared" ref="D31" si="70">D27*D30</f>
        <v>24000</v>
      </c>
      <c r="E31" s="8">
        <f t="shared" ref="E31" si="71">E27*E30</f>
        <v>24000</v>
      </c>
      <c r="F31" s="8">
        <f t="shared" ref="F31" si="72">F27*F30</f>
        <v>24000</v>
      </c>
      <c r="G31" s="8">
        <f t="shared" ref="G31" si="73">G27*G30</f>
        <v>12000</v>
      </c>
      <c r="H31" s="8">
        <f t="shared" ref="H31" si="74">H27*H30</f>
        <v>12000</v>
      </c>
      <c r="I31" s="8">
        <f t="shared" ref="I31" si="75">I27*I30</f>
        <v>12000</v>
      </c>
      <c r="J31" s="8">
        <f t="shared" ref="J31" si="76">J27*J30</f>
        <v>12000</v>
      </c>
      <c r="K31" s="8">
        <f t="shared" ref="K31" si="77">K27*K30</f>
        <v>12000</v>
      </c>
      <c r="L31" s="8">
        <f t="shared" ref="L31" si="78">L27*L30</f>
        <v>12000</v>
      </c>
      <c r="M31" s="8">
        <f t="shared" ref="M31" si="79">M27*M30</f>
        <v>12000</v>
      </c>
      <c r="N31" s="8">
        <f t="shared" ref="N31" si="80">N27*N30</f>
        <v>12000</v>
      </c>
      <c r="O31" s="8">
        <f t="shared" ref="O31" si="81">O27*O30</f>
        <v>12000</v>
      </c>
      <c r="P31" s="8">
        <f t="shared" ref="P31" si="82">P27*P30</f>
        <v>12000</v>
      </c>
      <c r="Q31" s="8"/>
      <c r="R31" s="8"/>
    </row>
    <row r="33" spans="1:18" x14ac:dyDescent="0.2">
      <c r="A33" s="1" t="s">
        <v>78</v>
      </c>
      <c r="B33" s="5">
        <f>-(B22+B24+B25+B31)</f>
        <v>-39480</v>
      </c>
      <c r="C33" s="5">
        <f t="shared" ref="C33:L33" si="83">-(C22+C24+C25+C31)</f>
        <v>-46380</v>
      </c>
      <c r="D33" s="5">
        <f t="shared" si="83"/>
        <v>-47280</v>
      </c>
      <c r="E33" s="5">
        <f t="shared" si="83"/>
        <v>-48180</v>
      </c>
      <c r="F33" s="5">
        <f t="shared" si="83"/>
        <v>-49080</v>
      </c>
      <c r="G33" s="5">
        <f t="shared" si="83"/>
        <v>-37880</v>
      </c>
      <c r="H33" s="5">
        <f t="shared" si="83"/>
        <v>-38142.5</v>
      </c>
      <c r="I33" s="5">
        <f t="shared" si="83"/>
        <v>-38405</v>
      </c>
      <c r="J33" s="5">
        <f t="shared" si="83"/>
        <v>-38667.5</v>
      </c>
      <c r="K33" s="5">
        <f t="shared" si="83"/>
        <v>-38930</v>
      </c>
      <c r="L33" s="5">
        <f t="shared" si="83"/>
        <v>-39192.5</v>
      </c>
      <c r="M33" s="5">
        <f t="shared" ref="M33:P33" si="84">-(M22+M24+M25+M31)</f>
        <v>-39668</v>
      </c>
      <c r="N33" s="5">
        <f t="shared" si="84"/>
        <v>-40158.5</v>
      </c>
      <c r="O33" s="5">
        <f t="shared" si="84"/>
        <v>-40664</v>
      </c>
      <c r="P33" s="5">
        <f t="shared" si="84"/>
        <v>-41184.5</v>
      </c>
      <c r="Q33" s="5"/>
      <c r="R33" s="5"/>
    </row>
    <row r="36" spans="1:18" x14ac:dyDescent="0.2">
      <c r="G36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F1FC-2EFB-D144-93A9-3D45AFA046E0}">
  <dimension ref="A1:E42"/>
  <sheetViews>
    <sheetView topLeftCell="A21" zoomScale="150" zoomScaleNormal="150" workbookViewId="0">
      <selection activeCell="C22" sqref="C22"/>
    </sheetView>
  </sheetViews>
  <sheetFormatPr baseColWidth="10" defaultRowHeight="16" x14ac:dyDescent="0.2"/>
  <cols>
    <col min="1" max="1" width="46.1640625" bestFit="1" customWidth="1"/>
  </cols>
  <sheetData>
    <row r="1" spans="1:5" x14ac:dyDescent="0.2">
      <c r="B1" s="9">
        <v>45292</v>
      </c>
      <c r="C1" s="9">
        <v>45293</v>
      </c>
      <c r="D1" s="9"/>
      <c r="E1" s="9"/>
    </row>
    <row r="2" spans="1:5" x14ac:dyDescent="0.2">
      <c r="A2" t="s">
        <v>12</v>
      </c>
      <c r="B2">
        <f>B29+B35+B39</f>
        <v>1206</v>
      </c>
      <c r="C2">
        <f>C6+C7+C8</f>
        <v>1254</v>
      </c>
    </row>
    <row r="3" spans="1:5" x14ac:dyDescent="0.2">
      <c r="A3" t="s">
        <v>13</v>
      </c>
      <c r="B3">
        <v>1101</v>
      </c>
      <c r="C3">
        <f>1123</f>
        <v>1123</v>
      </c>
    </row>
    <row r="4" spans="1:5" x14ac:dyDescent="0.2">
      <c r="A4" t="s">
        <v>16</v>
      </c>
      <c r="C4" s="15">
        <f>(C2-B2)/B2</f>
        <v>3.9800995024875621E-2</v>
      </c>
    </row>
    <row r="6" spans="1:5" x14ac:dyDescent="0.2">
      <c r="A6" t="s">
        <v>26</v>
      </c>
      <c r="B6">
        <f>B35</f>
        <v>878</v>
      </c>
      <c r="C6">
        <f>C35</f>
        <v>912</v>
      </c>
    </row>
    <row r="7" spans="1:5" x14ac:dyDescent="0.2">
      <c r="A7" t="s">
        <v>25</v>
      </c>
      <c r="B7">
        <f>B29</f>
        <v>112</v>
      </c>
      <c r="C7">
        <f>C29</f>
        <v>96</v>
      </c>
    </row>
    <row r="8" spans="1:5" x14ac:dyDescent="0.2">
      <c r="A8" t="s">
        <v>27</v>
      </c>
      <c r="B8">
        <f>B39</f>
        <v>216</v>
      </c>
      <c r="C8">
        <f>C39</f>
        <v>246</v>
      </c>
    </row>
    <row r="10" spans="1:5" x14ac:dyDescent="0.2">
      <c r="A10" t="s">
        <v>47</v>
      </c>
      <c r="B10">
        <f>B2-B11</f>
        <v>1083</v>
      </c>
      <c r="C10">
        <f>C2-C11</f>
        <v>1113</v>
      </c>
    </row>
    <row r="11" spans="1:5" x14ac:dyDescent="0.2">
      <c r="A11" t="s">
        <v>15</v>
      </c>
      <c r="B11">
        <v>123</v>
      </c>
      <c r="C11">
        <v>141</v>
      </c>
    </row>
    <row r="12" spans="1:5" x14ac:dyDescent="0.2">
      <c r="A12" t="s">
        <v>17</v>
      </c>
      <c r="B12">
        <v>90</v>
      </c>
      <c r="C12">
        <v>102</v>
      </c>
    </row>
    <row r="13" spans="1:5" x14ac:dyDescent="0.2">
      <c r="A13" t="s">
        <v>18</v>
      </c>
      <c r="B13">
        <f>B11-B12</f>
        <v>33</v>
      </c>
      <c r="C13">
        <f>C11-C12</f>
        <v>39</v>
      </c>
    </row>
    <row r="15" spans="1:5" x14ac:dyDescent="0.2">
      <c r="A15" t="s">
        <v>14</v>
      </c>
      <c r="B15" s="12">
        <f>B12/B11</f>
        <v>0.73170731707317072</v>
      </c>
      <c r="C15" s="12">
        <f>C12/C11</f>
        <v>0.72340425531914898</v>
      </c>
    </row>
    <row r="16" spans="1:5" x14ac:dyDescent="0.2">
      <c r="A16" t="s">
        <v>24</v>
      </c>
      <c r="B16" s="12">
        <f>B7/B2</f>
        <v>9.2868988391376445E-2</v>
      </c>
      <c r="C16" s="12">
        <f>C7/C2</f>
        <v>7.6555023923444973E-2</v>
      </c>
    </row>
    <row r="18" spans="1:4" x14ac:dyDescent="0.2">
      <c r="A18" t="s">
        <v>23</v>
      </c>
      <c r="C18">
        <v>5</v>
      </c>
    </row>
    <row r="19" spans="1:4" x14ac:dyDescent="0.2">
      <c r="A19" t="s">
        <v>21</v>
      </c>
      <c r="C19">
        <v>31</v>
      </c>
      <c r="D19" s="4"/>
    </row>
    <row r="20" spans="1:4" x14ac:dyDescent="0.2">
      <c r="A20" t="s">
        <v>45</v>
      </c>
      <c r="C20">
        <v>101</v>
      </c>
    </row>
    <row r="21" spans="1:4" x14ac:dyDescent="0.2">
      <c r="A21" t="s">
        <v>22</v>
      </c>
      <c r="C21">
        <v>351</v>
      </c>
    </row>
    <row r="22" spans="1:4" x14ac:dyDescent="0.2">
      <c r="A22" t="s">
        <v>46</v>
      </c>
      <c r="C22">
        <f>'Current Revenue'!B6-C3</f>
        <v>7466</v>
      </c>
    </row>
    <row r="24" spans="1:4" x14ac:dyDescent="0.2">
      <c r="A24" s="1" t="s">
        <v>36</v>
      </c>
    </row>
    <row r="25" spans="1:4" x14ac:dyDescent="0.2">
      <c r="A25" t="s">
        <v>28</v>
      </c>
      <c r="B25">
        <v>912</v>
      </c>
      <c r="C25">
        <v>921</v>
      </c>
    </row>
    <row r="26" spans="1:4" x14ac:dyDescent="0.2">
      <c r="A26" t="s">
        <v>29</v>
      </c>
      <c r="B26">
        <v>757</v>
      </c>
      <c r="C26">
        <v>764</v>
      </c>
    </row>
    <row r="27" spans="1:4" x14ac:dyDescent="0.2">
      <c r="A27" t="s">
        <v>30</v>
      </c>
      <c r="B27">
        <v>43</v>
      </c>
      <c r="C27">
        <v>61</v>
      </c>
    </row>
    <row r="28" spans="1:4" x14ac:dyDescent="0.2">
      <c r="A28" t="s">
        <v>38</v>
      </c>
      <c r="B28">
        <v>4</v>
      </c>
      <c r="C28">
        <v>4</v>
      </c>
    </row>
    <row r="29" spans="1:4" x14ac:dyDescent="0.2">
      <c r="A29" t="s">
        <v>31</v>
      </c>
      <c r="B29">
        <f>B25-B26-B27</f>
        <v>112</v>
      </c>
      <c r="C29">
        <f>C25-C26-C27</f>
        <v>96</v>
      </c>
    </row>
    <row r="31" spans="1:4" x14ac:dyDescent="0.2">
      <c r="A31" s="1" t="s">
        <v>32</v>
      </c>
    </row>
    <row r="32" spans="1:4" x14ac:dyDescent="0.2">
      <c r="A32" t="s">
        <v>33</v>
      </c>
      <c r="B32">
        <f>B33+B34</f>
        <v>948</v>
      </c>
      <c r="C32">
        <f>C33+C34</f>
        <v>956</v>
      </c>
    </row>
    <row r="33" spans="1:3" x14ac:dyDescent="0.2">
      <c r="A33" t="s">
        <v>39</v>
      </c>
      <c r="B33">
        <v>191</v>
      </c>
      <c r="C33">
        <v>192</v>
      </c>
    </row>
    <row r="34" spans="1:3" x14ac:dyDescent="0.2">
      <c r="A34" t="s">
        <v>34</v>
      </c>
      <c r="B34">
        <f>B26</f>
        <v>757</v>
      </c>
      <c r="C34">
        <f>C26</f>
        <v>764</v>
      </c>
    </row>
    <row r="35" spans="1:3" x14ac:dyDescent="0.2">
      <c r="A35" t="s">
        <v>35</v>
      </c>
      <c r="B35">
        <v>878</v>
      </c>
      <c r="C35">
        <v>912</v>
      </c>
    </row>
    <row r="36" spans="1:3" x14ac:dyDescent="0.2">
      <c r="A36" t="s">
        <v>37</v>
      </c>
      <c r="B36">
        <f>B32-B35</f>
        <v>70</v>
      </c>
      <c r="C36">
        <f>C32-C35</f>
        <v>44</v>
      </c>
    </row>
    <row r="38" spans="1:3" x14ac:dyDescent="0.2">
      <c r="A38" s="1" t="s">
        <v>40</v>
      </c>
    </row>
    <row r="39" spans="1:3" x14ac:dyDescent="0.2">
      <c r="A39" t="s">
        <v>43</v>
      </c>
      <c r="B39">
        <f>B40+B41</f>
        <v>216</v>
      </c>
      <c r="C39">
        <f>C40+C41</f>
        <v>246</v>
      </c>
    </row>
    <row r="40" spans="1:3" x14ac:dyDescent="0.2">
      <c r="A40" t="s">
        <v>44</v>
      </c>
      <c r="B40">
        <f>B27</f>
        <v>43</v>
      </c>
      <c r="C40">
        <f>C27</f>
        <v>61</v>
      </c>
    </row>
    <row r="41" spans="1:3" x14ac:dyDescent="0.2">
      <c r="A41" t="s">
        <v>41</v>
      </c>
      <c r="B41">
        <v>173</v>
      </c>
      <c r="C41">
        <v>185</v>
      </c>
    </row>
    <row r="42" spans="1:3" x14ac:dyDescent="0.2">
      <c r="A42" t="s">
        <v>42</v>
      </c>
      <c r="B42">
        <f>B36</f>
        <v>70</v>
      </c>
      <c r="C42">
        <f>C36</f>
        <v>44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Profit</vt:lpstr>
      <vt:lpstr>Current Revenue</vt:lpstr>
      <vt:lpstr>Support costs</vt:lpstr>
      <vt:lpstr>Support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 User</dc:creator>
  <cp:lastModifiedBy>Emanuel Garcia</cp:lastModifiedBy>
  <dcterms:created xsi:type="dcterms:W3CDTF">2024-02-29T18:38:27Z</dcterms:created>
  <dcterms:modified xsi:type="dcterms:W3CDTF">2024-03-06T22:22:27Z</dcterms:modified>
</cp:coreProperties>
</file>