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activeTab="1"/>
  </bookViews>
  <sheets>
    <sheet name="Sheet1" sheetId="1" r:id="rId1"/>
    <sheet name="Sheet1 -New (2)" sheetId="3" r:id="rId2"/>
    <sheet name="Sheet1 -New" sheetId="2" r:id="rId3"/>
  </sheets>
  <calcPr calcId="124519" iterate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3"/>
  <c r="K11"/>
  <c r="G9"/>
  <c r="G8"/>
  <c r="H7"/>
  <c r="H6"/>
  <c r="I5"/>
  <c r="G4" l="1"/>
  <c r="G7"/>
  <c r="F7" s="1"/>
  <c r="F6"/>
  <c r="I6"/>
  <c r="K11" i="2"/>
  <c r="G9"/>
  <c r="G8"/>
  <c r="H6"/>
  <c r="H7" s="1"/>
  <c r="G6"/>
  <c r="G7" s="1"/>
  <c r="F7" s="1"/>
  <c r="F6"/>
  <c r="I5"/>
  <c r="G7" i="1"/>
  <c r="G6"/>
  <c r="F10"/>
  <c r="I5"/>
  <c r="H6"/>
  <c r="H7" s="1"/>
  <c r="K11"/>
  <c r="G8"/>
  <c r="G19" i="3" l="1"/>
  <c r="I6" i="2"/>
  <c r="G4"/>
  <c r="G19"/>
  <c r="F6" i="1"/>
  <c r="F7"/>
  <c r="I6"/>
  <c r="G9"/>
  <c r="G21" i="3" l="1"/>
  <c r="F19"/>
  <c r="F21" s="1"/>
  <c r="F19" i="2"/>
  <c r="F21" s="1"/>
  <c r="G21"/>
  <c r="G14" i="1"/>
  <c r="G19"/>
  <c r="G4"/>
  <c r="F14" l="1"/>
  <c r="G21"/>
  <c r="F19"/>
  <c r="F21" s="1"/>
  <c r="G11"/>
  <c r="F11"/>
  <c r="F15" l="1"/>
  <c r="G15" l="1"/>
  <c r="G16" s="1"/>
  <c r="G22" s="1"/>
  <c r="I9" s="1"/>
  <c r="I10" s="1"/>
  <c r="H23"/>
  <c r="F16"/>
  <c r="F22" s="1"/>
  <c r="F23" l="1"/>
  <c r="H25"/>
  <c r="I22"/>
  <c r="J22" s="1"/>
  <c r="H22"/>
  <c r="I9" i="2"/>
  <c r="F10"/>
  <c r="G10"/>
  <c r="I10"/>
  <c r="F11"/>
  <c r="G11"/>
  <c r="F14"/>
  <c r="G14"/>
  <c r="F15"/>
  <c r="G15"/>
  <c r="F16"/>
  <c r="G16"/>
  <c r="F22"/>
  <c r="G22"/>
  <c r="H22"/>
  <c r="I22"/>
  <c r="J22"/>
  <c r="F23"/>
  <c r="H23"/>
  <c r="H25"/>
  <c r="I9" i="3"/>
  <c r="F10"/>
  <c r="G10"/>
  <c r="I10"/>
  <c r="F11"/>
  <c r="G11"/>
  <c r="F14"/>
  <c r="G14"/>
  <c r="F15"/>
  <c r="G15"/>
  <c r="F16"/>
  <c r="G16"/>
  <c r="F22"/>
  <c r="G22"/>
  <c r="H22"/>
  <c r="I22"/>
  <c r="J22"/>
  <c r="F23"/>
  <c r="H23"/>
  <c r="H25"/>
</calcChain>
</file>

<file path=xl/sharedStrings.xml><?xml version="1.0" encoding="utf-8"?>
<sst xmlns="http://schemas.openxmlformats.org/spreadsheetml/2006/main" count="117" uniqueCount="35">
  <si>
    <t>COMPONENTS</t>
  </si>
  <si>
    <t>In Rs PM</t>
  </si>
  <si>
    <t>In Rs PA</t>
  </si>
  <si>
    <t>Base Pay (Basic + DA)</t>
  </si>
  <si>
    <t>House Rent Allowance</t>
  </si>
  <si>
    <t>Medical Reimbursement allowance</t>
  </si>
  <si>
    <t>Conveyance allowance</t>
  </si>
  <si>
    <t>Special Allowance</t>
  </si>
  <si>
    <t>Monthly Components [A]</t>
  </si>
  <si>
    <t>Employer Contrinbution (DIRECT)</t>
  </si>
  <si>
    <t>Employer Contribution PF</t>
  </si>
  <si>
    <t>Employer Contribution ESI</t>
  </si>
  <si>
    <t>SUB TOTAL [B]</t>
  </si>
  <si>
    <t>Annual Benefits (INDIRECT)</t>
  </si>
  <si>
    <t>Gratuity</t>
  </si>
  <si>
    <t>Statutory Bonus</t>
  </si>
  <si>
    <t>SUB TOTAL [C]</t>
  </si>
  <si>
    <t>[A] + [B] + [C]</t>
  </si>
  <si>
    <t>NET PAY [In Rs PM]</t>
  </si>
  <si>
    <t>CTC</t>
  </si>
  <si>
    <t>40% from Annual CTC</t>
  </si>
  <si>
    <t>Remarks</t>
  </si>
  <si>
    <t>50% from Base Pay</t>
  </si>
  <si>
    <t>Fixed One</t>
  </si>
  <si>
    <t>CTC minus all components</t>
  </si>
  <si>
    <t>12% from Earned gross expect HRA maximum of 1800/ month</t>
  </si>
  <si>
    <t>3.25% for Employer and 0.75% for Employee from Earned Gross Ceiling upto 21000</t>
  </si>
  <si>
    <t>NAPS Exempted</t>
  </si>
  <si>
    <t>Minimum Wages - 10144 basic should not be less than this</t>
  </si>
  <si>
    <t>PA</t>
  </si>
  <si>
    <t>PM</t>
  </si>
  <si>
    <t>Base Pay*15/26</t>
  </si>
  <si>
    <t>No Change</t>
  </si>
  <si>
    <t>Changes to match the proposed CTC</t>
  </si>
  <si>
    <t>Maximum eligiblity upto 21000 (Base Pay) if it is more than that no need to pay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</si>
</sst>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_);_(* \(#,##0\);_(* &quot;-&quot;??_);_(@_)"/>
    <numFmt numFmtId="165" formatCode="0.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w Cen MT"/>
      <family val="2"/>
    </font>
    <font>
      <sz val="1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20"/>
      <color rgb="FFFFFF00"/>
      <name val="Tw Cen MT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164" fontId="1" fillId="0" borderId="1" xfId="1" applyNumberFormat="1" applyFont="1" applyBorder="1"/>
    <xf numFmtId="164" fontId="2" fillId="0" borderId="1" xfId="1" applyNumberFormat="1" applyFont="1" applyBorder="1"/>
    <xf numFmtId="164" fontId="1" fillId="0" borderId="3" xfId="1" applyNumberFormat="1" applyFont="1" applyBorder="1"/>
    <xf numFmtId="164" fontId="0" fillId="0" borderId="0" xfId="0" applyNumberFormat="1"/>
    <xf numFmtId="43" fontId="0" fillId="0" borderId="0" xfId="0" applyNumberFormat="1"/>
    <xf numFmtId="165" fontId="0" fillId="0" borderId="0" xfId="0" applyNumberFormat="1"/>
    <xf numFmtId="0" fontId="3" fillId="0" borderId="0" xfId="0" applyFont="1"/>
    <xf numFmtId="43" fontId="3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1" fillId="5" borderId="1" xfId="1" applyNumberFormat="1" applyFont="1" applyFill="1" applyBorder="1"/>
    <xf numFmtId="164" fontId="2" fillId="9" borderId="1" xfId="1" applyNumberFormat="1" applyFont="1" applyFill="1" applyBorder="1"/>
    <xf numFmtId="164" fontId="1" fillId="6" borderId="1" xfId="1" applyNumberFormat="1" applyFont="1" applyFill="1" applyBorder="1"/>
    <xf numFmtId="164" fontId="8" fillId="4" borderId="1" xfId="1" applyNumberFormat="1" applyFont="1" applyFill="1" applyBorder="1"/>
    <xf numFmtId="0" fontId="9" fillId="2" borderId="0" xfId="0" applyFont="1" applyFill="1"/>
    <xf numFmtId="164" fontId="0" fillId="8" borderId="0" xfId="0" applyNumberFormat="1" applyFill="1"/>
    <xf numFmtId="0" fontId="2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4" fontId="10" fillId="7" borderId="1" xfId="1" applyNumberFormat="1" applyFont="1" applyFill="1" applyBorder="1"/>
    <xf numFmtId="164" fontId="10" fillId="6" borderId="0" xfId="0" applyNumberFormat="1" applyFont="1" applyFill="1"/>
    <xf numFmtId="0" fontId="5" fillId="2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43" fontId="6" fillId="3" borderId="4" xfId="0" applyNumberFormat="1" applyFont="1" applyFill="1" applyBorder="1" applyAlignment="1">
      <alignment horizontal="center" vertical="center"/>
    </xf>
    <xf numFmtId="43" fontId="6" fillId="3" borderId="5" xfId="0" applyNumberFormat="1" applyFont="1" applyFill="1" applyBorder="1" applyAlignment="1">
      <alignment horizontal="center" vertical="center"/>
    </xf>
    <xf numFmtId="43" fontId="6" fillId="3" borderId="6" xfId="0" applyNumberFormat="1" applyFont="1" applyFill="1" applyBorder="1" applyAlignment="1">
      <alignment horizontal="center" vertical="center"/>
    </xf>
    <xf numFmtId="43" fontId="6" fillId="3" borderId="7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27"/>
  <sheetViews>
    <sheetView showGridLines="0" topLeftCell="A13" zoomScale="120" zoomScaleNormal="120" workbookViewId="0">
      <selection activeCell="G28" sqref="G28"/>
    </sheetView>
  </sheetViews>
  <sheetFormatPr defaultColWidth="8.85546875" defaultRowHeight="15"/>
  <cols>
    <col min="2" max="2" width="19.7109375" customWidth="1"/>
    <col min="3" max="3" width="11" customWidth="1"/>
    <col min="4" max="4" width="9.42578125" customWidth="1"/>
    <col min="5" max="5" width="7.7109375" customWidth="1"/>
    <col min="6" max="6" width="10" bestFit="1" customWidth="1"/>
    <col min="7" max="7" width="13" bestFit="1" customWidth="1"/>
    <col min="8" max="8" width="33.28515625" bestFit="1" customWidth="1"/>
    <col min="9" max="9" width="12.5703125" customWidth="1"/>
    <col min="10" max="10" width="25.5703125" customWidth="1"/>
    <col min="11" max="11" width="73.85546875" bestFit="1" customWidth="1"/>
  </cols>
  <sheetData>
    <row r="2" spans="2:11" ht="15" customHeight="1">
      <c r="C2" s="52" t="s">
        <v>19</v>
      </c>
      <c r="D2" s="52"/>
      <c r="E2" s="52">
        <v>279416</v>
      </c>
      <c r="F2" s="52"/>
      <c r="G2" s="52"/>
      <c r="H2" s="10"/>
    </row>
    <row r="3" spans="2:11" ht="15" customHeight="1">
      <c r="C3" s="52"/>
      <c r="D3" s="52"/>
      <c r="E3" s="52"/>
      <c r="F3" s="52"/>
      <c r="G3" s="52"/>
      <c r="H3" s="10"/>
    </row>
    <row r="4" spans="2:11">
      <c r="F4" s="4"/>
      <c r="G4" s="12">
        <f>IF((G6/12)&lt;=10144,10144,(G6/12))</f>
        <v>10144</v>
      </c>
      <c r="H4" s="20" t="s">
        <v>29</v>
      </c>
      <c r="I4" s="20" t="s">
        <v>30</v>
      </c>
      <c r="K4" t="s">
        <v>21</v>
      </c>
    </row>
    <row r="5" spans="2:11">
      <c r="C5" s="30" t="s">
        <v>0</v>
      </c>
      <c r="D5" s="30"/>
      <c r="E5" s="30"/>
      <c r="F5" s="11" t="s">
        <v>1</v>
      </c>
      <c r="G5" s="11" t="s">
        <v>2</v>
      </c>
      <c r="H5" s="21">
        <v>121728</v>
      </c>
      <c r="I5" s="22">
        <f>H5/12</f>
        <v>10144</v>
      </c>
      <c r="K5" t="s">
        <v>28</v>
      </c>
    </row>
    <row r="6" spans="2:11">
      <c r="C6" s="31" t="s">
        <v>3</v>
      </c>
      <c r="D6" s="31"/>
      <c r="E6" s="31"/>
      <c r="F6" s="13">
        <f>G6/12</f>
        <v>10144</v>
      </c>
      <c r="G6" s="1">
        <f>H5</f>
        <v>121728</v>
      </c>
      <c r="H6" s="21">
        <f>E2*40/100</f>
        <v>111766.39999999999</v>
      </c>
      <c r="I6" s="22">
        <f>G6/12</f>
        <v>10144</v>
      </c>
      <c r="K6" t="s">
        <v>20</v>
      </c>
    </row>
    <row r="7" spans="2:11">
      <c r="C7" s="31" t="s">
        <v>4</v>
      </c>
      <c r="D7" s="31"/>
      <c r="E7" s="31"/>
      <c r="F7" s="1">
        <f>G7/12</f>
        <v>4057.6</v>
      </c>
      <c r="G7" s="1">
        <f>G6*40/100</f>
        <v>48691.199999999997</v>
      </c>
      <c r="H7" s="17">
        <f>H6-H5</f>
        <v>-9961.6000000000058</v>
      </c>
      <c r="I7" s="21"/>
      <c r="K7" t="s">
        <v>22</v>
      </c>
    </row>
    <row r="8" spans="2:11">
      <c r="C8" s="31" t="s">
        <v>5</v>
      </c>
      <c r="D8" s="31"/>
      <c r="E8" s="31"/>
      <c r="F8" s="14">
        <v>1250</v>
      </c>
      <c r="G8" s="14">
        <f>F8*12</f>
        <v>15000</v>
      </c>
      <c r="H8" s="9" t="s">
        <v>32</v>
      </c>
      <c r="K8" t="s">
        <v>23</v>
      </c>
    </row>
    <row r="9" spans="2:11">
      <c r="C9" s="31" t="s">
        <v>6</v>
      </c>
      <c r="D9" s="31"/>
      <c r="E9" s="31"/>
      <c r="F9" s="14">
        <v>1600</v>
      </c>
      <c r="G9" s="14">
        <f>F9*12</f>
        <v>19200</v>
      </c>
      <c r="H9" s="9" t="s">
        <v>32</v>
      </c>
      <c r="I9" s="23">
        <f>(E2-G22)</f>
        <v>3.3500000019557774E-2</v>
      </c>
      <c r="K9" t="s">
        <v>23</v>
      </c>
    </row>
    <row r="10" spans="2:11">
      <c r="C10" s="31" t="s">
        <v>7</v>
      </c>
      <c r="D10" s="31"/>
      <c r="E10" s="31"/>
      <c r="F10" s="1">
        <f>G10/12</f>
        <v>2465.75</v>
      </c>
      <c r="G10" s="15">
        <v>29589</v>
      </c>
      <c r="H10" s="9" t="s">
        <v>33</v>
      </c>
      <c r="I10" s="24">
        <f>G10+I9</f>
        <v>29589.03350000002</v>
      </c>
      <c r="K10" t="s">
        <v>24</v>
      </c>
    </row>
    <row r="11" spans="2:11">
      <c r="C11" s="32" t="s">
        <v>8</v>
      </c>
      <c r="D11" s="32"/>
      <c r="E11" s="32"/>
      <c r="F11" s="2">
        <f>SUM(F6:F10)</f>
        <v>19517.349999999999</v>
      </c>
      <c r="G11" s="2">
        <f>SUM(G6:G10)</f>
        <v>234208.2</v>
      </c>
      <c r="K11">
        <f>12000-10144</f>
        <v>1856</v>
      </c>
    </row>
    <row r="13" spans="2:11" ht="27.75" customHeight="1">
      <c r="C13" s="33" t="s">
        <v>9</v>
      </c>
      <c r="D13" s="34"/>
      <c r="E13" s="34"/>
      <c r="F13" s="34"/>
      <c r="G13" s="35"/>
    </row>
    <row r="14" spans="2:11" ht="15" customHeight="1">
      <c r="B14" t="s">
        <v>27</v>
      </c>
      <c r="C14" s="36" t="s">
        <v>10</v>
      </c>
      <c r="D14" s="37"/>
      <c r="E14" s="38"/>
      <c r="F14" s="1">
        <f>G14/12</f>
        <v>1800</v>
      </c>
      <c r="G14" s="1">
        <f>IF((F6+F9+F8+F10)&lt;=15000,(F6+F9+F8+F10),15000)*(12)*12%</f>
        <v>21600</v>
      </c>
      <c r="K14" t="s">
        <v>25</v>
      </c>
    </row>
    <row r="15" spans="2:11" ht="15" customHeight="1">
      <c r="B15" t="s">
        <v>27</v>
      </c>
      <c r="C15" s="36" t="s">
        <v>11</v>
      </c>
      <c r="D15" s="37"/>
      <c r="E15" s="38"/>
      <c r="F15" s="1">
        <f>IF((F11)&lt;=21001,(F11*3.25%),0)</f>
        <v>634.31387499999994</v>
      </c>
      <c r="G15" s="1">
        <f>F15*12</f>
        <v>7611.7664999999997</v>
      </c>
      <c r="K15" t="s">
        <v>26</v>
      </c>
    </row>
    <row r="16" spans="2:11" ht="15" customHeight="1">
      <c r="C16" s="33" t="s">
        <v>12</v>
      </c>
      <c r="D16" s="34"/>
      <c r="E16" s="35"/>
      <c r="F16" s="2">
        <f>F14+F15</f>
        <v>2434.3138749999998</v>
      </c>
      <c r="G16" s="2">
        <f>G14+G15</f>
        <v>29211.766499999998</v>
      </c>
    </row>
    <row r="17" spans="3:11">
      <c r="G17" s="1"/>
    </row>
    <row r="18" spans="3:11">
      <c r="C18" s="27" t="s">
        <v>13</v>
      </c>
      <c r="D18" s="28"/>
      <c r="E18" s="28"/>
      <c r="F18" s="28"/>
      <c r="G18" s="29"/>
    </row>
    <row r="19" spans="3:11">
      <c r="C19" s="49" t="s">
        <v>14</v>
      </c>
      <c r="D19" s="50"/>
      <c r="E19" s="51"/>
      <c r="F19" s="3">
        <f>G19/12</f>
        <v>487.66666666666669</v>
      </c>
      <c r="G19" s="1">
        <f>ROUND(((15/26)*F6),0)</f>
        <v>5852</v>
      </c>
      <c r="I19" s="6"/>
      <c r="K19" t="s">
        <v>31</v>
      </c>
    </row>
    <row r="20" spans="3:11" ht="15" customHeight="1">
      <c r="C20" s="49" t="s">
        <v>15</v>
      </c>
      <c r="D20" s="50"/>
      <c r="E20" s="51"/>
      <c r="F20" s="1">
        <v>845</v>
      </c>
      <c r="G20" s="1">
        <v>10144</v>
      </c>
      <c r="H20" s="25" t="s">
        <v>34</v>
      </c>
      <c r="I20" s="9"/>
      <c r="J20" s="9"/>
      <c r="K20" s="9" t="s">
        <v>15</v>
      </c>
    </row>
    <row r="21" spans="3:11" ht="15" customHeight="1">
      <c r="C21" s="33" t="s">
        <v>16</v>
      </c>
      <c r="D21" s="34"/>
      <c r="E21" s="35"/>
      <c r="F21" s="2">
        <f>F19+F20</f>
        <v>1332.6666666666667</v>
      </c>
      <c r="G21" s="2">
        <f>G19+G20</f>
        <v>15996</v>
      </c>
    </row>
    <row r="22" spans="3:11" ht="18.75" customHeight="1">
      <c r="C22" s="33" t="s">
        <v>17</v>
      </c>
      <c r="D22" s="34"/>
      <c r="E22" s="35"/>
      <c r="F22" s="2">
        <f>F11+F16+F21</f>
        <v>23284.330541666666</v>
      </c>
      <c r="G22" s="16">
        <f>SUM(G16,G6:G10,G21)</f>
        <v>279415.96649999998</v>
      </c>
      <c r="H22" s="7">
        <f>F22*12</f>
        <v>279411.96649999998</v>
      </c>
      <c r="I22" s="4">
        <f>F22*12</f>
        <v>279411.96649999998</v>
      </c>
      <c r="J22" s="18">
        <f>G22-I22</f>
        <v>4</v>
      </c>
    </row>
    <row r="23" spans="3:11" ht="15" customHeight="1">
      <c r="C23" s="43" t="s">
        <v>18</v>
      </c>
      <c r="D23" s="44"/>
      <c r="E23" s="45"/>
      <c r="F23" s="39">
        <f>ROUNDUP(IF(H23&gt;=1,H25,(F11-F14)),0)-(208)</f>
        <v>17363</v>
      </c>
      <c r="G23" s="40"/>
      <c r="H23" s="8">
        <f>IF(F15&gt;=1,F11*0.75%,0)</f>
        <v>146.38012499999999</v>
      </c>
      <c r="I23" s="9"/>
      <c r="J23" s="9"/>
    </row>
    <row r="24" spans="3:11" ht="15" customHeight="1">
      <c r="C24" s="46"/>
      <c r="D24" s="47"/>
      <c r="E24" s="48"/>
      <c r="F24" s="41"/>
      <c r="G24" s="42"/>
      <c r="H24" s="7"/>
      <c r="I24" s="9"/>
      <c r="J24" s="9"/>
    </row>
    <row r="25" spans="3:11">
      <c r="F25" s="5"/>
      <c r="H25" s="8">
        <f>F11-F14-H23</f>
        <v>17570.969874999999</v>
      </c>
      <c r="I25" s="9"/>
      <c r="J25" s="9"/>
    </row>
    <row r="26" spans="3:11">
      <c r="H26" s="9"/>
      <c r="I26" s="9"/>
      <c r="J26" s="9"/>
    </row>
    <row r="27" spans="3:11">
      <c r="H27" s="9"/>
      <c r="I27" s="9"/>
      <c r="J27" s="9"/>
    </row>
  </sheetData>
  <mergeCells count="20">
    <mergeCell ref="E2:G3"/>
    <mergeCell ref="C2:D3"/>
    <mergeCell ref="F23:G24"/>
    <mergeCell ref="C23:E24"/>
    <mergeCell ref="C19:E19"/>
    <mergeCell ref="C20:E20"/>
    <mergeCell ref="C21:E21"/>
    <mergeCell ref="C22:E22"/>
    <mergeCell ref="C18:G18"/>
    <mergeCell ref="C5:E5"/>
    <mergeCell ref="C6:E6"/>
    <mergeCell ref="C11:E11"/>
    <mergeCell ref="C13:G13"/>
    <mergeCell ref="C14:E14"/>
    <mergeCell ref="C15:E15"/>
    <mergeCell ref="C16:E16"/>
    <mergeCell ref="C7:E7"/>
    <mergeCell ref="C8:E8"/>
    <mergeCell ref="C9:E9"/>
    <mergeCell ref="C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B2:K27"/>
  <sheetViews>
    <sheetView showGridLines="0" tabSelected="1" zoomScale="120" zoomScaleNormal="120" workbookViewId="0">
      <selection activeCell="B18" sqref="B18"/>
    </sheetView>
  </sheetViews>
  <sheetFormatPr defaultColWidth="8.85546875" defaultRowHeight="15"/>
  <cols>
    <col min="2" max="2" width="19.7109375" customWidth="1"/>
    <col min="3" max="3" width="11" customWidth="1"/>
    <col min="4" max="4" width="9.42578125" customWidth="1"/>
    <col min="5" max="5" width="7.7109375" customWidth="1"/>
    <col min="6" max="6" width="10" bestFit="1" customWidth="1"/>
    <col min="7" max="7" width="13" bestFit="1" customWidth="1"/>
    <col min="8" max="8" width="33.28515625" bestFit="1" customWidth="1"/>
    <col min="9" max="9" width="12.5703125" customWidth="1"/>
    <col min="10" max="10" width="25.5703125" customWidth="1"/>
    <col min="11" max="11" width="73.85546875" bestFit="1" customWidth="1"/>
  </cols>
  <sheetData>
    <row r="2" spans="2:11" ht="15" customHeight="1">
      <c r="C2" s="52" t="s">
        <v>19</v>
      </c>
      <c r="D2" s="52"/>
      <c r="E2" s="52">
        <v>350000</v>
      </c>
      <c r="F2" s="52"/>
      <c r="G2" s="52"/>
      <c r="H2" s="10"/>
    </row>
    <row r="3" spans="2:11" ht="15" customHeight="1">
      <c r="C3" s="52"/>
      <c r="D3" s="52"/>
      <c r="E3" s="52"/>
      <c r="F3" s="52"/>
      <c r="G3" s="52"/>
      <c r="H3" s="10"/>
    </row>
    <row r="4" spans="2:11">
      <c r="F4" s="4"/>
      <c r="G4" s="12">
        <f>IF((G6/12)&lt;=10144,10144,(G6/12))</f>
        <v>11666.666666666666</v>
      </c>
      <c r="H4" s="20" t="s">
        <v>29</v>
      </c>
      <c r="I4" s="20" t="s">
        <v>30</v>
      </c>
      <c r="K4" t="s">
        <v>21</v>
      </c>
    </row>
    <row r="5" spans="2:11">
      <c r="C5" s="30" t="s">
        <v>0</v>
      </c>
      <c r="D5" s="30"/>
      <c r="E5" s="30"/>
      <c r="F5" s="26" t="s">
        <v>1</v>
      </c>
      <c r="G5" s="26" t="s">
        <v>2</v>
      </c>
      <c r="H5" s="21">
        <v>121728</v>
      </c>
      <c r="I5" s="22">
        <f>H5/12</f>
        <v>10144</v>
      </c>
      <c r="K5" t="s">
        <v>28</v>
      </c>
    </row>
    <row r="6" spans="2:11">
      <c r="C6" s="31" t="s">
        <v>3</v>
      </c>
      <c r="D6" s="31"/>
      <c r="E6" s="31"/>
      <c r="F6" s="13">
        <f>G6/12</f>
        <v>11666.666666666666</v>
      </c>
      <c r="G6" s="1">
        <f>MAX(121728,ROUND(E2*40%,0))</f>
        <v>140000</v>
      </c>
      <c r="H6" s="21">
        <f>E2*40/100</f>
        <v>140000</v>
      </c>
      <c r="I6" s="22">
        <f>G6/12</f>
        <v>11666.666666666666</v>
      </c>
      <c r="K6" t="s">
        <v>20</v>
      </c>
    </row>
    <row r="7" spans="2:11">
      <c r="C7" s="31" t="s">
        <v>4</v>
      </c>
      <c r="D7" s="31"/>
      <c r="E7" s="31"/>
      <c r="F7" s="1">
        <f>G7/12</f>
        <v>4666.666666666667</v>
      </c>
      <c r="G7" s="1">
        <f>G6*40/100</f>
        <v>56000</v>
      </c>
      <c r="H7" s="17">
        <f>H6-H5</f>
        <v>18272</v>
      </c>
      <c r="I7" s="21"/>
      <c r="K7" t="s">
        <v>22</v>
      </c>
    </row>
    <row r="8" spans="2:11">
      <c r="C8" s="31" t="s">
        <v>5</v>
      </c>
      <c r="D8" s="31"/>
      <c r="E8" s="31"/>
      <c r="F8" s="14">
        <v>1250</v>
      </c>
      <c r="G8" s="14">
        <f>F8*12</f>
        <v>15000</v>
      </c>
      <c r="H8" s="9" t="s">
        <v>32</v>
      </c>
      <c r="K8" t="s">
        <v>23</v>
      </c>
    </row>
    <row r="9" spans="2:11">
      <c r="C9" s="31" t="s">
        <v>6</v>
      </c>
      <c r="D9" s="31"/>
      <c r="E9" s="31"/>
      <c r="F9" s="14">
        <v>1600</v>
      </c>
      <c r="G9" s="14">
        <f>F9*12</f>
        <v>19200</v>
      </c>
      <c r="H9" s="9" t="s">
        <v>32</v>
      </c>
      <c r="I9" s="23">
        <f ca="1">(E2-G22)</f>
        <v>0</v>
      </c>
      <c r="K9" t="s">
        <v>23</v>
      </c>
    </row>
    <row r="10" spans="2:11">
      <c r="C10" s="31" t="s">
        <v>7</v>
      </c>
      <c r="D10" s="31"/>
      <c r="E10" s="31"/>
      <c r="F10" s="1">
        <f ca="1">G10/12</f>
        <v>6777.083333333333</v>
      </c>
      <c r="G10" s="15">
        <f ca="1">E2-G6-G7-G8-G9-G14-G15-G19-G20</f>
        <v>81325</v>
      </c>
      <c r="H10" s="9" t="s">
        <v>33</v>
      </c>
      <c r="I10" s="24">
        <f ca="1">G10+I9</f>
        <v>81325</v>
      </c>
      <c r="K10" t="s">
        <v>24</v>
      </c>
    </row>
    <row r="11" spans="2:11">
      <c r="C11" s="32" t="s">
        <v>8</v>
      </c>
      <c r="D11" s="32"/>
      <c r="E11" s="32"/>
      <c r="F11" s="2">
        <f ca="1">SUM(F6:F10)</f>
        <v>25960.416666666664</v>
      </c>
      <c r="G11" s="2">
        <f ca="1">SUM(G6:G10)</f>
        <v>311525</v>
      </c>
      <c r="K11">
        <f>12000-10144</f>
        <v>1856</v>
      </c>
    </row>
    <row r="13" spans="2:11" ht="27.75" customHeight="1">
      <c r="C13" s="33" t="s">
        <v>9</v>
      </c>
      <c r="D13" s="34"/>
      <c r="E13" s="34"/>
      <c r="F13" s="34"/>
      <c r="G13" s="35"/>
    </row>
    <row r="14" spans="2:11" ht="15" customHeight="1">
      <c r="B14" t="s">
        <v>27</v>
      </c>
      <c r="C14" s="36" t="s">
        <v>10</v>
      </c>
      <c r="D14" s="37"/>
      <c r="E14" s="38"/>
      <c r="F14" s="1">
        <f ca="1">G14/12</f>
        <v>1800</v>
      </c>
      <c r="G14" s="1">
        <f ca="1">IF((F6+F9+F8+F10)&lt;=15000,(F6+F9+F8+F10),15000)*(12)*12%</f>
        <v>21600</v>
      </c>
      <c r="K14" t="s">
        <v>25</v>
      </c>
    </row>
    <row r="15" spans="2:11" ht="15" customHeight="1">
      <c r="B15" t="s">
        <v>27</v>
      </c>
      <c r="C15" s="36" t="s">
        <v>11</v>
      </c>
      <c r="D15" s="37"/>
      <c r="E15" s="38"/>
      <c r="F15" s="1">
        <f ca="1">IF((F11)&lt;=21001,(F11*3.25%),0)</f>
        <v>0</v>
      </c>
      <c r="G15" s="1">
        <f ca="1">F15*12</f>
        <v>0</v>
      </c>
      <c r="K15" t="s">
        <v>26</v>
      </c>
    </row>
    <row r="16" spans="2:11" ht="15" customHeight="1">
      <c r="C16" s="33" t="s">
        <v>12</v>
      </c>
      <c r="D16" s="34"/>
      <c r="E16" s="35"/>
      <c r="F16" s="2">
        <f ca="1">F14+F15</f>
        <v>1800</v>
      </c>
      <c r="G16" s="2">
        <f ca="1">G14+G15</f>
        <v>21600</v>
      </c>
    </row>
    <row r="17" spans="3:11">
      <c r="G17" s="1"/>
    </row>
    <row r="18" spans="3:11">
      <c r="C18" s="27" t="s">
        <v>13</v>
      </c>
      <c r="D18" s="28"/>
      <c r="E18" s="28"/>
      <c r="F18" s="28"/>
      <c r="G18" s="29"/>
    </row>
    <row r="19" spans="3:11">
      <c r="C19" s="49" t="s">
        <v>14</v>
      </c>
      <c r="D19" s="50"/>
      <c r="E19" s="51"/>
      <c r="F19" s="3">
        <f>G19/12</f>
        <v>560.91666666666663</v>
      </c>
      <c r="G19" s="1">
        <f>ROUND(((15/26)*F6),0)</f>
        <v>6731</v>
      </c>
      <c r="I19" s="6"/>
      <c r="K19" t="s">
        <v>31</v>
      </c>
    </row>
    <row r="20" spans="3:11" ht="15" customHeight="1">
      <c r="C20" s="49" t="s">
        <v>15</v>
      </c>
      <c r="D20" s="50"/>
      <c r="E20" s="51"/>
      <c r="F20" s="1">
        <v>845</v>
      </c>
      <c r="G20" s="1">
        <v>10144</v>
      </c>
      <c r="H20" s="25" t="s">
        <v>34</v>
      </c>
      <c r="I20" s="9"/>
      <c r="J20" s="9"/>
      <c r="K20" s="9" t="s">
        <v>15</v>
      </c>
    </row>
    <row r="21" spans="3:11" ht="15" customHeight="1">
      <c r="C21" s="33" t="s">
        <v>16</v>
      </c>
      <c r="D21" s="34"/>
      <c r="E21" s="35"/>
      <c r="F21" s="2">
        <f>F19+F20</f>
        <v>1405.9166666666665</v>
      </c>
      <c r="G21" s="2">
        <f>G19+G20</f>
        <v>16875</v>
      </c>
    </row>
    <row r="22" spans="3:11" ht="18.75" customHeight="1">
      <c r="C22" s="33" t="s">
        <v>17</v>
      </c>
      <c r="D22" s="34"/>
      <c r="E22" s="35"/>
      <c r="F22" s="2">
        <f ca="1">F11+F16+F21</f>
        <v>29166.333333333332</v>
      </c>
      <c r="G22" s="16">
        <f ca="1">SUM(G16,G6:G10,G21)</f>
        <v>350000</v>
      </c>
      <c r="H22" s="7">
        <f ca="1">F22*12</f>
        <v>349996</v>
      </c>
      <c r="I22" s="4">
        <f ca="1">F22*12</f>
        <v>349996</v>
      </c>
      <c r="J22" s="18">
        <f ca="1">G22-I22</f>
        <v>4</v>
      </c>
    </row>
    <row r="23" spans="3:11" ht="15" customHeight="1">
      <c r="C23" s="43" t="s">
        <v>18</v>
      </c>
      <c r="D23" s="44"/>
      <c r="E23" s="45"/>
      <c r="F23" s="39">
        <f ca="1">ROUNDUP(IF(H23&gt;=1,H25,(F11-F14)),0)-(208)</f>
        <v>23953</v>
      </c>
      <c r="G23" s="40"/>
      <c r="H23" s="8">
        <f ca="1">IF(F15&gt;=1,F11*0.75%,0)</f>
        <v>0</v>
      </c>
      <c r="I23" s="9"/>
      <c r="J23" s="9"/>
    </row>
    <row r="24" spans="3:11" ht="15" customHeight="1">
      <c r="C24" s="46"/>
      <c r="D24" s="47"/>
      <c r="E24" s="48"/>
      <c r="F24" s="41"/>
      <c r="G24" s="42"/>
      <c r="H24" s="7"/>
      <c r="I24" s="9"/>
      <c r="J24" s="9"/>
    </row>
    <row r="25" spans="3:11">
      <c r="F25" s="5"/>
      <c r="H25" s="8">
        <f ca="1">F11-F14-H23</f>
        <v>24160.416666666664</v>
      </c>
      <c r="I25" s="9"/>
      <c r="J25" s="9"/>
    </row>
    <row r="26" spans="3:11">
      <c r="H26" s="9"/>
      <c r="I26" s="9"/>
      <c r="J26" s="9"/>
    </row>
    <row r="27" spans="3:11">
      <c r="H27" s="9"/>
      <c r="I27" s="9"/>
      <c r="J27" s="9"/>
    </row>
  </sheetData>
  <mergeCells count="20">
    <mergeCell ref="C23:E24"/>
    <mergeCell ref="F23:G24"/>
    <mergeCell ref="C16:E16"/>
    <mergeCell ref="C18:G18"/>
    <mergeCell ref="C19:E19"/>
    <mergeCell ref="C20:E20"/>
    <mergeCell ref="C21:E21"/>
    <mergeCell ref="C22:E22"/>
    <mergeCell ref="C9:E9"/>
    <mergeCell ref="C10:E10"/>
    <mergeCell ref="C11:E11"/>
    <mergeCell ref="C13:G13"/>
    <mergeCell ref="C14:E14"/>
    <mergeCell ref="C15:E15"/>
    <mergeCell ref="C2:D3"/>
    <mergeCell ref="E2:G3"/>
    <mergeCell ref="C5:E5"/>
    <mergeCell ref="C6:E6"/>
    <mergeCell ref="C7:E7"/>
    <mergeCell ref="C8: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27"/>
  <sheetViews>
    <sheetView showGridLines="0" zoomScale="120" zoomScaleNormal="120" workbookViewId="0">
      <selection activeCell="G10" sqref="G10"/>
    </sheetView>
  </sheetViews>
  <sheetFormatPr defaultColWidth="8.85546875" defaultRowHeight="15"/>
  <cols>
    <col min="2" max="2" width="19.7109375" customWidth="1"/>
    <col min="3" max="3" width="11" customWidth="1"/>
    <col min="4" max="4" width="9.42578125" customWidth="1"/>
    <col min="5" max="5" width="7.7109375" customWidth="1"/>
    <col min="6" max="6" width="10" bestFit="1" customWidth="1"/>
    <col min="7" max="7" width="13" bestFit="1" customWidth="1"/>
    <col min="8" max="8" width="33.28515625" bestFit="1" customWidth="1"/>
    <col min="9" max="9" width="12.5703125" customWidth="1"/>
    <col min="10" max="10" width="25.5703125" customWidth="1"/>
    <col min="11" max="11" width="73.85546875" bestFit="1" customWidth="1"/>
  </cols>
  <sheetData>
    <row r="2" spans="2:11" ht="15" customHeight="1">
      <c r="C2" s="52" t="s">
        <v>19</v>
      </c>
      <c r="D2" s="52"/>
      <c r="E2" s="52">
        <v>279416</v>
      </c>
      <c r="F2" s="52"/>
      <c r="G2" s="52"/>
      <c r="H2" s="10"/>
    </row>
    <row r="3" spans="2:11" ht="15" customHeight="1">
      <c r="C3" s="52"/>
      <c r="D3" s="52"/>
      <c r="E3" s="52"/>
      <c r="F3" s="52"/>
      <c r="G3" s="52"/>
      <c r="H3" s="10"/>
    </row>
    <row r="4" spans="2:11">
      <c r="F4" s="4"/>
      <c r="G4" s="12">
        <f>IF((G6/12)&lt;=10144,10144,(G6/12))</f>
        <v>10144</v>
      </c>
      <c r="H4" s="20" t="s">
        <v>29</v>
      </c>
      <c r="I4" s="20" t="s">
        <v>30</v>
      </c>
      <c r="K4" t="s">
        <v>21</v>
      </c>
    </row>
    <row r="5" spans="2:11">
      <c r="C5" s="30" t="s">
        <v>0</v>
      </c>
      <c r="D5" s="30"/>
      <c r="E5" s="30"/>
      <c r="F5" s="19" t="s">
        <v>1</v>
      </c>
      <c r="G5" s="19" t="s">
        <v>2</v>
      </c>
      <c r="H5" s="21">
        <v>121728</v>
      </c>
      <c r="I5" s="22">
        <f>H5/12</f>
        <v>10144</v>
      </c>
      <c r="K5" t="s">
        <v>28</v>
      </c>
    </row>
    <row r="6" spans="2:11">
      <c r="C6" s="31" t="s">
        <v>3</v>
      </c>
      <c r="D6" s="31"/>
      <c r="E6" s="31"/>
      <c r="F6" s="13">
        <f>G6/12</f>
        <v>10144</v>
      </c>
      <c r="G6" s="1">
        <f>H5</f>
        <v>121728</v>
      </c>
      <c r="H6" s="21">
        <f>E2*40/100</f>
        <v>111766.39999999999</v>
      </c>
      <c r="I6" s="22">
        <f>G6/12</f>
        <v>10144</v>
      </c>
      <c r="K6" t="s">
        <v>20</v>
      </c>
    </row>
    <row r="7" spans="2:11">
      <c r="C7" s="31" t="s">
        <v>4</v>
      </c>
      <c r="D7" s="31"/>
      <c r="E7" s="31"/>
      <c r="F7" s="1">
        <f>G7/12</f>
        <v>4057.6</v>
      </c>
      <c r="G7" s="1">
        <f>G6*40/100</f>
        <v>48691.199999999997</v>
      </c>
      <c r="H7" s="17">
        <f>H6-H5</f>
        <v>-9961.6000000000058</v>
      </c>
      <c r="I7" s="21"/>
      <c r="K7" t="s">
        <v>22</v>
      </c>
    </row>
    <row r="8" spans="2:11">
      <c r="C8" s="31" t="s">
        <v>5</v>
      </c>
      <c r="D8" s="31"/>
      <c r="E8" s="31"/>
      <c r="F8" s="14">
        <v>1250</v>
      </c>
      <c r="G8" s="14">
        <f>F8*12</f>
        <v>15000</v>
      </c>
      <c r="H8" s="9" t="s">
        <v>32</v>
      </c>
      <c r="K8" t="s">
        <v>23</v>
      </c>
    </row>
    <row r="9" spans="2:11">
      <c r="C9" s="31" t="s">
        <v>6</v>
      </c>
      <c r="D9" s="31"/>
      <c r="E9" s="31"/>
      <c r="F9" s="14">
        <v>1600</v>
      </c>
      <c r="G9" s="14">
        <f>F9*12</f>
        <v>19200</v>
      </c>
      <c r="H9" s="9" t="s">
        <v>32</v>
      </c>
      <c r="I9" s="23">
        <f ca="1">(E2-G22)</f>
        <v>0</v>
      </c>
      <c r="K9" t="s">
        <v>23</v>
      </c>
    </row>
    <row r="10" spans="2:11">
      <c r="C10" s="31" t="s">
        <v>7</v>
      </c>
      <c r="D10" s="31"/>
      <c r="E10" s="31"/>
      <c r="F10" s="1">
        <f ca="1">G10/12</f>
        <v>2465.7527037933819</v>
      </c>
      <c r="G10" s="15">
        <f ca="1">E2-G6-G7-G8-G9-G14-G15-G19-G20</f>
        <v>29589.032445520585</v>
      </c>
      <c r="H10" s="9" t="s">
        <v>33</v>
      </c>
      <c r="I10" s="24">
        <f ca="1">G10+I9</f>
        <v>29589.032445520585</v>
      </c>
      <c r="K10" t="s">
        <v>24</v>
      </c>
    </row>
    <row r="11" spans="2:11">
      <c r="C11" s="32" t="s">
        <v>8</v>
      </c>
      <c r="D11" s="32"/>
      <c r="E11" s="32"/>
      <c r="F11" s="2">
        <f ca="1">SUM(F6:F10)</f>
        <v>19517.352703793382</v>
      </c>
      <c r="G11" s="2">
        <f ca="1">SUM(G6:G10)</f>
        <v>234208.23244552058</v>
      </c>
      <c r="K11">
        <f>12000-10144</f>
        <v>1856</v>
      </c>
    </row>
    <row r="13" spans="2:11" ht="27.75" customHeight="1">
      <c r="C13" s="33" t="s">
        <v>9</v>
      </c>
      <c r="D13" s="34"/>
      <c r="E13" s="34"/>
      <c r="F13" s="34"/>
      <c r="G13" s="35"/>
    </row>
    <row r="14" spans="2:11" ht="15" customHeight="1">
      <c r="B14" t="s">
        <v>27</v>
      </c>
      <c r="C14" s="36" t="s">
        <v>10</v>
      </c>
      <c r="D14" s="37"/>
      <c r="E14" s="38"/>
      <c r="F14" s="1">
        <f ca="1">G14/12</f>
        <v>1800</v>
      </c>
      <c r="G14" s="1">
        <f ca="1">IF((F6+F9+F8+F10)&lt;=15000,(F6+F9+F8+F10),15000)*(12)*12%</f>
        <v>21600</v>
      </c>
      <c r="K14" t="s">
        <v>25</v>
      </c>
    </row>
    <row r="15" spans="2:11" ht="15" customHeight="1">
      <c r="B15" t="s">
        <v>27</v>
      </c>
      <c r="C15" s="36" t="s">
        <v>11</v>
      </c>
      <c r="D15" s="37"/>
      <c r="E15" s="38"/>
      <c r="F15" s="1">
        <f ca="1">IF((F11)&lt;=21001,(F11*3.25%),0)</f>
        <v>634.31396287328494</v>
      </c>
      <c r="G15" s="1">
        <f ca="1">F15*12</f>
        <v>7611.7675544794192</v>
      </c>
      <c r="K15" t="s">
        <v>26</v>
      </c>
    </row>
    <row r="16" spans="2:11" ht="15" customHeight="1">
      <c r="C16" s="33" t="s">
        <v>12</v>
      </c>
      <c r="D16" s="34"/>
      <c r="E16" s="35"/>
      <c r="F16" s="2">
        <f ca="1">F14+F15</f>
        <v>2434.3139628732852</v>
      </c>
      <c r="G16" s="2">
        <f ca="1">G14+G15</f>
        <v>29211.767554479418</v>
      </c>
    </row>
    <row r="17" spans="3:11">
      <c r="G17" s="1"/>
    </row>
    <row r="18" spans="3:11">
      <c r="C18" s="27" t="s">
        <v>13</v>
      </c>
      <c r="D18" s="28"/>
      <c r="E18" s="28"/>
      <c r="F18" s="28"/>
      <c r="G18" s="29"/>
    </row>
    <row r="19" spans="3:11">
      <c r="C19" s="49" t="s">
        <v>14</v>
      </c>
      <c r="D19" s="50"/>
      <c r="E19" s="51"/>
      <c r="F19" s="3">
        <f>G19/12</f>
        <v>487.66666666666669</v>
      </c>
      <c r="G19" s="1">
        <f>ROUND(((15/26)*F6),0)</f>
        <v>5852</v>
      </c>
      <c r="I19" s="6"/>
      <c r="K19" t="s">
        <v>31</v>
      </c>
    </row>
    <row r="20" spans="3:11" ht="15" customHeight="1">
      <c r="C20" s="49" t="s">
        <v>15</v>
      </c>
      <c r="D20" s="50"/>
      <c r="E20" s="51"/>
      <c r="F20" s="1">
        <v>845</v>
      </c>
      <c r="G20" s="1">
        <v>10144</v>
      </c>
      <c r="H20" s="25" t="s">
        <v>34</v>
      </c>
      <c r="I20" s="9"/>
      <c r="J20" s="9"/>
      <c r="K20" s="9" t="s">
        <v>15</v>
      </c>
    </row>
    <row r="21" spans="3:11" ht="15" customHeight="1">
      <c r="C21" s="33" t="s">
        <v>16</v>
      </c>
      <c r="D21" s="34"/>
      <c r="E21" s="35"/>
      <c r="F21" s="2">
        <f>F19+F20</f>
        <v>1332.6666666666667</v>
      </c>
      <c r="G21" s="2">
        <f>G19+G20</f>
        <v>15996</v>
      </c>
    </row>
    <row r="22" spans="3:11" ht="18.75" customHeight="1">
      <c r="C22" s="33" t="s">
        <v>17</v>
      </c>
      <c r="D22" s="34"/>
      <c r="E22" s="35"/>
      <c r="F22" s="2">
        <f ca="1">F11+F16+F21</f>
        <v>23284.333333333336</v>
      </c>
      <c r="G22" s="16">
        <f ca="1">SUM(G16,G6:G10,G21)</f>
        <v>279416</v>
      </c>
      <c r="H22" s="7">
        <f ca="1">F22*12</f>
        <v>279412</v>
      </c>
      <c r="I22" s="4">
        <f ca="1">F22*12</f>
        <v>279412</v>
      </c>
      <c r="J22" s="18">
        <f ca="1">G22-I22</f>
        <v>4</v>
      </c>
    </row>
    <row r="23" spans="3:11" ht="15" customHeight="1">
      <c r="C23" s="43" t="s">
        <v>18</v>
      </c>
      <c r="D23" s="44"/>
      <c r="E23" s="45"/>
      <c r="F23" s="39">
        <f ca="1">ROUNDUP(IF(H23&gt;=1,H25,(F11-F14)),0)-(208)</f>
        <v>17363</v>
      </c>
      <c r="G23" s="40"/>
      <c r="H23" s="8">
        <f ca="1">IF(F15&gt;=1,F11*0.75%,0)</f>
        <v>146.38014527845036</v>
      </c>
      <c r="I23" s="9"/>
      <c r="J23" s="9"/>
    </row>
    <row r="24" spans="3:11" ht="15" customHeight="1">
      <c r="C24" s="46"/>
      <c r="D24" s="47"/>
      <c r="E24" s="48"/>
      <c r="F24" s="41"/>
      <c r="G24" s="42"/>
      <c r="H24" s="7"/>
      <c r="I24" s="9"/>
      <c r="J24" s="9"/>
    </row>
    <row r="25" spans="3:11">
      <c r="F25" s="5"/>
      <c r="H25" s="8">
        <f ca="1">F11-F14-H23</f>
        <v>17570.972558514932</v>
      </c>
      <c r="I25" s="9"/>
      <c r="J25" s="9"/>
    </row>
    <row r="26" spans="3:11">
      <c r="H26" s="9"/>
      <c r="I26" s="9"/>
      <c r="J26" s="9"/>
    </row>
    <row r="27" spans="3:11">
      <c r="H27" s="9"/>
      <c r="I27" s="9"/>
      <c r="J27" s="9"/>
    </row>
  </sheetData>
  <mergeCells count="20">
    <mergeCell ref="C15:E15"/>
    <mergeCell ref="C2:D3"/>
    <mergeCell ref="E2:G3"/>
    <mergeCell ref="C5:E5"/>
    <mergeCell ref="C6:E6"/>
    <mergeCell ref="C7:E7"/>
    <mergeCell ref="C8:E8"/>
    <mergeCell ref="C9:E9"/>
    <mergeCell ref="C10:E10"/>
    <mergeCell ref="C11:E11"/>
    <mergeCell ref="C13:G13"/>
    <mergeCell ref="C14:E14"/>
    <mergeCell ref="C23:E24"/>
    <mergeCell ref="F23:G24"/>
    <mergeCell ref="C16:E16"/>
    <mergeCell ref="C18:G18"/>
    <mergeCell ref="C19:E19"/>
    <mergeCell ref="C20:E20"/>
    <mergeCell ref="C21:E21"/>
    <mergeCell ref="C22:E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Sheet1 -New (2)</vt:lpstr>
      <vt:lpstr>Sheet1 -New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HEPL</dc:creator>
  <cp:lastModifiedBy>HEPL</cp:lastModifiedBy>
  <dcterms:created xsi:type="dcterms:W3CDTF">2022-02-04T06:45:23Z</dcterms:created>
  <dcterms:modified xsi:type="dcterms:W3CDTF">2022-08-19T06:26:35Z</dcterms:modified>
</cp:coreProperties>
</file>