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048" windowHeight="5508" tabRatio="295"/>
  </bookViews>
  <sheets>
    <sheet name="Kinematik" sheetId="1" r:id="rId1"/>
    <sheet name="Theorie" sheetId="2" r:id="rId2"/>
  </sheets>
  <calcPr calcId="152511"/>
</workbook>
</file>

<file path=xl/calcChain.xml><?xml version="1.0" encoding="utf-8"?>
<calcChain xmlns="http://schemas.openxmlformats.org/spreadsheetml/2006/main">
  <c r="I15" i="1" l="1"/>
  <c r="H16" i="1"/>
  <c r="I16" i="1"/>
  <c r="H17" i="1"/>
  <c r="I17" i="1"/>
  <c r="E111" i="1" l="1"/>
  <c r="E110" i="1"/>
  <c r="F65" i="1"/>
  <c r="G28" i="1"/>
  <c r="Q50" i="1"/>
  <c r="Q45" i="1"/>
  <c r="Q40" i="1"/>
  <c r="Q35" i="1"/>
  <c r="Q30" i="1"/>
  <c r="Q25" i="1"/>
  <c r="G23" i="1"/>
  <c r="H23" i="1" s="1"/>
  <c r="D28" i="1"/>
  <c r="P30" i="1" s="1"/>
  <c r="D33" i="1"/>
  <c r="D38" i="1"/>
  <c r="P40" i="1" s="1"/>
  <c r="D43" i="1"/>
  <c r="P45" i="1" s="1"/>
  <c r="D48" i="1"/>
  <c r="P50" i="1" s="1"/>
  <c r="D23" i="1"/>
  <c r="O25" i="1" s="1"/>
  <c r="G33" i="1"/>
  <c r="H33" i="1" s="1"/>
  <c r="G38" i="1"/>
  <c r="H38" i="1" s="1"/>
  <c r="G43" i="1"/>
  <c r="H43" i="1" s="1"/>
  <c r="G48" i="1"/>
  <c r="H48" i="1" s="1"/>
  <c r="Q49" i="1" s="1"/>
  <c r="C16" i="1"/>
  <c r="C17" i="1"/>
  <c r="C18" i="1"/>
  <c r="C19" i="1"/>
  <c r="C20" i="1"/>
  <c r="C15" i="1"/>
  <c r="O127" i="1" l="1"/>
  <c r="N127" i="1"/>
  <c r="M127" i="1"/>
  <c r="N126" i="1"/>
  <c r="M125" i="1"/>
  <c r="O126" i="1"/>
  <c r="N125" i="1"/>
  <c r="O125" i="1"/>
  <c r="M126" i="1"/>
  <c r="P39" i="1"/>
  <c r="P44" i="1"/>
  <c r="O40" i="1"/>
  <c r="O50" i="1"/>
  <c r="O30" i="1"/>
  <c r="O45" i="1"/>
  <c r="O24" i="1"/>
  <c r="N48" i="1"/>
  <c r="N49" i="1"/>
  <c r="O48" i="1"/>
  <c r="O49" i="1"/>
  <c r="P48" i="1"/>
  <c r="P49" i="1"/>
  <c r="Q48" i="1"/>
  <c r="Q43" i="1"/>
  <c r="Q44" i="1"/>
  <c r="N43" i="1"/>
  <c r="N44" i="1"/>
  <c r="O43" i="1"/>
  <c r="O44" i="1"/>
  <c r="P43" i="1"/>
  <c r="O34" i="1"/>
  <c r="P33" i="1"/>
  <c r="N34" i="1"/>
  <c r="P34" i="1"/>
  <c r="P25" i="1"/>
  <c r="Q33" i="1"/>
  <c r="Q34" i="1"/>
  <c r="O33" i="1"/>
  <c r="O35" i="1"/>
  <c r="N33" i="1"/>
  <c r="P35" i="1"/>
  <c r="O23" i="1"/>
  <c r="Q38" i="1"/>
  <c r="Q39" i="1"/>
  <c r="N38" i="1"/>
  <c r="N39" i="1"/>
  <c r="O38" i="1"/>
  <c r="O39" i="1"/>
  <c r="P38" i="1"/>
  <c r="P23" i="1"/>
  <c r="Q24" i="1"/>
  <c r="P24" i="1"/>
  <c r="N23" i="1"/>
  <c r="N24" i="1"/>
  <c r="Q23" i="1"/>
  <c r="H28" i="1"/>
  <c r="O28" i="1" s="1"/>
  <c r="J125" i="1" l="1" a="1"/>
  <c r="L125" i="1" s="1"/>
  <c r="R23" i="1" a="1"/>
  <c r="U23" i="1" s="1"/>
  <c r="Q29" i="1"/>
  <c r="P29" i="1"/>
  <c r="Q28" i="1"/>
  <c r="O29" i="1"/>
  <c r="P28" i="1"/>
  <c r="N28" i="1"/>
  <c r="N29" i="1"/>
  <c r="B130" i="1" l="1" a="1"/>
  <c r="C132" i="1" s="1"/>
  <c r="K127" i="1"/>
  <c r="J127" i="1"/>
  <c r="L127" i="1"/>
  <c r="L126" i="1"/>
  <c r="K126" i="1"/>
  <c r="K125" i="1"/>
  <c r="J125" i="1"/>
  <c r="J126" i="1"/>
  <c r="R23" i="1"/>
  <c r="R24" i="1"/>
  <c r="T23" i="1"/>
  <c r="T24" i="1"/>
  <c r="U26" i="1"/>
  <c r="T25" i="1"/>
  <c r="T26" i="1"/>
  <c r="S26" i="1"/>
  <c r="R25" i="1"/>
  <c r="S25" i="1"/>
  <c r="S23" i="1"/>
  <c r="S24" i="1"/>
  <c r="U25" i="1"/>
  <c r="R26" i="1"/>
  <c r="U24" i="1"/>
  <c r="B130" i="1" l="1"/>
  <c r="C130" i="1"/>
  <c r="C131" i="1"/>
  <c r="D130" i="1"/>
  <c r="B132" i="1"/>
  <c r="D132" i="1"/>
  <c r="D131" i="1"/>
  <c r="B131" i="1"/>
  <c r="H130" i="1" s="1" a="1"/>
  <c r="V23" i="1"/>
  <c r="V25" i="1"/>
  <c r="V26" i="1"/>
  <c r="W24" i="1"/>
  <c r="V24" i="1"/>
  <c r="R28" i="1" a="1"/>
  <c r="I132" i="1" l="1"/>
  <c r="H130" i="1"/>
  <c r="J130" i="1"/>
  <c r="I130" i="1"/>
  <c r="I131" i="1"/>
  <c r="H131" i="1"/>
  <c r="J131" i="1"/>
  <c r="H132" i="1"/>
  <c r="J132" i="1"/>
  <c r="X24" i="1"/>
  <c r="W23" i="1"/>
  <c r="X23" i="1" s="1"/>
  <c r="W25" i="1"/>
  <c r="X25" i="1" s="1"/>
  <c r="U28" i="1"/>
  <c r="R31" i="1"/>
  <c r="R29" i="1"/>
  <c r="R30" i="1"/>
  <c r="U31" i="1"/>
  <c r="U29" i="1"/>
  <c r="U30" i="1"/>
  <c r="T28" i="1"/>
  <c r="T31" i="1"/>
  <c r="T29" i="1"/>
  <c r="T30" i="1"/>
  <c r="S29" i="1"/>
  <c r="R28" i="1"/>
  <c r="S31" i="1"/>
  <c r="S30" i="1"/>
  <c r="S28" i="1"/>
  <c r="W29" i="1" l="1"/>
  <c r="W28" i="1" s="1"/>
  <c r="V30" i="1"/>
  <c r="V28" i="1"/>
  <c r="V31" i="1"/>
  <c r="V29" i="1"/>
  <c r="R33" i="1" a="1"/>
  <c r="R33" i="1" l="1"/>
  <c r="R34" i="1"/>
  <c r="R35" i="1"/>
  <c r="R36" i="1"/>
  <c r="S34" i="1"/>
  <c r="T33" i="1"/>
  <c r="T34" i="1"/>
  <c r="T35" i="1"/>
  <c r="T36" i="1"/>
  <c r="U36" i="1"/>
  <c r="U33" i="1"/>
  <c r="U34" i="1"/>
  <c r="U35" i="1"/>
  <c r="S33" i="1"/>
  <c r="S35" i="1"/>
  <c r="S36" i="1"/>
  <c r="W30" i="1"/>
  <c r="X30" i="1" s="1"/>
  <c r="X28" i="1"/>
  <c r="X29" i="1"/>
  <c r="W34" i="1" l="1"/>
  <c r="V36" i="1"/>
  <c r="V35" i="1"/>
  <c r="V34" i="1"/>
  <c r="V33" i="1"/>
  <c r="R38" i="1" a="1"/>
  <c r="W33" i="1" l="1"/>
  <c r="X33" i="1" s="1"/>
  <c r="W35" i="1"/>
  <c r="X35" i="1" s="1"/>
  <c r="R41" i="1"/>
  <c r="S38" i="1"/>
  <c r="T38" i="1"/>
  <c r="U38" i="1"/>
  <c r="R38" i="1"/>
  <c r="S39" i="1"/>
  <c r="T39" i="1"/>
  <c r="U39" i="1"/>
  <c r="R39" i="1"/>
  <c r="R40" i="1"/>
  <c r="S41" i="1"/>
  <c r="U41" i="1"/>
  <c r="S40" i="1"/>
  <c r="T40" i="1"/>
  <c r="U40" i="1"/>
  <c r="T41" i="1"/>
  <c r="X34" i="1"/>
  <c r="W39" i="1" l="1"/>
  <c r="V39" i="1"/>
  <c r="V38" i="1"/>
  <c r="V40" i="1"/>
  <c r="V41" i="1"/>
  <c r="R43" i="1" a="1"/>
  <c r="W40" i="1" l="1"/>
  <c r="X40" i="1" s="1"/>
  <c r="W38" i="1"/>
  <c r="X38" i="1" s="1"/>
  <c r="R46" i="1"/>
  <c r="S43" i="1"/>
  <c r="T43" i="1"/>
  <c r="U43" i="1"/>
  <c r="R43" i="1"/>
  <c r="S44" i="1"/>
  <c r="T44" i="1"/>
  <c r="U44" i="1"/>
  <c r="R44" i="1"/>
  <c r="S45" i="1"/>
  <c r="T45" i="1"/>
  <c r="U45" i="1"/>
  <c r="R45" i="1"/>
  <c r="S46" i="1"/>
  <c r="T46" i="1"/>
  <c r="U46" i="1"/>
  <c r="X39" i="1"/>
  <c r="W44" i="1" l="1"/>
  <c r="V45" i="1"/>
  <c r="V44" i="1"/>
  <c r="V43" i="1"/>
  <c r="V46" i="1"/>
  <c r="R48" i="1" a="1"/>
  <c r="W45" i="1" l="1"/>
  <c r="X45" i="1" s="1"/>
  <c r="W43" i="1"/>
  <c r="X43" i="1" s="1"/>
  <c r="X44" i="1"/>
  <c r="S51" i="1"/>
  <c r="S48" i="1"/>
  <c r="T50" i="1"/>
  <c r="U48" i="1"/>
  <c r="R50" i="1"/>
  <c r="S50" i="1"/>
  <c r="T51" i="1"/>
  <c r="U50" i="1"/>
  <c r="R51" i="1"/>
  <c r="T48" i="1"/>
  <c r="U49" i="1"/>
  <c r="R48" i="1"/>
  <c r="S49" i="1"/>
  <c r="T49" i="1"/>
  <c r="U51" i="1"/>
  <c r="R49" i="1"/>
  <c r="N131" i="1" l="1"/>
  <c r="M131" i="1"/>
  <c r="M130" i="1" a="1"/>
  <c r="M132" i="1" s="1"/>
  <c r="O131" i="1"/>
  <c r="O130" i="1"/>
  <c r="N130" i="1"/>
  <c r="B78" i="1"/>
  <c r="G5" i="1" s="1"/>
  <c r="B70" i="1" a="1"/>
  <c r="D70" i="1" s="1"/>
  <c r="B79" i="1"/>
  <c r="B77" i="1"/>
  <c r="G4" i="1" s="1"/>
  <c r="W49" i="1"/>
  <c r="W48" i="1" s="1"/>
  <c r="V49" i="1"/>
  <c r="G9" i="1" s="1"/>
  <c r="V48" i="1"/>
  <c r="G8" i="1" s="1"/>
  <c r="V51" i="1"/>
  <c r="V50" i="1"/>
  <c r="G10" i="1" s="1"/>
  <c r="O132" i="1" l="1"/>
  <c r="N132" i="1"/>
  <c r="M130" i="1"/>
  <c r="S130" i="1" s="1" a="1"/>
  <c r="E104" i="1"/>
  <c r="L91" i="1" s="1"/>
  <c r="G6" i="1"/>
  <c r="E106" i="1"/>
  <c r="H78" i="1"/>
  <c r="H77" i="1"/>
  <c r="B81" i="1"/>
  <c r="C55" i="1" a="1"/>
  <c r="C57" i="1" s="1"/>
  <c r="D71" i="1"/>
  <c r="D72" i="1"/>
  <c r="D73" i="1"/>
  <c r="E70" i="1"/>
  <c r="E72" i="1"/>
  <c r="B71" i="1"/>
  <c r="B72" i="1"/>
  <c r="C72" i="1"/>
  <c r="E71" i="1"/>
  <c r="C70" i="1"/>
  <c r="C71" i="1"/>
  <c r="B70" i="1"/>
  <c r="B73" i="1"/>
  <c r="C73" i="1"/>
  <c r="E73" i="1"/>
  <c r="W50" i="1"/>
  <c r="X50" i="1" s="1"/>
  <c r="H10" i="1" s="1"/>
  <c r="X48" i="1"/>
  <c r="H8" i="1" s="1"/>
  <c r="X49" i="1"/>
  <c r="H9" i="1" s="1"/>
  <c r="T130" i="1" l="1"/>
  <c r="U131" i="1"/>
  <c r="D142" i="1" s="1"/>
  <c r="S131" i="1"/>
  <c r="T132" i="1"/>
  <c r="D138" i="1" s="1"/>
  <c r="S130" i="1"/>
  <c r="T131" i="1"/>
  <c r="U132" i="1"/>
  <c r="D136" i="1" s="1"/>
  <c r="G136" i="1" s="1"/>
  <c r="U130" i="1"/>
  <c r="D144" i="1" s="1"/>
  <c r="S132" i="1"/>
  <c r="D140" i="1" s="1"/>
  <c r="M109" i="1"/>
  <c r="M110" i="1" s="1"/>
  <c r="Q109" i="1"/>
  <c r="Q110" i="1" s="1"/>
  <c r="G79" i="1"/>
  <c r="H79" i="1" s="1"/>
  <c r="E15" i="1" s="1"/>
  <c r="L90" i="1"/>
  <c r="I77" i="1"/>
  <c r="I78" i="1"/>
  <c r="G80" i="1"/>
  <c r="H80" i="1" s="1"/>
  <c r="C58" i="1"/>
  <c r="C55" i="1"/>
  <c r="C56" i="1"/>
  <c r="E55" i="1" a="1"/>
  <c r="N136" i="1" l="1"/>
  <c r="J136" i="1"/>
  <c r="G137" i="1"/>
  <c r="N137" i="1" s="1"/>
  <c r="R110" i="1"/>
  <c r="I80" i="1"/>
  <c r="I79" i="1"/>
  <c r="E109" i="1"/>
  <c r="M106" i="1" s="1"/>
  <c r="N110" i="1"/>
  <c r="E55" i="1"/>
  <c r="D55" i="1" s="1"/>
  <c r="E57" i="1"/>
  <c r="D57" i="1" s="1"/>
  <c r="E56" i="1"/>
  <c r="D56" i="1" s="1"/>
  <c r="J137" i="1" l="1"/>
  <c r="K137" i="1"/>
  <c r="G20" i="1" s="1"/>
  <c r="O137" i="1"/>
  <c r="G18" i="1" s="1"/>
  <c r="H137" i="1"/>
  <c r="G19" i="1" s="1"/>
  <c r="H136" i="1"/>
  <c r="F19" i="1" s="1"/>
  <c r="M115" i="1"/>
  <c r="Q121" i="1"/>
  <c r="R121" i="1" s="1"/>
  <c r="Q115" i="1"/>
  <c r="R115" i="1" s="1"/>
  <c r="M121" i="1"/>
  <c r="M104" i="1"/>
  <c r="N106" i="1"/>
  <c r="K136" i="1" l="1"/>
  <c r="O136" i="1"/>
  <c r="M120" i="1"/>
  <c r="N120" i="1" s="1"/>
  <c r="E16" i="1" s="1"/>
  <c r="Q120" i="1"/>
  <c r="R120" i="1" s="1"/>
  <c r="Q114" i="1"/>
  <c r="R114" i="1" s="1"/>
  <c r="S115" i="1"/>
  <c r="N104" i="1"/>
  <c r="M114" i="1"/>
  <c r="N114" i="1" s="1"/>
  <c r="D16" i="1" s="1"/>
  <c r="N115" i="1"/>
  <c r="O115" i="1" s="1"/>
  <c r="N121" i="1"/>
  <c r="O121" i="1" s="1"/>
  <c r="F18" i="1" l="1"/>
  <c r="F20" i="1"/>
  <c r="S121" i="1"/>
  <c r="O120" i="1"/>
  <c r="S114" i="1"/>
  <c r="O114" i="1"/>
  <c r="D17" i="1"/>
  <c r="E17" i="1"/>
  <c r="S120" i="1" l="1"/>
</calcChain>
</file>

<file path=xl/sharedStrings.xml><?xml version="1.0" encoding="utf-8"?>
<sst xmlns="http://schemas.openxmlformats.org/spreadsheetml/2006/main" count="69" uniqueCount="66">
  <si>
    <r>
      <t>Hüfte (T</t>
    </r>
    <r>
      <rPr>
        <vertAlign val="subscript"/>
        <sz val="11"/>
        <color theme="1"/>
        <rFont val="Calibri"/>
        <family val="2"/>
        <scheme val="minor"/>
      </rPr>
      <t>0-1</t>
    </r>
    <r>
      <rPr>
        <sz val="11"/>
        <color theme="1"/>
        <rFont val="Calibri"/>
        <family val="2"/>
        <scheme val="minor"/>
      </rPr>
      <t>)</t>
    </r>
  </si>
  <si>
    <t>Rotation und Translation von homogenen Koordinaten</t>
  </si>
  <si>
    <t>Denavit Hartenberg Transformation</t>
  </si>
  <si>
    <t>d[mm]</t>
  </si>
  <si>
    <t>a[mm]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</si>
  <si>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</si>
  <si>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</si>
  <si>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</si>
  <si>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</si>
  <si>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</si>
  <si>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5</t>
    </r>
  </si>
  <si>
    <r>
      <t>Unterarm (T</t>
    </r>
    <r>
      <rPr>
        <vertAlign val="subscript"/>
        <sz val="11"/>
        <color theme="1"/>
        <rFont val="Calibri"/>
        <family val="2"/>
        <scheme val="minor"/>
      </rPr>
      <t>3-4</t>
    </r>
    <r>
      <rPr>
        <sz val="11"/>
        <color theme="1"/>
        <rFont val="Calibri"/>
        <family val="2"/>
        <scheme val="minor"/>
      </rPr>
      <t>)</t>
    </r>
  </si>
  <si>
    <t>a[°]</t>
  </si>
  <si>
    <t>q[°]</t>
  </si>
  <si>
    <t>°</t>
  </si>
  <si>
    <t>Punkt</t>
  </si>
  <si>
    <t>Gelenkpunkt</t>
  </si>
  <si>
    <r>
      <t>a</t>
    </r>
    <r>
      <rPr>
        <sz val="11"/>
        <color theme="1"/>
        <rFont val="Calibri"/>
        <family val="2"/>
        <scheme val="minor"/>
      </rPr>
      <t>[RAD]</t>
    </r>
  </si>
  <si>
    <r>
      <t>q</t>
    </r>
    <r>
      <rPr>
        <sz val="11"/>
        <color theme="1"/>
        <rFont val="Calibri"/>
        <family val="2"/>
        <scheme val="minor"/>
      </rPr>
      <t>[RAD]</t>
    </r>
  </si>
  <si>
    <t>Ursprung</t>
  </si>
  <si>
    <t>https://de.wikipedia.org/wiki/Roll-Nick-Gier-Winkel</t>
  </si>
  <si>
    <t>Achtung: in Excel ARCTAN2(x;y) entspricht ARCTAN(y/x) (falschrum!)</t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</si>
  <si>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i i+1</t>
    </r>
  </si>
  <si>
    <r>
      <t>Transformationsmatrix</t>
    </r>
    <r>
      <rPr>
        <vertAlign val="subscript"/>
        <sz val="11"/>
        <color theme="1"/>
        <rFont val="Calibri"/>
        <family val="2"/>
        <scheme val="minor"/>
      </rPr>
      <t>0 n</t>
    </r>
  </si>
  <si>
    <t>RAD</t>
  </si>
  <si>
    <r>
      <t>Oberarm (T</t>
    </r>
    <r>
      <rPr>
        <vertAlign val="subscript"/>
        <sz val="11"/>
        <color theme="1"/>
        <rFont val="Calibri"/>
        <family val="2"/>
        <scheme val="minor"/>
      </rPr>
      <t>1-2</t>
    </r>
    <r>
      <rPr>
        <sz val="11"/>
        <color theme="1"/>
        <rFont val="Calibri"/>
        <family val="2"/>
        <scheme val="minor"/>
      </rPr>
      <t>)</t>
    </r>
  </si>
  <si>
    <r>
      <t>Ellbogen  (T</t>
    </r>
    <r>
      <rPr>
        <vertAlign val="subscript"/>
        <sz val="11"/>
        <color theme="1"/>
        <rFont val="Calibri"/>
        <family val="2"/>
        <scheme val="minor"/>
      </rPr>
      <t>2-3</t>
    </r>
    <r>
      <rPr>
        <sz val="11"/>
        <color theme="1"/>
        <rFont val="Calibri"/>
        <family val="2"/>
        <scheme val="minor"/>
      </rPr>
      <t>)</t>
    </r>
  </si>
  <si>
    <r>
      <t>Handgelenk (T</t>
    </r>
    <r>
      <rPr>
        <vertAlign val="subscript"/>
        <sz val="11"/>
        <color theme="1"/>
        <rFont val="Calibri"/>
        <family val="2"/>
        <scheme val="minor"/>
      </rPr>
      <t>4-5</t>
    </r>
    <r>
      <rPr>
        <sz val="11"/>
        <color theme="1"/>
        <rFont val="Calibri"/>
        <family val="2"/>
        <scheme val="minor"/>
      </rPr>
      <t>)</t>
    </r>
  </si>
  <si>
    <r>
      <t>Hand (T</t>
    </r>
    <r>
      <rPr>
        <vertAlign val="subscript"/>
        <sz val="11"/>
        <color theme="1"/>
        <rFont val="Calibri"/>
        <family val="2"/>
        <scheme val="minor"/>
      </rPr>
      <t>5-6</t>
    </r>
    <r>
      <rPr>
        <sz val="11"/>
        <color theme="1"/>
        <rFont val="Calibri"/>
        <family val="2"/>
        <scheme val="minor"/>
      </rPr>
      <t>)</t>
    </r>
  </si>
  <si>
    <t>Inverse Kinematik</t>
  </si>
  <si>
    <t>TCP</t>
  </si>
  <si>
    <t>Vorwärts Kinematik</t>
  </si>
  <si>
    <t>Berechnung WCP</t>
  </si>
  <si>
    <t xml:space="preserve">WCP </t>
  </si>
  <si>
    <r>
      <t>WCP = 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 xml:space="preserve"> * 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</t>
    </r>
  </si>
  <si>
    <r>
      <t>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(WCP aus Perspektive von TCP) =</t>
    </r>
  </si>
  <si>
    <r>
      <t>TCP = T</t>
    </r>
    <r>
      <rPr>
        <vertAlign val="subscript"/>
        <sz val="11"/>
        <color theme="1"/>
        <rFont val="Calibri"/>
        <family val="2"/>
        <scheme val="minor"/>
      </rPr>
      <t>0-6</t>
    </r>
  </si>
  <si>
    <t>=&gt;</t>
  </si>
  <si>
    <r>
      <t>WCP = TCP+WCP</t>
    </r>
    <r>
      <rPr>
        <vertAlign val="subscript"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>=T</t>
    </r>
    <r>
      <rPr>
        <vertAlign val="subscript"/>
        <sz val="11"/>
        <color theme="1"/>
        <rFont val="Calibri"/>
        <family val="2"/>
        <scheme val="minor"/>
      </rPr>
      <t>0-6</t>
    </r>
    <r>
      <rPr>
        <sz val="11"/>
        <color theme="1"/>
        <rFont val="Calibri"/>
        <family val="2"/>
        <scheme val="minor"/>
      </rPr>
      <t>*WCP</t>
    </r>
    <r>
      <rPr>
        <vertAlign val="subscript"/>
        <sz val="11"/>
        <color theme="1"/>
        <rFont val="Calibri"/>
        <family val="2"/>
        <scheme val="minor"/>
      </rPr>
      <t>TCP</t>
    </r>
  </si>
  <si>
    <r>
      <t>WCP und TCP unterscheiden sich nur durch Translation von d</t>
    </r>
    <r>
      <rPr>
        <i/>
        <vertAlign val="subscript"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>. Also kann aus TCP WCP direkt errechnet werden</t>
    </r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</si>
  <si>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</si>
  <si>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Inverse Kinematics</t>
  </si>
  <si>
    <t>two variants, look forward and look backward</t>
  </si>
  <si>
    <t>Look forward</t>
  </si>
  <si>
    <t>Look backward</t>
  </si>
  <si>
    <t>switch direction when necessary to make it stetig</t>
  </si>
  <si>
    <t>forward/back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</si>
  <si>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2</t>
    </r>
  </si>
  <si>
    <t>Diagramm</t>
  </si>
  <si>
    <t>RolloverFlag</t>
  </si>
  <si>
    <t>Solution I</t>
  </si>
  <si>
    <t>Solution II</t>
  </si>
  <si>
    <t>Look Forward</t>
  </si>
  <si>
    <t>Look Backward</t>
  </si>
  <si>
    <t>Joint Angles</t>
  </si>
  <si>
    <t>Ist</t>
  </si>
  <si>
    <t>Soll</t>
  </si>
  <si>
    <r>
      <t xml:space="preserve">Berechnung </t>
    </r>
    <r>
      <rPr>
        <b/>
        <sz val="11"/>
        <color theme="1"/>
        <rFont val="Symbol"/>
        <family val="1"/>
        <charset val="2"/>
      </rPr>
      <t>q</t>
    </r>
    <r>
      <rPr>
        <b/>
        <vertAlign val="subscript"/>
        <sz val="11"/>
        <color theme="1"/>
        <rFont val="Symbol"/>
        <family val="1"/>
        <charset val="2"/>
      </rPr>
      <t>3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4</t>
    </r>
    <r>
      <rPr>
        <b/>
        <sz val="11"/>
        <color theme="1"/>
        <rFont val="Symbol"/>
        <family val="1"/>
        <charset val="2"/>
      </rPr>
      <t>,q</t>
    </r>
    <r>
      <rPr>
        <b/>
        <vertAlign val="subscript"/>
        <sz val="11"/>
        <color theme="1"/>
        <rFont val="Symbol"/>
        <family val="1"/>
        <charset val="2"/>
      </rPr>
      <t>5</t>
    </r>
  </si>
  <si>
    <t>triangle side b</t>
  </si>
  <si>
    <t>triangle side a</t>
  </si>
  <si>
    <t>triangle side c</t>
  </si>
  <si>
    <t>choose between solution I and II</t>
  </si>
  <si>
    <t>Build Triangle of joint 1,2/3,WCP, compute angles with cosine sentence</t>
  </si>
  <si>
    <t>=</t>
  </si>
  <si>
    <t>looking forward</t>
  </si>
  <si>
    <t>looking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</si>
</sst>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\ _€_-;\-* #,##0.00\ _€_-;_-* &quot;-&quot;??\ _€_-;_-@_-"/>
    <numFmt numFmtId="164" formatCode="0.000"/>
    <numFmt numFmtId="165" formatCode="0.0"/>
    <numFmt numFmtId="166" formatCode="_-* #,##0.0\ _€_-;\-* #,##0.0\ _€_-;_-* &quot;-&quot;??\ _€_-;_-@_-"/>
    <numFmt numFmtId="167" formatCode="_-* #,##0\ _€_-;\-* #,##0\ _€_-;_-* &quot;-&quot;??\ _€_-;_-@_-"/>
    <numFmt numFmtId="168" formatCode="_-* #,##0.0\ _€_-;\-* #,##0.0\ _€_-;_-* &quot;-&quot;?\ _€_-;_-@_-"/>
    <numFmt numFmtId="169" formatCode="0.0\ &quot;°&quot;"/>
    <numFmt numFmtId="170" formatCode="0.00\ &quot;RAD&quot;"/>
    <numFmt numFmtId="171" formatCode="_-* #,##0.000\ _€_-;\-* #,##0.000\ _€_-;_-* &quot;-&quot;??\ _€_-;_-@_-"/>
    <numFmt numFmtId="172" formatCode="0.000000"/>
    <numFmt numFmtId="173" formatCode="0.00000"/>
    <numFmt numFmtId="174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4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4" fontId="4" fillId="0" borderId="0" xfId="0" applyNumberFormat="1" applyFont="1"/>
    <xf numFmtId="166" fontId="0" fillId="0" borderId="0" xfId="1" applyNumberFormat="1" applyFont="1"/>
    <xf numFmtId="43" fontId="0" fillId="0" borderId="0" xfId="1" applyNumberFormat="1" applyFont="1"/>
    <xf numFmtId="0" fontId="5" fillId="0" borderId="0" xfId="0" applyFont="1"/>
    <xf numFmtId="167" fontId="0" fillId="0" borderId="0" xfId="1" applyNumberFormat="1" applyFont="1" applyAlignment="1">
      <alignment horizontal="right"/>
    </xf>
    <xf numFmtId="2" fontId="0" fillId="0" borderId="2" xfId="0" applyNumberFormat="1" applyBorder="1"/>
    <xf numFmtId="2" fontId="0" fillId="0" borderId="0" xfId="0" applyNumberFormat="1" applyBorder="1"/>
    <xf numFmtId="2" fontId="0" fillId="0" borderId="1" xfId="0" applyNumberFormat="1" applyBorder="1"/>
    <xf numFmtId="166" fontId="0" fillId="0" borderId="2" xfId="1" applyNumberFormat="1" applyFont="1" applyBorder="1"/>
    <xf numFmtId="166" fontId="0" fillId="0" borderId="0" xfId="1" applyNumberFormat="1" applyFont="1" applyBorder="1"/>
    <xf numFmtId="166" fontId="0" fillId="0" borderId="1" xfId="1" applyNumberFormat="1" applyFont="1" applyBorder="1"/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166" fontId="0" fillId="0" borderId="0" xfId="1" applyNumberFormat="1" applyFont="1" applyAlignment="1">
      <alignment horizontal="righ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0" applyNumberFormat="1" applyFont="1"/>
    <xf numFmtId="169" fontId="2" fillId="0" borderId="0" xfId="0" applyNumberFormat="1" applyFont="1"/>
    <xf numFmtId="16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3" xfId="0" applyFont="1" applyBorder="1"/>
    <xf numFmtId="169" fontId="0" fillId="0" borderId="4" xfId="0" applyNumberFormat="1" applyBorder="1"/>
    <xf numFmtId="0" fontId="4" fillId="0" borderId="5" xfId="0" applyFont="1" applyBorder="1"/>
    <xf numFmtId="169" fontId="0" fillId="0" borderId="6" xfId="0" applyNumberFormat="1" applyBorder="1"/>
    <xf numFmtId="0" fontId="4" fillId="0" borderId="7" xfId="0" applyFont="1" applyBorder="1"/>
    <xf numFmtId="169" fontId="0" fillId="0" borderId="8" xfId="0" applyNumberFormat="1" applyBorder="1"/>
    <xf numFmtId="169" fontId="0" fillId="0" borderId="9" xfId="0" applyNumberFormat="1" applyBorder="1"/>
    <xf numFmtId="169" fontId="0" fillId="0" borderId="10" xfId="0" applyNumberFormat="1" applyBorder="1"/>
    <xf numFmtId="0" fontId="12" fillId="0" borderId="0" xfId="0" applyFont="1"/>
    <xf numFmtId="0" fontId="0" fillId="0" borderId="3" xfId="0" applyBorder="1"/>
    <xf numFmtId="0" fontId="0" fillId="0" borderId="11" xfId="0" applyBorder="1"/>
    <xf numFmtId="0" fontId="0" fillId="0" borderId="4" xfId="0" applyBorder="1"/>
    <xf numFmtId="170" fontId="0" fillId="0" borderId="5" xfId="0" applyNumberFormat="1" applyBorder="1"/>
    <xf numFmtId="169" fontId="0" fillId="0" borderId="0" xfId="0" applyNumberFormat="1" applyBorder="1"/>
    <xf numFmtId="0" fontId="0" fillId="0" borderId="0" xfId="0" applyBorder="1"/>
    <xf numFmtId="170" fontId="0" fillId="0" borderId="0" xfId="0" applyNumberFormat="1" applyBorder="1"/>
    <xf numFmtId="0" fontId="0" fillId="0" borderId="6" xfId="0" applyBorder="1"/>
    <xf numFmtId="0" fontId="0" fillId="0" borderId="5" xfId="0" applyBorder="1"/>
    <xf numFmtId="170" fontId="2" fillId="0" borderId="5" xfId="0" applyNumberFormat="1" applyFont="1" applyBorder="1"/>
    <xf numFmtId="169" fontId="2" fillId="0" borderId="0" xfId="0" applyNumberFormat="1" applyFont="1" applyBorder="1"/>
    <xf numFmtId="0" fontId="2" fillId="0" borderId="0" xfId="0" applyFont="1" applyBorder="1"/>
    <xf numFmtId="170" fontId="2" fillId="0" borderId="0" xfId="0" applyNumberFormat="1" applyFont="1" applyBorder="1"/>
    <xf numFmtId="0" fontId="2" fillId="0" borderId="6" xfId="0" applyFont="1" applyBorder="1"/>
    <xf numFmtId="164" fontId="0" fillId="0" borderId="5" xfId="0" applyNumberFormat="1" applyBorder="1"/>
    <xf numFmtId="165" fontId="0" fillId="0" borderId="0" xfId="0" applyNumberFormat="1" applyBorder="1"/>
    <xf numFmtId="170" fontId="2" fillId="0" borderId="7" xfId="0" applyNumberFormat="1" applyFont="1" applyBorder="1"/>
    <xf numFmtId="169" fontId="2" fillId="0" borderId="12" xfId="0" applyNumberFormat="1" applyFont="1" applyBorder="1"/>
    <xf numFmtId="0" fontId="2" fillId="0" borderId="12" xfId="0" applyFont="1" applyBorder="1"/>
    <xf numFmtId="0" fontId="0" fillId="0" borderId="12" xfId="0" applyBorder="1"/>
    <xf numFmtId="170" fontId="2" fillId="0" borderId="12" xfId="0" applyNumberFormat="1" applyFont="1" applyBorder="1"/>
    <xf numFmtId="0" fontId="2" fillId="0" borderId="8" xfId="0" applyFon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10" xfId="0" applyNumberFormat="1" applyBorder="1"/>
    <xf numFmtId="172" fontId="0" fillId="0" borderId="0" xfId="0" applyNumberFormat="1"/>
    <xf numFmtId="173" fontId="0" fillId="0" borderId="0" xfId="1" applyNumberFormat="1" applyFont="1" applyAlignment="1">
      <alignment horizontal="left"/>
    </xf>
    <xf numFmtId="174" fontId="0" fillId="0" borderId="0" xfId="0" applyNumberFormat="1"/>
    <xf numFmtId="174" fontId="0" fillId="0" borderId="3" xfId="0" applyNumberFormat="1" applyBorder="1"/>
    <xf numFmtId="174" fontId="0" fillId="0" borderId="11" xfId="0" applyNumberFormat="1" applyBorder="1"/>
    <xf numFmtId="174" fontId="0" fillId="0" borderId="4" xfId="0" applyNumberFormat="1" applyBorder="1"/>
    <xf numFmtId="174" fontId="0" fillId="0" borderId="5" xfId="0" applyNumberFormat="1" applyBorder="1"/>
    <xf numFmtId="174" fontId="0" fillId="0" borderId="0" xfId="0" applyNumberFormat="1" applyBorder="1"/>
    <xf numFmtId="174" fontId="0" fillId="0" borderId="6" xfId="0" applyNumberFormat="1" applyBorder="1"/>
    <xf numFmtId="174" fontId="0" fillId="0" borderId="7" xfId="0" applyNumberFormat="1" applyBorder="1"/>
    <xf numFmtId="174" fontId="0" fillId="0" borderId="12" xfId="0" applyNumberFormat="1" applyBorder="1"/>
    <xf numFmtId="174" fontId="0" fillId="0" borderId="8" xfId="0" applyNumberFormat="1" applyBorder="1"/>
    <xf numFmtId="43" fontId="0" fillId="0" borderId="2" xfId="1" applyNumberFormat="1" applyFont="1" applyBorder="1"/>
    <xf numFmtId="43" fontId="0" fillId="0" borderId="0" xfId="1" applyNumberFormat="1" applyFont="1" applyBorder="1"/>
    <xf numFmtId="43" fontId="0" fillId="0" borderId="1" xfId="1" applyNumberFormat="1" applyFont="1" applyBorder="1"/>
    <xf numFmtId="171" fontId="0" fillId="0" borderId="2" xfId="1" applyNumberFormat="1" applyFont="1" applyBorder="1"/>
    <xf numFmtId="171" fontId="0" fillId="0" borderId="0" xfId="1" applyNumberFormat="1" applyFont="1" applyBorder="1"/>
    <xf numFmtId="171" fontId="0" fillId="0" borderId="1" xfId="1" applyNumberFormat="1" applyFont="1" applyBorder="1"/>
    <xf numFmtId="173" fontId="0" fillId="0" borderId="3" xfId="0" applyNumberFormat="1" applyBorder="1"/>
    <xf numFmtId="173" fontId="0" fillId="0" borderId="11" xfId="0" applyNumberFormat="1" applyBorder="1"/>
    <xf numFmtId="173" fontId="0" fillId="0" borderId="4" xfId="0" applyNumberFormat="1" applyBorder="1"/>
    <xf numFmtId="173" fontId="0" fillId="0" borderId="5" xfId="0" applyNumberFormat="1" applyBorder="1"/>
    <xf numFmtId="173" fontId="0" fillId="0" borderId="0" xfId="0" applyNumberFormat="1" applyBorder="1"/>
    <xf numFmtId="173" fontId="0" fillId="0" borderId="6" xfId="0" applyNumberFormat="1" applyBorder="1"/>
    <xf numFmtId="173" fontId="0" fillId="0" borderId="7" xfId="0" applyNumberFormat="1" applyBorder="1"/>
    <xf numFmtId="173" fontId="0" fillId="0" borderId="12" xfId="0" applyNumberFormat="1" applyBorder="1"/>
    <xf numFmtId="173" fontId="0" fillId="0" borderId="8" xfId="0" applyNumberFormat="1" applyBorder="1"/>
    <xf numFmtId="173" fontId="0" fillId="0" borderId="0" xfId="0" applyNumberFormat="1" applyFill="1"/>
    <xf numFmtId="173" fontId="0" fillId="0" borderId="0" xfId="0" quotePrefix="1" applyNumberFormat="1"/>
    <xf numFmtId="173" fontId="0" fillId="0" borderId="0" xfId="0" applyNumberFormat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9" fontId="0" fillId="0" borderId="3" xfId="0" applyNumberFormat="1" applyBorder="1"/>
    <xf numFmtId="169" fontId="0" fillId="0" borderId="5" xfId="0" applyNumberFormat="1" applyBorder="1"/>
    <xf numFmtId="169" fontId="0" fillId="0" borderId="7" xfId="0" applyNumberFormat="1" applyBorder="1"/>
    <xf numFmtId="170" fontId="0" fillId="0" borderId="5" xfId="0" applyNumberFormat="1" applyFont="1" applyBorder="1"/>
    <xf numFmtId="169" fontId="0" fillId="0" borderId="0" xfId="0" applyNumberFormat="1" applyFont="1" applyBorder="1"/>
    <xf numFmtId="174" fontId="0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Top </a:t>
            </a:r>
          </a:p>
          <a:p>
            <a:pPr>
              <a:defRPr/>
            </a:pPr>
            <a:r>
              <a:rPr lang="en-US" sz="1400"/>
              <a:t>view</a:t>
            </a:r>
          </a:p>
          <a:p>
            <a:pPr>
              <a:defRPr/>
            </a:pPr>
            <a:r>
              <a:rPr lang="en-US" sz="1400"/>
              <a:t>WCP</a:t>
            </a:r>
          </a:p>
        </c:rich>
      </c:tx>
      <c:layout>
        <c:manualLayout>
          <c:xMode val="edge"/>
          <c:yMode val="edge"/>
          <c:x val="8.3891688282513241E-2"/>
          <c:y val="0.1818057293203000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7421854682667288"/>
          <c:y val="0.11755498172939582"/>
          <c:w val="0.46939006498275249"/>
          <c:h val="0.82940678105290822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Kinematik!$B$77</c:f>
              <c:numCache>
                <c:formatCode>0.0</c:formatCode>
                <c:ptCount val="1"/>
                <c:pt idx="0">
                  <c:v>209.67684896484388</c:v>
                </c:pt>
              </c:numCache>
            </c:numRef>
          </c:xVal>
          <c:yVal>
            <c:numRef>
              <c:f>Kinematik!$B$78</c:f>
              <c:numCache>
                <c:formatCode>0.0</c:formatCode>
                <c:ptCount val="1"/>
                <c:pt idx="0">
                  <c:v>3.6599230126254167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22112"/>
        <c:axId val="204421328"/>
      </c:scatterChart>
      <c:valAx>
        <c:axId val="204422112"/>
        <c:scaling>
          <c:orientation val="minMax"/>
          <c:max val="300"/>
          <c:min val="-3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57100980874821927"/>
              <c:y val="6.2734046513665178E-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04421328"/>
        <c:crosses val="autoZero"/>
        <c:crossBetween val="midCat"/>
        <c:majorUnit val="300"/>
      </c:valAx>
      <c:valAx>
        <c:axId val="204421328"/>
        <c:scaling>
          <c:orientation val="minMax"/>
          <c:max val="300"/>
          <c:min val="-3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7705191259958815"/>
              <c:y val="0.46568686492641909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204422112"/>
        <c:crosses val="autoZero"/>
        <c:crossBetween val="midCat"/>
        <c:majorUnit val="3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739063867016621"/>
          <c:y val="2.8252405949256341E-2"/>
          <c:w val="0.63839413823272095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Kinematik!$K$90:$L$90</c:f>
              <c:numCache>
                <c:formatCode>General</c:formatCode>
                <c:ptCount val="2"/>
                <c:pt idx="0">
                  <c:v>0</c:v>
                </c:pt>
                <c:pt idx="1">
                  <c:v>209.70878862909942</c:v>
                </c:pt>
              </c:numCache>
            </c:numRef>
          </c:xVal>
          <c:yVal>
            <c:numRef>
              <c:f>Kinematik!$K$91:$L$91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282.386099556197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23288"/>
        <c:axId val="204416624"/>
      </c:scatterChart>
      <c:valAx>
        <c:axId val="204423288"/>
        <c:scaling>
          <c:orientation val="minMax"/>
          <c:max val="500"/>
          <c:min val="-500"/>
        </c:scaling>
        <c:delete val="0"/>
        <c:axPos val="b"/>
        <c:numFmt formatCode="General" sourceLinked="1"/>
        <c:majorTickMark val="out"/>
        <c:minorTickMark val="none"/>
        <c:tickLblPos val="nextTo"/>
        <c:crossAx val="204416624"/>
        <c:crosses val="autoZero"/>
        <c:crossBetween val="midCat"/>
        <c:majorUnit val="500"/>
      </c:valAx>
      <c:valAx>
        <c:axId val="204416624"/>
        <c:scaling>
          <c:orientation val="minMax"/>
          <c:max val="500"/>
          <c:min val="-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423288"/>
        <c:crosses val="autoZero"/>
        <c:crossBetween val="midCat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891600</xdr:colOff>
      <xdr:row>1</xdr:row>
      <xdr:rowOff>88100</xdr:rowOff>
    </xdr:from>
    <xdr:to>
      <xdr:col>16</xdr:col>
      <xdr:colOff>440</xdr:colOff>
      <xdr:row>11</xdr:row>
      <xdr:rowOff>111385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1350" y="316700"/>
          <a:ext cx="5147690" cy="1871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648018</xdr:colOff>
      <xdr:row>46</xdr:row>
      <xdr:rowOff>174811</xdr:rowOff>
    </xdr:from>
    <xdr:ext cx="2689413" cy="7362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feld 9"/>
            <xdr:cNvSpPr txBox="1"/>
          </xdr:nvSpPr>
          <xdr:spPr>
            <a:xfrm>
              <a:off x="6265047" y="8926925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5</m:t>
                        </m:r>
                      </m:sub>
                      <m:sup>
                        <m:r>
                          <a:rPr lang="de-DE" sz="1100" b="0" i="1">
                            <a:latin typeface="Cambria Math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0" name="Textfeld 9"/>
            <xdr:cNvSpPr txBox="1"/>
          </xdr:nvSpPr>
          <xdr:spPr>
            <a:xfrm>
              <a:off x="6265047" y="8926925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𝑇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^</a:t>
              </a:r>
              <a:r>
                <a:rPr lang="de-DE" sz="1100" b="0" i="0">
                  <a:latin typeface="Cambria Math"/>
                </a:rPr>
                <a:t>6=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𝑑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5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1</xdr:colOff>
      <xdr:row>62</xdr:row>
      <xdr:rowOff>0</xdr:rowOff>
    </xdr:from>
    <xdr:ext cx="735106" cy="736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5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de-DE" sz="1100"/>
                <a:t> =</a:t>
              </a:r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966448" y="10183906"/>
              <a:ext cx="735106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(</a:t>
              </a:r>
              <a:r>
                <a:rPr lang="de-DE" sz="1100" b="0" i="0">
                  <a:latin typeface="Cambria Math"/>
                </a:rPr>
                <a:t>■8(0@0@𝑑_5@1))</a:t>
              </a:r>
              <a:r>
                <a:rPr lang="de-DE" sz="1100"/>
                <a:t> =</a:t>
              </a:r>
            </a:p>
          </xdr:txBody>
        </xdr:sp>
      </mc:Fallback>
    </mc:AlternateContent>
    <xdr:clientData/>
  </xdr:oneCellAnchor>
  <xdr:oneCellAnchor>
    <xdr:from>
      <xdr:col>8</xdr:col>
      <xdr:colOff>726141</xdr:colOff>
      <xdr:row>22</xdr:row>
      <xdr:rowOff>17929</xdr:rowOff>
    </xdr:from>
    <xdr:ext cx="2689413" cy="7383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5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5692588" y="3012141"/>
              <a:ext cx="2689413" cy="738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_0^1=(■8(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 〗&amp;0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 〗&amp;0&amp;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0@0&amp;−1&amp;0&amp;𝑑_5@0&amp;0&amp;0&amp;1))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645457</xdr:colOff>
      <xdr:row>27</xdr:row>
      <xdr:rowOff>7043</xdr:rowOff>
    </xdr:from>
    <xdr:ext cx="2689413" cy="7246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feld 12"/>
            <xdr:cNvSpPr txBox="1"/>
          </xdr:nvSpPr>
          <xdr:spPr>
            <a:xfrm>
              <a:off x="6262486" y="5199529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latin typeface="Cambria Math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3" name="Textfeld 12"/>
            <xdr:cNvSpPr txBox="1"/>
          </xdr:nvSpPr>
          <xdr:spPr>
            <a:xfrm>
              <a:off x="6262486" y="5199529"/>
              <a:ext cx="2689413" cy="724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𝑎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1  cos</a:t>
              </a:r>
              <a:r>
                <a:rPr lang="de-DE" sz="1100" b="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i="0">
                  <a:latin typeface="Cambria Math"/>
                </a:rPr>
                <a:t>0</a:t>
              </a:r>
              <a:r>
                <a:rPr lang="de-DE" sz="110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649941</xdr:colOff>
      <xdr:row>31</xdr:row>
      <xdr:rowOff>134470</xdr:rowOff>
    </xdr:from>
    <xdr:ext cx="2689413" cy="7362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feld 14"/>
            <xdr:cNvSpPr txBox="1"/>
          </xdr:nvSpPr>
          <xdr:spPr>
            <a:xfrm>
              <a:off x="6266970" y="607807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5" name="Textfeld 14"/>
            <xdr:cNvSpPr txBox="1"/>
          </xdr:nvSpPr>
          <xdr:spPr>
            <a:xfrm>
              <a:off x="6266970" y="6078070"/>
              <a:ext cx="2689413" cy="736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3=</a:t>
              </a:r>
              <a:r>
                <a:rPr lang="de-DE" sz="1100" i="0">
                  <a:latin typeface="Cambria Math" panose="02040503050406030204" pitchFamily="18" charset="0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2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643537</xdr:colOff>
      <xdr:row>37</xdr:row>
      <xdr:rowOff>5122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feld 15"/>
            <xdr:cNvSpPr txBox="1"/>
          </xdr:nvSpPr>
          <xdr:spPr>
            <a:xfrm>
              <a:off x="6260566" y="7069951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sSub>
                                <m:sSub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6" name="Textfeld 15"/>
            <xdr:cNvSpPr txBox="1"/>
          </xdr:nvSpPr>
          <xdr:spPr>
            <a:xfrm>
              <a:off x="6260566" y="7069951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</a:rPr>
                <a:t>3</a:t>
              </a:r>
              <a:r>
                <a:rPr lang="de-DE" sz="1100" b="0" i="0">
                  <a:latin typeface="Cambria Math" panose="02040503050406030204" pitchFamily="18" charset="0"/>
                </a:rPr>
                <a:t> 〗&amp;</a:t>
              </a:r>
              <a:r>
                <a:rPr lang="de-DE" sz="1100" b="0" i="0">
                  <a:latin typeface="Cambria Math"/>
                  <a:ea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𝑑</a:t>
              </a:r>
              <a:r>
                <a:rPr lang="de-DE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/>
                </a:rPr>
                <a:t>3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644818</xdr:colOff>
      <xdr:row>41</xdr:row>
      <xdr:rowOff>163285</xdr:rowOff>
    </xdr:from>
    <xdr:ext cx="2689413" cy="7379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feld 16"/>
            <xdr:cNvSpPr txBox="1"/>
          </xdr:nvSpPr>
          <xdr:spPr>
            <a:xfrm>
              <a:off x="6261847" y="7979228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5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  <a:ea typeface="Cambria Math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  <a:ea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17" name="Textfeld 16"/>
            <xdr:cNvSpPr txBox="1"/>
          </xdr:nvSpPr>
          <xdr:spPr>
            <a:xfrm>
              <a:off x="6261847" y="7979228"/>
              <a:ext cx="2689413" cy="7379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100" i="0">
                  <a:latin typeface="Cambria Math"/>
                </a:rPr>
                <a:t>cos</a:t>
              </a:r>
              <a:r>
                <a:rPr lang="de-DE" sz="1100" i="0">
                  <a:latin typeface="Cambria Math" panose="02040503050406030204" pitchFamily="18" charset="0"/>
                </a:rPr>
                <a:t>⁡〖</a:t>
              </a:r>
              <a:r>
                <a:rPr lang="de-DE" sz="1100" i="0">
                  <a:latin typeface="Cambria Math"/>
                  <a:ea typeface="Cambria Math"/>
                </a:rPr>
                <a:t>𝜃</a:t>
              </a:r>
              <a:r>
                <a:rPr lang="de-DE" sz="11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4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〗&amp;</a:t>
              </a:r>
              <a:r>
                <a:rPr lang="de-DE" sz="1100" b="0" i="0">
                  <a:latin typeface="Cambria Math"/>
                  <a:ea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−1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@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0</a:t>
              </a:r>
              <a:r>
                <a:rPr lang="de-DE" sz="1100" b="0" i="0">
                  <a:latin typeface="Cambria Math" panose="02040503050406030204" pitchFamily="18" charset="0"/>
                </a:rPr>
                <a:t>&amp;</a:t>
              </a:r>
              <a:r>
                <a:rPr lang="de-DE" sz="1100" b="0" i="0">
                  <a:latin typeface="Cambria Math"/>
                </a:rPr>
                <a:t>1</a:t>
              </a:r>
              <a:r>
                <a:rPr lang="de-DE" sz="1100" b="0" i="0">
                  <a:latin typeface="Cambria Math" panose="02040503050406030204" pitchFamily="18" charset="0"/>
                </a:rPr>
                <a:t>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82026</xdr:colOff>
      <xdr:row>69</xdr:row>
      <xdr:rowOff>121022</xdr:rowOff>
    </xdr:from>
    <xdr:ext cx="914400" cy="32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6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𝐼</m:t>
                      </m:r>
                    </m:sup>
                  </m:sSup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8" name="Textfeld 17"/>
            <xdr:cNvSpPr txBox="1"/>
          </xdr:nvSpPr>
          <xdr:spPr>
            <a:xfrm>
              <a:off x="82026" y="13514293"/>
              <a:ext cx="914400" cy="32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𝑇_5^6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)^𝐼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4</xdr:col>
      <xdr:colOff>233083</xdr:colOff>
      <xdr:row>75</xdr:row>
      <xdr:rowOff>147917</xdr:rowOff>
    </xdr:from>
    <xdr:ext cx="2259105" cy="2773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𝑎𝑡𝑎𝑛</m:t>
                  </m:r>
                  <m:r>
                    <a:rPr lang="de-DE" sz="1100" b="0" i="1">
                      <a:latin typeface="Cambria Math"/>
                      <a:ea typeface="Cambria Math"/>
                    </a:rPr>
                    <m:t>2(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𝑊𝐶𝑃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𝑦</m:t>
                      </m:r>
                    </m:sub>
                  </m:sSub>
                  <m:r>
                    <a:rPr lang="de-DE" sz="11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r>
                <a:rPr lang="de-DE" sz="1100"/>
                <a:t> = </a:t>
              </a:r>
            </a:p>
          </xdr:txBody>
        </xdr:sp>
      </mc:Choice>
      <mc:Fallback xmlns="">
        <xdr:sp macro="" textlink="">
          <xdr:nvSpPr>
            <xdr:cNvPr id="19" name="Textfeld 18"/>
            <xdr:cNvSpPr txBox="1"/>
          </xdr:nvSpPr>
          <xdr:spPr>
            <a:xfrm>
              <a:off x="2761130" y="13738411"/>
              <a:ext cx="2259105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de-DE" sz="1100" b="0" i="0">
                  <a:latin typeface="Cambria Math"/>
                  <a:ea typeface="Cambria Math"/>
                </a:rPr>
                <a:t>=𝑎𝑡𝑎𝑛2(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〖𝑊𝐶𝑃〗_𝑥;〖𝑊𝐶𝑃〗_𝑦</a:t>
              </a:r>
              <a:r>
                <a:rPr lang="de-DE" sz="1100" b="0" i="0">
                  <a:latin typeface="Cambria Math"/>
                  <a:ea typeface="Cambria Math"/>
                </a:rPr>
                <a:t>)</a:t>
              </a:r>
              <a:r>
                <a:rPr lang="de-DE" sz="1100"/>
                <a:t> = </a:t>
              </a:r>
            </a:p>
          </xdr:txBody>
        </xdr:sp>
      </mc:Fallback>
    </mc:AlternateContent>
    <xdr:clientData/>
  </xdr:oneCellAnchor>
  <xdr:oneCellAnchor>
    <xdr:from>
      <xdr:col>0</xdr:col>
      <xdr:colOff>125504</xdr:colOff>
      <xdr:row>104</xdr:row>
      <xdr:rowOff>40342</xdr:rowOff>
    </xdr:from>
    <xdr:ext cx="2214283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 </m:t>
                                    </m:r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𝑊𝐶𝑃</m:t>
                                    </m:r>
                                  </m:e>
                                  <m:sub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rad>
                    <m:r>
                      <a:rPr lang="de-DE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125504" y="17960789"/>
              <a:ext cx="221428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 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367552</xdr:colOff>
      <xdr:row>83</xdr:row>
      <xdr:rowOff>138953</xdr:rowOff>
    </xdr:from>
    <xdr:ext cx="1918447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𝑏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/>
                          </a:rPr>
                          <m:t>𝑐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−2</m:t>
                    </m:r>
                    <m:func>
                      <m:func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b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</m:t>
                        </m:r>
                        <m:r>
                          <a:rPr lang="de-DE" sz="1100" b="0" i="0">
                            <a:latin typeface="Cambria Math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lang="de-DE" sz="1100" b="0" i="1">
                            <a:latin typeface="Cambria Math"/>
                          </a:rPr>
                          <m:t>𝑎</m:t>
                        </m:r>
                      </m:e>
                    </m:func>
                    <m:r>
                      <a:rPr lang="de-DE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4204446" y="14832106"/>
              <a:ext cx="1918447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𝑎^2=𝑏^2+𝑐^2−2 〖b c cos〗⁡𝑎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6</xdr:col>
      <xdr:colOff>32270</xdr:colOff>
      <xdr:row>102</xdr:row>
      <xdr:rowOff>84716</xdr:rowOff>
    </xdr:from>
    <xdr:ext cx="2097743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𝑎</m:t>
                    </m:r>
                    <m:r>
                      <a:rPr lang="de-DE" sz="1100" b="0" i="1">
                        <a:latin typeface="Cambria Math"/>
                      </a:rPr>
                      <m:t>= </m:t>
                    </m:r>
                    <m:func>
                      <m:func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/>
                              </a:rPr>
                              <m:t>cos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p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−2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𝑏𝑐</m:t>
                                </m:r>
                              </m:den>
                            </m:f>
                          </m:e>
                        </m:d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3872750" y="19843376"/>
              <a:ext cx="2097743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𝑎=  cos^(−1)⁡〖((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𝑎^2−𝑏^2−𝑐^2)/(</a:t>
              </a:r>
              <a:r>
                <a:rPr lang="de-DE" sz="1100" b="0" i="0">
                  <a:latin typeface="Cambria Math"/>
                </a:rPr>
                <a:t>−2𝑏𝑐))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=〗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546847</xdr:colOff>
      <xdr:row>108</xdr:row>
      <xdr:rowOff>13447</xdr:rowOff>
    </xdr:from>
    <xdr:ext cx="3021108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  <a:ea typeface="Cambria Math"/>
                      </a:rPr>
                      <m:t>𝛿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  <m:r>
                      <a:rPr lang="de-DE" sz="1100" b="0" i="1">
                        <a:latin typeface="Cambria Math"/>
                      </a:rPr>
                      <m:t>𝐴𝑅𝐶𝑇𝐴𝑁</m:t>
                    </m:r>
                    <m:r>
                      <a:rPr lang="de-DE" sz="1100" b="0" i="1">
                        <a:latin typeface="Cambria Math"/>
                      </a:rPr>
                      <m:t>2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/>
                          </a:rPr>
                          <m:t>𝑊𝐶𝑃𝑧</m:t>
                        </m:r>
                        <m:r>
                          <a:rPr lang="de-DE" sz="1100" b="0" i="1">
                            <a:latin typeface="Cambria Math"/>
                          </a:rPr>
                          <m:t>,</m:t>
                        </m:r>
                        <m:rad>
                          <m:radPr>
                            <m:degHide m:val="on"/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+ </m:t>
                                        </m:r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𝑊𝐶𝑃</m:t>
                                        </m:r>
                                      </m:e>
                                      <m:sub>
                                        <m:r>
                                          <a:rPr lang="de-DE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de-DE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rad>
                      </m:e>
                    </m:d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9" name="Textfeld 68"/>
            <xdr:cNvSpPr txBox="1"/>
          </xdr:nvSpPr>
          <xdr:spPr>
            <a:xfrm>
              <a:off x="3774141" y="19995776"/>
              <a:ext cx="3021108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latin typeface="Cambria Math"/>
                  <a:ea typeface="Cambria Math"/>
                </a:rPr>
                <a:t>𝛿</a:t>
              </a:r>
              <a:r>
                <a:rPr lang="de-DE" sz="1100" b="0" i="0">
                  <a:latin typeface="Cambria Math"/>
                </a:rPr>
                <a:t>=𝐴𝑅𝐶𝑇𝐴𝑁2(𝑊𝐶𝑃𝑧,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√((〖〖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𝑊𝐶𝑃〗_𝑥〗^2 〖〖+ 𝑊𝐶𝑃〗_𝑦〗^2 )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))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152399</xdr:colOff>
      <xdr:row>99</xdr:row>
      <xdr:rowOff>129989</xdr:rowOff>
    </xdr:from>
    <xdr:ext cx="1497106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𝑊𝐶𝑃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de-DE">
                <a:effectLst/>
              </a:endParaRPr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152399" y="17691848"/>
              <a:ext cx="149710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〖𝑊𝐶𝑃〗_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𝑧−𝑑_0</a:t>
              </a:r>
              <a:endParaRPr lang="de-DE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573739</xdr:colOff>
      <xdr:row>112</xdr:row>
      <xdr:rowOff>121023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+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3801033" y="208205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𝛾+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510986</xdr:colOff>
      <xdr:row>104</xdr:row>
      <xdr:rowOff>113404</xdr:rowOff>
    </xdr:from>
    <xdr:ext cx="3514166" cy="3793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𝑐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𝑎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+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𝑏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2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−2</m:t>
                  </m:r>
                  <m:func>
                    <m:func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a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b</m:t>
                      </m:r>
                      <m:r>
                        <a:rPr lang="de-DE" sz="1100" b="0" i="0">
                          <a:latin typeface="Cambria Math"/>
                        </a:rPr>
                        <m:t> </m:t>
                      </m:r>
                      <m:r>
                        <m:rPr>
                          <m:sty m:val="p"/>
                        </m:rPr>
                        <a:rPr lang="de-DE" sz="1100" b="0" i="0">
                          <a:latin typeface="Cambria Math"/>
                        </a:rPr>
                        <m:t>cos</m:t>
                      </m:r>
                    </m:fName>
                    <m:e>
                      <m:r>
                        <a:rPr lang="de-DE" sz="1100" b="0" i="1">
                          <a:latin typeface="Cambria Math"/>
                          <a:ea typeface="Cambria Math"/>
                        </a:rPr>
                        <m:t>𝛾</m:t>
                      </m:r>
                    </m:e>
                  </m:func>
                  <m:r>
                    <a:rPr lang="de-DE" sz="1100" b="0" i="1">
                      <a:latin typeface="Cambria Math"/>
                    </a:rPr>
                    <m:t> </m:t>
                  </m:r>
                  <m:groupChr>
                    <m:groupChrPr>
                      <m:chr m:val="⇒"/>
                      <m:vertJc m:val="bot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groupChrPr>
                    <m:e/>
                  </m:groupChr>
                  <m:r>
                    <a:rPr lang="de-DE" sz="1100" b="0" i="1">
                      <a:latin typeface="Cambria Math"/>
                    </a:rPr>
                    <m:t> 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Cambria Math"/>
                      <a:cs typeface="+mn-cs"/>
                    </a:rPr>
                    <m:t>𝛾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sSup>
                        <m:s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cos</m:t>
                          </m:r>
                        </m:e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−1</m:t>
                          </m:r>
                        </m:sup>
                      </m:sSup>
                    </m:fName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𝑎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p>
                                <m:sSup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−2</m:t>
                              </m:r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𝑎𝑏</m:t>
                              </m:r>
                            </m:den>
                          </m:f>
                        </m:e>
                      </m:d>
                    </m:e>
                  </m:func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3741866" y="20420704"/>
              <a:ext cx="3514166" cy="379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latin typeface="Cambria Math"/>
                </a:rPr>
                <a:t>𝑐^2=𝑎^2+𝑏^2−2 〖a b cos〗⁡</a:t>
              </a:r>
              <a:r>
                <a:rPr lang="de-DE" sz="1100" b="0" i="0">
                  <a:latin typeface="Cambria Math"/>
                  <a:ea typeface="Cambria Math"/>
                </a:rPr>
                <a:t>𝛾 </a:t>
              </a:r>
              <a:r>
                <a:rPr lang="de-DE" sz="1100" b="0" i="0">
                  <a:latin typeface="Cambria Math"/>
                </a:rPr>
                <a:t> ⇒┴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=cos^(−1)⁡((𝑐^2−𝑎^2−𝑏^2)/(−2𝑎𝑏))=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597944</xdr:colOff>
      <xdr:row>118</xdr:row>
      <xdr:rowOff>136713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−(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𝑎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4" name="Textfeld 73"/>
            <xdr:cNvSpPr txBox="1"/>
          </xdr:nvSpPr>
          <xdr:spPr>
            <a:xfrm>
              <a:off x="3828824" y="23019573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1</a:t>
              </a:r>
              <a:r>
                <a:rPr lang="de-DE" sz="1100" b="0" i="0">
                  <a:latin typeface="Cambria Math"/>
                </a:rPr>
                <a:t>=90° −(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−𝑎)=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591671</xdr:colOff>
      <xdr:row>114</xdr:row>
      <xdr:rowOff>26894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=90°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6" name="Textfeld 75"/>
            <xdr:cNvSpPr txBox="1"/>
          </xdr:nvSpPr>
          <xdr:spPr>
            <a:xfrm>
              <a:off x="3818965" y="21084988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=90°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5</xdr:col>
      <xdr:colOff>595705</xdr:colOff>
      <xdr:row>119</xdr:row>
      <xdr:rowOff>142989</xdr:rowOff>
    </xdr:from>
    <xdr:ext cx="302110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 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270° −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𝛾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7" name="Textfeld 76"/>
            <xdr:cNvSpPr txBox="1"/>
          </xdr:nvSpPr>
          <xdr:spPr>
            <a:xfrm>
              <a:off x="3826585" y="23208729"/>
              <a:ext cx="302110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2</a:t>
              </a:r>
              <a:r>
                <a:rPr lang="de-DE" sz="1100" b="0" i="0">
                  <a:latin typeface="Cambria Math"/>
                </a:rPr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270° 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 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44823</xdr:colOff>
      <xdr:row>2</xdr:row>
      <xdr:rowOff>0</xdr:rowOff>
    </xdr:from>
    <xdr:to>
      <xdr:col>4</xdr:col>
      <xdr:colOff>573741</xdr:colOff>
      <xdr:row>10</xdr:row>
      <xdr:rowOff>26895</xdr:rowOff>
    </xdr:to>
    <xdr:graphicFrame macro="">
      <xdr:nvGraphicFramePr>
        <xdr:cNvPr id="3" name="Diagramm 2" title="Top vie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98611</xdr:colOff>
      <xdr:row>86</xdr:row>
      <xdr:rowOff>62753</xdr:rowOff>
    </xdr:from>
    <xdr:to>
      <xdr:col>6</xdr:col>
      <xdr:colOff>337072</xdr:colOff>
      <xdr:row>99</xdr:row>
      <xdr:rowOff>136783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11" y="16817788"/>
          <a:ext cx="4410635" cy="2404854"/>
        </a:xfrm>
        <a:prstGeom prst="rect">
          <a:avLst/>
        </a:prstGeom>
      </xdr:spPr>
    </xdr:pic>
    <xdr:clientData/>
  </xdr:twoCellAnchor>
  <xdr:twoCellAnchor>
    <xdr:from>
      <xdr:col>8</xdr:col>
      <xdr:colOff>744070</xdr:colOff>
      <xdr:row>83</xdr:row>
      <xdr:rowOff>40342</xdr:rowOff>
    </xdr:from>
    <xdr:to>
      <xdr:col>15</xdr:col>
      <xdr:colOff>295835</xdr:colOff>
      <xdr:row>98</xdr:row>
      <xdr:rowOff>94130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40341</xdr:colOff>
      <xdr:row>123</xdr:row>
      <xdr:rowOff>102646</xdr:rowOff>
    </xdr:from>
    <xdr:ext cx="6337599" cy="6372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6</m:t>
                        </m:r>
                      </m:sup>
                    </m:sSubSup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latin typeface="Cambria Math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latin typeface="Cambria Math" panose="02040503050406030204" pitchFamily="18" charset="0"/>
                                          <a:ea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latin typeface="Cambria Math"/>
                                          <a:ea typeface="Cambria Math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latin typeface="Cambria Math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+</m:t>
                                      </m:r>
                                    </m:e>
                                  </m:func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func>
                                <m:funcPr>
                                  <m:ctrlPr>
                                    <a:rPr lang="de-DE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5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3</m:t>
                                          </m:r>
                                        </m:sub>
                                      </m:sSub>
                                    </m:e>
                                  </m:func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𝜃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4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5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  <m:brk m:alnAt="7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c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𝜃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4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8" name="Textfeld 27"/>
            <xdr:cNvSpPr txBox="1"/>
          </xdr:nvSpPr>
          <xdr:spPr>
            <a:xfrm>
              <a:off x="40341" y="23015986"/>
              <a:ext cx="6337599" cy="637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𝑅_3^6=(■8(</a:t>
              </a:r>
              <a:r>
                <a:rPr lang="de-DE" sz="1100" i="0">
                  <a:latin typeface="Cambria Math"/>
                </a:rPr>
                <a:t>cos⁡〖</a:t>
              </a:r>
              <a:r>
                <a:rPr lang="de-DE" sz="1100" i="0">
                  <a:latin typeface="Cambria Math"/>
                  <a:ea typeface="Cambria Math"/>
                </a:rPr>
                <a:t>𝜃_</a:t>
              </a:r>
              <a:r>
                <a:rPr lang="de-DE" sz="1100" b="0" i="0">
                  <a:latin typeface="Cambria Math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5+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 cos⁡〖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〗@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22861</xdr:colOff>
      <xdr:row>129</xdr:row>
      <xdr:rowOff>160020</xdr:rowOff>
    </xdr:from>
    <xdr:ext cx="640080" cy="270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22861" y="24170640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𝑅_0^3=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160020</xdr:colOff>
      <xdr:row>129</xdr:row>
      <xdr:rowOff>114300</xdr:rowOff>
    </xdr:from>
    <xdr:ext cx="1562099" cy="3232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1" name="Textfeld 30"/>
            <xdr:cNvSpPr txBox="1"/>
          </xdr:nvSpPr>
          <xdr:spPr>
            <a:xfrm>
              <a:off x="3390900" y="24132540"/>
              <a:ext cx="1562099" cy="323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^(−1)=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30480</xdr:colOff>
      <xdr:row>132</xdr:row>
      <xdr:rowOff>91440</xdr:rowOff>
    </xdr:from>
    <xdr:ext cx="1562099" cy="33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2" name="Textfeld 31"/>
            <xdr:cNvSpPr txBox="1"/>
          </xdr:nvSpPr>
          <xdr:spPr>
            <a:xfrm>
              <a:off x="30480" y="24688800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0</xdr:col>
      <xdr:colOff>34291</xdr:colOff>
      <xdr:row>134</xdr:row>
      <xdr:rowOff>146685</xdr:rowOff>
    </xdr:from>
    <xdr:ext cx="1325880" cy="3117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feld 32"/>
            <xdr:cNvSpPr txBox="1"/>
          </xdr:nvSpPr>
          <xdr:spPr>
            <a:xfrm>
              <a:off x="34291" y="2495931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unc>
                    <m:func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r>
                        <m:rPr>
                          <m:sty m:val="p"/>
                          <m:brk m:alnAt="7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c</m:t>
                      </m:r>
                      <m:r>
                        <m:rPr>
                          <m:sty m:val="p"/>
                        </m:rPr>
                        <a:rPr lang="de-DE" sz="110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os</m:t>
                      </m:r>
                    </m:fName>
                    <m:e>
                      <m:sSub>
                        <m:sSubPr>
                          <m:ctrlP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</m:t>
                          </m:r>
                        </m:sub>
                      </m:sSub>
                    </m:e>
                  </m:func>
                  <m:r>
                    <a:rPr lang="de-DE" sz="1100" b="0" i="1">
                      <a:latin typeface="Cambria Math"/>
                      <a:ea typeface="Cambria Math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  <a:ea typeface="Cambria Math"/>
                        </a:rPr>
                      </m:ctrlPr>
                    </m:sSub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  <m:r>
                        <m:rPr>
                          <m:nor/>
                        </m:rPr>
                        <a:rPr lang="de-DE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  <m:sub>
                      <m:r>
                        <a:rPr lang="de-DE" sz="1100" b="0" i="1">
                          <a:latin typeface="Cambria Math"/>
                          <a:ea typeface="Cambria Math"/>
                        </a:rPr>
                        <m:t>33</m:t>
                      </m:r>
                    </m:sub>
                  </m:sSub>
                </m:oMath>
              </a14:m>
              <a:r>
                <a:rPr lang="de-DE" sz="1100"/>
                <a:t>= </a:t>
              </a:r>
            </a:p>
          </xdr:txBody>
        </xdr:sp>
      </mc:Choice>
      <mc:Fallback>
        <xdr:sp macro="" textlink="">
          <xdr:nvSpPr>
            <xdr:cNvPr id="33" name="Textfeld 32"/>
            <xdr:cNvSpPr txBox="1"/>
          </xdr:nvSpPr>
          <xdr:spPr>
            <a:xfrm>
              <a:off x="34291" y="24959310"/>
              <a:ext cx="1325880" cy="311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(𝑅_0^3 )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_</a:t>
              </a:r>
              <a:r>
                <a:rPr lang="de-DE" sz="1100" b="0" i="0">
                  <a:latin typeface="Cambria Math"/>
                  <a:ea typeface="Cambria Math"/>
                </a:rPr>
                <a:t>33</a:t>
              </a:r>
              <a:r>
                <a:rPr lang="de-DE" sz="1100"/>
                <a:t>= </a:t>
              </a:r>
            </a:p>
          </xdr:txBody>
        </xdr:sp>
      </mc:Fallback>
    </mc:AlternateContent>
    <xdr:clientData/>
  </xdr:oneCellAnchor>
  <xdr:oneCellAnchor>
    <xdr:from>
      <xdr:col>5</xdr:col>
      <xdr:colOff>285751</xdr:colOff>
      <xdr:row>135</xdr:row>
      <xdr:rowOff>47625</xdr:rowOff>
    </xdr:from>
    <xdr:ext cx="739139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feld 34"/>
            <xdr:cNvSpPr txBox="1"/>
          </xdr:nvSpPr>
          <xdr:spPr>
            <a:xfrm>
              <a:off x="3600451" y="2504122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5" name="Textfeld 34"/>
            <xdr:cNvSpPr txBox="1"/>
          </xdr:nvSpPr>
          <xdr:spPr>
            <a:xfrm>
              <a:off x="3600451" y="2504122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11</xdr:col>
      <xdr:colOff>120833</xdr:colOff>
      <xdr:row>129</xdr:row>
      <xdr:rowOff>145869</xdr:rowOff>
    </xdr:from>
    <xdr:ext cx="640080" cy="270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/>
            <xdr:cNvSpPr txBox="1"/>
          </xdr:nvSpPr>
          <xdr:spPr>
            <a:xfrm>
              <a:off x="7958547" y="24410126"/>
              <a:ext cx="640080" cy="270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𝑅_0^6=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15</xdr:col>
      <xdr:colOff>433252</xdr:colOff>
      <xdr:row>129</xdr:row>
      <xdr:rowOff>87086</xdr:rowOff>
    </xdr:from>
    <xdr:ext cx="1562099" cy="333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Sup>
                        <m:sSubSup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  <m:sup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6</m:t>
                          </m:r>
                        </m:sup>
                      </m:sSubSup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Sup>
                            <m:sSubSupPr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  <m:sup>
                              <m: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bSup>
                        </m:e>
                      </m:d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sSubSup>
                    <m:sSub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p>
                  </m:sSubSup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37" name="Textfeld 36"/>
            <xdr:cNvSpPr txBox="1"/>
          </xdr:nvSpPr>
          <xdr:spPr>
            <a:xfrm>
              <a:off x="11373395" y="24351343"/>
              <a:ext cx="1562099" cy="333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(𝑅_0^3 )^(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𝑅_0^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6=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16</xdr:col>
      <xdr:colOff>9525</xdr:colOff>
      <xdr:row>1</xdr:row>
      <xdr:rowOff>76200</xdr:rowOff>
    </xdr:from>
    <xdr:to>
      <xdr:col>18</xdr:col>
      <xdr:colOff>135548</xdr:colOff>
      <xdr:row>5</xdr:row>
      <xdr:rowOff>5782</xdr:rowOff>
    </xdr:to>
    <xdr:pic>
      <xdr:nvPicPr>
        <xdr:cNvPr id="34" name="Grafik 3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04800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136</xdr:row>
      <xdr:rowOff>102870</xdr:rowOff>
    </xdr:from>
    <xdr:ext cx="2000249" cy="312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feld 37"/>
            <xdr:cNvSpPr txBox="1"/>
          </xdr:nvSpPr>
          <xdr:spPr>
            <a:xfrm>
              <a:off x="0" y="2527744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8" name="Textfeld 37"/>
            <xdr:cNvSpPr txBox="1"/>
          </xdr:nvSpPr>
          <xdr:spPr>
            <a:xfrm>
              <a:off x="0" y="2527744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333376</xdr:colOff>
      <xdr:row>135</xdr:row>
      <xdr:rowOff>28575</xdr:rowOff>
    </xdr:from>
    <xdr:ext cx="739139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feld 38"/>
            <xdr:cNvSpPr txBox="1"/>
          </xdr:nvSpPr>
          <xdr:spPr>
            <a:xfrm>
              <a:off x="3648076" y="2574607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9" name="Textfeld 38"/>
            <xdr:cNvSpPr txBox="1"/>
          </xdr:nvSpPr>
          <xdr:spPr>
            <a:xfrm>
              <a:off x="3648076" y="25746075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138</xdr:row>
      <xdr:rowOff>93345</xdr:rowOff>
    </xdr:from>
    <xdr:ext cx="2000249" cy="312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feld 40"/>
            <xdr:cNvSpPr txBox="1"/>
          </xdr:nvSpPr>
          <xdr:spPr>
            <a:xfrm>
              <a:off x="19050" y="25629870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  <m:brk m:alnAt="7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os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1" name="Textfeld 40"/>
            <xdr:cNvSpPr txBox="1"/>
          </xdr:nvSpPr>
          <xdr:spPr>
            <a:xfrm>
              <a:off x="19050" y="25629870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121920</xdr:rowOff>
    </xdr:from>
    <xdr:ext cx="2000249" cy="312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feld 43"/>
            <xdr:cNvSpPr txBox="1"/>
          </xdr:nvSpPr>
          <xdr:spPr>
            <a:xfrm>
              <a:off x="0" y="260203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</m:fName>
                      <m:e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func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e>
                        </m:func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23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4" name="Textfeld 43"/>
            <xdr:cNvSpPr txBox="1"/>
          </xdr:nvSpPr>
          <xdr:spPr>
            <a:xfrm>
              <a:off x="0" y="260203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12</xdr:col>
      <xdr:colOff>295276</xdr:colOff>
      <xdr:row>135</xdr:row>
      <xdr:rowOff>57150</xdr:rowOff>
    </xdr:from>
    <xdr:ext cx="739139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feld 44"/>
            <xdr:cNvSpPr txBox="1"/>
          </xdr:nvSpPr>
          <xdr:spPr>
            <a:xfrm>
              <a:off x="3609976" y="26498550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5" name="Textfeld 44"/>
            <xdr:cNvSpPr txBox="1"/>
          </xdr:nvSpPr>
          <xdr:spPr>
            <a:xfrm>
              <a:off x="3609976" y="26498550"/>
              <a:ext cx="739139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142</xdr:row>
      <xdr:rowOff>102870</xdr:rowOff>
    </xdr:from>
    <xdr:ext cx="2000249" cy="312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feld 46"/>
            <xdr:cNvSpPr txBox="1"/>
          </xdr:nvSpPr>
          <xdr:spPr>
            <a:xfrm>
              <a:off x="0" y="263632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func>
                          <m:func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sty m:val="p"/>
                                <m:brk m:alnAt="7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  <m:r>
                              <m:rPr>
                                <m:sty m:val="p"/>
                              </m:rPr>
                              <a:rPr lang="de-DE" sz="110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os</m:t>
                            </m:r>
                          </m:fName>
                          <m:e>
                            <m:sSub>
                              <m:sSubPr>
                                <m:ctrlP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func>
                        <m:r>
                          <m:rPr>
                            <m:sty m:val="p"/>
                          </m:rPr>
                          <a:rPr lang="de-DE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sSub>
                          <m:sSubPr>
                            <m:ctrlP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func>
                    <m:r>
                      <a:rPr lang="de-DE" sz="1100" b="0" i="1">
                        <a:latin typeface="Cambria Math"/>
                        <a:ea typeface="Cambria Math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lang="de-DE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  <a:ea typeface="Cambria Math"/>
                      </a:rPr>
                      <m:t> 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47" name="Textfeld 46"/>
            <xdr:cNvSpPr txBox="1"/>
          </xdr:nvSpPr>
          <xdr:spPr>
            <a:xfrm>
              <a:off x="0" y="26363295"/>
              <a:ext cx="2000249" cy="312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〖〖−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 〗 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〗⁡〖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 〗</a:t>
              </a:r>
              <a:r>
                <a:rPr lang="de-DE" sz="1100" b="0" i="0">
                  <a:latin typeface="Cambria Math"/>
                  <a:ea typeface="Cambria Math"/>
                </a:rPr>
                <a:t>=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(𝑅_0^3 )"</a:t>
              </a:r>
              <a:r>
                <a:rPr lang="de-DE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/>
                  <a:cs typeface="+mn-cs"/>
                </a:rPr>
                <a:t> </a:t>
              </a:r>
              <a:r>
                <a:rPr lang="de-DE" sz="1100" b="0" i="0">
                  <a:latin typeface="Cambria Math" panose="02040503050406030204" pitchFamily="18" charset="0"/>
                  <a:ea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10</xdr:col>
      <xdr:colOff>251460</xdr:colOff>
      <xdr:row>30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"/>
          <a:ext cx="6347460" cy="515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564777</xdr:colOff>
      <xdr:row>1</xdr:row>
      <xdr:rowOff>71717</xdr:rowOff>
    </xdr:from>
    <xdr:to>
      <xdr:col>20</xdr:col>
      <xdr:colOff>404757</xdr:colOff>
      <xdr:row>13</xdr:row>
      <xdr:rowOff>79336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0777" y="251011"/>
          <a:ext cx="5935980" cy="21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8964</xdr:colOff>
      <xdr:row>17</xdr:row>
      <xdr:rowOff>115943</xdr:rowOff>
    </xdr:from>
    <xdr:to>
      <xdr:col>29</xdr:col>
      <xdr:colOff>363710</xdr:colOff>
      <xdr:row>43</xdr:row>
      <xdr:rowOff>62753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4564" y="3163943"/>
          <a:ext cx="11327546" cy="460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457200</xdr:colOff>
      <xdr:row>1</xdr:row>
      <xdr:rowOff>106978</xdr:rowOff>
    </xdr:from>
    <xdr:to>
      <xdr:col>23</xdr:col>
      <xdr:colOff>392723</xdr:colOff>
      <xdr:row>5</xdr:row>
      <xdr:rowOff>52808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6272"/>
          <a:ext cx="1764323" cy="66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topLeftCell="A121" zoomScale="80" zoomScaleNormal="80" workbookViewId="0">
      <selection activeCell="M136" sqref="M136:O137"/>
    </sheetView>
  </sheetViews>
  <sheetFormatPr baseColWidth="10" defaultColWidth="8.88671875" defaultRowHeight="14.4" x14ac:dyDescent="0.3"/>
  <cols>
    <col min="3" max="3" width="10.6640625" customWidth="1"/>
    <col min="4" max="4" width="9.5546875" bestFit="1" customWidth="1"/>
    <col min="5" max="5" width="10.21875" customWidth="1"/>
    <col min="6" max="6" width="12.6640625" bestFit="1" customWidth="1"/>
    <col min="7" max="7" width="10.109375" customWidth="1"/>
    <col min="8" max="8" width="10.88671875" customWidth="1"/>
    <col min="9" max="9" width="14.33203125" customWidth="1"/>
    <col min="10" max="10" width="9.109375" customWidth="1"/>
    <col min="11" max="11" width="10.21875" bestFit="1" customWidth="1"/>
    <col min="12" max="12" width="12" customWidth="1"/>
    <col min="13" max="13" width="11" customWidth="1"/>
    <col min="14" max="14" width="10.109375" bestFit="1" customWidth="1"/>
    <col min="15" max="15" width="12.109375" bestFit="1" customWidth="1"/>
    <col min="16" max="16" width="9.21875" bestFit="1" customWidth="1"/>
    <col min="17" max="17" width="11.44140625" customWidth="1"/>
    <col min="18" max="18" width="12.44140625" bestFit="1" customWidth="1"/>
    <col min="19" max="19" width="12.77734375" customWidth="1"/>
    <col min="20" max="20" width="12.88671875" bestFit="1" customWidth="1"/>
    <col min="21" max="21" width="11.6640625" bestFit="1" customWidth="1"/>
    <col min="22" max="22" width="12" bestFit="1" customWidth="1"/>
    <col min="23" max="23" width="12" customWidth="1"/>
  </cols>
  <sheetData>
    <row r="1" spans="1:22" ht="18" x14ac:dyDescent="0.35">
      <c r="A1" s="28" t="s">
        <v>31</v>
      </c>
    </row>
    <row r="3" spans="1:22" ht="15" thickBot="1" x14ac:dyDescent="0.35"/>
    <row r="4" spans="1:22" x14ac:dyDescent="0.3">
      <c r="F4" t="s">
        <v>33</v>
      </c>
      <c r="G4" s="61">
        <f>B77</f>
        <v>209.67684896484388</v>
      </c>
    </row>
    <row r="5" spans="1:22" x14ac:dyDescent="0.3">
      <c r="G5" s="62">
        <f>B78</f>
        <v>3.6599230126254167</v>
      </c>
    </row>
    <row r="6" spans="1:22" ht="15" thickBot="1" x14ac:dyDescent="0.35">
      <c r="G6" s="63">
        <f>B79</f>
        <v>582.386099556197</v>
      </c>
    </row>
    <row r="7" spans="1:22" ht="15" thickBot="1" x14ac:dyDescent="0.35"/>
    <row r="8" spans="1:22" x14ac:dyDescent="0.3">
      <c r="F8" t="s">
        <v>30</v>
      </c>
      <c r="G8" s="94">
        <f>V48</f>
        <v>205.37829570258026</v>
      </c>
      <c r="H8" s="95">
        <f>X48</f>
        <v>-4.0623423898791557</v>
      </c>
    </row>
    <row r="9" spans="1:22" x14ac:dyDescent="0.3">
      <c r="G9" s="96">
        <f>V49</f>
        <v>-0.7073448009128227</v>
      </c>
      <c r="H9" s="97">
        <f>X49</f>
        <v>5.7541557144168731</v>
      </c>
    </row>
    <row r="10" spans="1:22" ht="15" thickBot="1" x14ac:dyDescent="0.35">
      <c r="G10" s="98">
        <f>V50</f>
        <v>632.00917293639304</v>
      </c>
      <c r="H10" s="99">
        <f>X50</f>
        <v>-169.85790590013104</v>
      </c>
    </row>
    <row r="11" spans="1:22" x14ac:dyDescent="0.3">
      <c r="R11" s="9" t="s">
        <v>21</v>
      </c>
    </row>
    <row r="13" spans="1:22" x14ac:dyDescent="0.3">
      <c r="A13" s="18" t="s">
        <v>54</v>
      </c>
      <c r="D13" s="18" t="s">
        <v>41</v>
      </c>
    </row>
    <row r="14" spans="1:22" ht="15" thickBot="1" x14ac:dyDescent="0.35">
      <c r="A14" s="1"/>
      <c r="D14" s="18" t="s">
        <v>64</v>
      </c>
      <c r="H14" s="18" t="s">
        <v>65</v>
      </c>
    </row>
    <row r="15" spans="1:22" ht="16.2" thickBot="1" x14ac:dyDescent="0.4">
      <c r="A15" s="30" t="s">
        <v>8</v>
      </c>
      <c r="B15" s="31">
        <v>1</v>
      </c>
      <c r="C15" s="24">
        <f>RADIANS(B15)</f>
        <v>1.7453292519943295E-2</v>
      </c>
      <c r="E15" s="23">
        <f>H79</f>
        <v>0.99999999999999845</v>
      </c>
      <c r="I15" s="23">
        <f>H80</f>
        <v>-179</v>
      </c>
      <c r="J15" s="29" t="s">
        <v>45</v>
      </c>
    </row>
    <row r="16" spans="1:22" ht="15.6" x14ac:dyDescent="0.35">
      <c r="A16" s="32" t="s">
        <v>5</v>
      </c>
      <c r="B16" s="33">
        <v>2</v>
      </c>
      <c r="C16" s="24">
        <f t="shared" ref="C16:C20" si="0">RADIANS(B16)</f>
        <v>3.4906585039886591E-2</v>
      </c>
      <c r="D16" s="36">
        <f>N114</f>
        <v>2.0000000000000027</v>
      </c>
      <c r="E16" s="36">
        <f>N120</f>
        <v>71.197479490898388</v>
      </c>
      <c r="H16" s="36">
        <f>R114</f>
        <v>-71.197479490898388</v>
      </c>
      <c r="I16" s="36">
        <f>R120</f>
        <v>-1.99999999999999</v>
      </c>
      <c r="V16" t="s">
        <v>19</v>
      </c>
    </row>
    <row r="17" spans="1:24" ht="16.2" thickBot="1" x14ac:dyDescent="0.4">
      <c r="A17" s="32" t="s">
        <v>6</v>
      </c>
      <c r="B17" s="33">
        <v>3</v>
      </c>
      <c r="C17" s="24">
        <f t="shared" si="0"/>
        <v>5.235987755982989E-2</v>
      </c>
      <c r="D17" s="37">
        <f>N115</f>
        <v>3.0000000000000169</v>
      </c>
      <c r="E17" s="37">
        <f>N121</f>
        <v>-183.00000000000003</v>
      </c>
      <c r="H17" s="37">
        <f>R115</f>
        <v>3.0000000000000169</v>
      </c>
      <c r="I17" s="37">
        <f>R121</f>
        <v>-183.00000000000003</v>
      </c>
      <c r="V17">
        <v>0</v>
      </c>
    </row>
    <row r="18" spans="1:24" ht="15.6" x14ac:dyDescent="0.35">
      <c r="A18" s="32" t="s">
        <v>7</v>
      </c>
      <c r="B18" s="33">
        <v>5</v>
      </c>
      <c r="C18" s="24">
        <f t="shared" si="0"/>
        <v>8.7266462599716474E-2</v>
      </c>
      <c r="F18" s="100">
        <f>O136</f>
        <v>-175</v>
      </c>
      <c r="G18" s="31">
        <f>O137</f>
        <v>4.9999999999999956</v>
      </c>
      <c r="H18" s="23"/>
      <c r="V18">
        <v>0</v>
      </c>
    </row>
    <row r="19" spans="1:24" ht="15.6" x14ac:dyDescent="0.35">
      <c r="A19" s="32" t="s">
        <v>9</v>
      </c>
      <c r="B19" s="33">
        <v>-100</v>
      </c>
      <c r="C19" s="24">
        <f t="shared" si="0"/>
        <v>-1.7453292519943295</v>
      </c>
      <c r="F19" s="101">
        <f>H136</f>
        <v>100</v>
      </c>
      <c r="G19" s="33">
        <f>H137</f>
        <v>-100</v>
      </c>
      <c r="V19">
        <v>0</v>
      </c>
    </row>
    <row r="20" spans="1:24" ht="16.2" thickBot="1" x14ac:dyDescent="0.4">
      <c r="A20" s="34" t="s">
        <v>10</v>
      </c>
      <c r="B20" s="35">
        <v>10</v>
      </c>
      <c r="C20" s="24">
        <f t="shared" si="0"/>
        <v>0.17453292519943295</v>
      </c>
      <c r="F20" s="102">
        <f>K136</f>
        <v>-170</v>
      </c>
      <c r="G20" s="35">
        <f>K137</f>
        <v>9.9999999999999964</v>
      </c>
      <c r="V20">
        <v>1</v>
      </c>
    </row>
    <row r="21" spans="1:24" x14ac:dyDescent="0.3">
      <c r="A21" s="1"/>
    </row>
    <row r="22" spans="1:24" ht="15.6" x14ac:dyDescent="0.35">
      <c r="C22" s="1" t="s">
        <v>12</v>
      </c>
      <c r="D22" s="1" t="s">
        <v>17</v>
      </c>
      <c r="E22" s="2" t="s">
        <v>4</v>
      </c>
      <c r="F22" s="2" t="s">
        <v>3</v>
      </c>
      <c r="G22" s="1" t="s">
        <v>13</v>
      </c>
      <c r="H22" s="1" t="s">
        <v>18</v>
      </c>
      <c r="N22" t="s">
        <v>22</v>
      </c>
      <c r="R22" t="s">
        <v>23</v>
      </c>
      <c r="V22" t="s">
        <v>16</v>
      </c>
      <c r="W22" s="17" t="s">
        <v>24</v>
      </c>
      <c r="X22" s="17" t="s">
        <v>14</v>
      </c>
    </row>
    <row r="23" spans="1:24" ht="15.6" x14ac:dyDescent="0.35">
      <c r="A23" t="s">
        <v>0</v>
      </c>
      <c r="C23">
        <v>-90</v>
      </c>
      <c r="D23" s="3">
        <f>RADIANS(C23)</f>
        <v>-1.5707963267948966</v>
      </c>
      <c r="E23">
        <v>0</v>
      </c>
      <c r="F23">
        <v>300</v>
      </c>
      <c r="G23" s="1">
        <f>B15</f>
        <v>1</v>
      </c>
      <c r="H23" s="6">
        <f>RADIANS(G23)</f>
        <v>1.7453292519943295E-2</v>
      </c>
      <c r="N23" s="11">
        <f>COS(H23)</f>
        <v>0.99984769515639127</v>
      </c>
      <c r="O23" s="12">
        <f>-SIN(H23)*COS(D23)</f>
        <v>-1.0690894390537575E-18</v>
      </c>
      <c r="P23" s="12">
        <f>SIN(H23)*SIN(D23)</f>
        <v>-1.7452406437283512E-2</v>
      </c>
      <c r="Q23" s="13">
        <f>E23*COS(H23)</f>
        <v>0</v>
      </c>
      <c r="R23" s="14">
        <f t="array" ref="R23:U26">N23:Q26</f>
        <v>0.99984769515639127</v>
      </c>
      <c r="S23" s="15">
        <v>-1.0690894390537575E-18</v>
      </c>
      <c r="T23" s="15">
        <v>-1.7452406437283512E-2</v>
      </c>
      <c r="U23" s="16">
        <v>0</v>
      </c>
      <c r="V23" s="21">
        <f>$V$17*R23+$V$18*S23+$V$19*T23+$V$20*U23</f>
        <v>0</v>
      </c>
      <c r="W23" s="24">
        <f>IF(W24=PI()/2,-ATAN2(S24,S23),IF(-W24=PI()/2,ATAN2(S24,S23),ATAN2(T25,S25)))</f>
        <v>-1.5707963267948966</v>
      </c>
      <c r="X23" s="23">
        <f>DEGREES(W23)</f>
        <v>-90</v>
      </c>
    </row>
    <row r="24" spans="1:24" x14ac:dyDescent="0.3">
      <c r="N24" s="11">
        <f>SIN(H23)</f>
        <v>1.7452406437283512E-2</v>
      </c>
      <c r="O24" s="12">
        <f>COS(H23)*COS(D23)</f>
        <v>6.1248092943239885E-17</v>
      </c>
      <c r="P24" s="12">
        <f>-COS(H23)*SIN(D23)</f>
        <v>0.99984769515639127</v>
      </c>
      <c r="Q24" s="13">
        <f>E23*SIN(H23)</f>
        <v>0</v>
      </c>
      <c r="R24" s="14">
        <v>1.7452406437283512E-2</v>
      </c>
      <c r="S24" s="15">
        <v>6.1248092943239885E-17</v>
      </c>
      <c r="T24" s="15">
        <v>0.99984769515639127</v>
      </c>
      <c r="U24" s="16">
        <v>0</v>
      </c>
      <c r="V24" s="21">
        <f>$V$17*R24+$V$19*S24+$V$18*T24+$V$20*U24</f>
        <v>0</v>
      </c>
      <c r="W24" s="24">
        <f>ATAN2(SQRT(R23^2+R24^2),-R25)</f>
        <v>0</v>
      </c>
      <c r="X24" s="23">
        <f>DEGREES(W24)</f>
        <v>0</v>
      </c>
    </row>
    <row r="25" spans="1:24" x14ac:dyDescent="0.3">
      <c r="N25" s="11">
        <v>0</v>
      </c>
      <c r="O25" s="12">
        <f>SIN(D23)</f>
        <v>-1</v>
      </c>
      <c r="P25" s="12">
        <f>COS(D23)</f>
        <v>6.1257422745431001E-17</v>
      </c>
      <c r="Q25" s="13">
        <f>F23</f>
        <v>300</v>
      </c>
      <c r="R25" s="14">
        <v>0</v>
      </c>
      <c r="S25" s="15">
        <v>-1</v>
      </c>
      <c r="T25" s="15">
        <v>6.1257422745431001E-17</v>
      </c>
      <c r="U25" s="16">
        <v>300</v>
      </c>
      <c r="V25" s="21">
        <f>$V$17*R25+$V$18*S25+$V$19*T25+$V$20*U25</f>
        <v>300</v>
      </c>
      <c r="W25" s="24">
        <f>IF(ABS(W24)=PI()/2,0,ATAN2(R23,R24))</f>
        <v>1.7453292519943295E-2</v>
      </c>
      <c r="X25" s="23">
        <f>DEGREES(W25)</f>
        <v>1</v>
      </c>
    </row>
    <row r="26" spans="1:24" x14ac:dyDescent="0.3">
      <c r="N26" s="11">
        <v>0</v>
      </c>
      <c r="O26" s="12">
        <v>0</v>
      </c>
      <c r="P26" s="12">
        <v>0</v>
      </c>
      <c r="Q26" s="13">
        <v>1</v>
      </c>
      <c r="R26" s="14">
        <v>0</v>
      </c>
      <c r="S26" s="15">
        <v>0</v>
      </c>
      <c r="T26" s="15">
        <v>0</v>
      </c>
      <c r="U26" s="16">
        <v>1</v>
      </c>
      <c r="V26" s="21">
        <f>$V$17*R26+$V$18*S26+$V$19*T26+$V$20*U26</f>
        <v>1</v>
      </c>
      <c r="W26" s="8"/>
    </row>
    <row r="27" spans="1:24" x14ac:dyDescent="0.3">
      <c r="V27" s="27"/>
    </row>
    <row r="28" spans="1:24" ht="15.6" x14ac:dyDescent="0.35">
      <c r="A28" t="s">
        <v>25</v>
      </c>
      <c r="C28">
        <v>0</v>
      </c>
      <c r="D28" s="3">
        <f t="shared" ref="D28" si="1">RADIANS(C28)</f>
        <v>0</v>
      </c>
      <c r="E28">
        <v>300</v>
      </c>
      <c r="F28">
        <v>0</v>
      </c>
      <c r="G28" s="1">
        <f>B16-90</f>
        <v>-88</v>
      </c>
      <c r="H28" s="6">
        <f>RADIANS(G28)</f>
        <v>-1.5358897417550099</v>
      </c>
      <c r="N28" s="11">
        <f>COS(H28)</f>
        <v>3.489949670250108E-2</v>
      </c>
      <c r="O28" s="12">
        <f>-SIN(H28)*COS(D28)</f>
        <v>0.99939082701909576</v>
      </c>
      <c r="P28" s="12">
        <f>SIN(H28)*SIN(D28)</f>
        <v>0</v>
      </c>
      <c r="Q28" s="13">
        <f>E28*COS(H28)</f>
        <v>10.469849010750323</v>
      </c>
      <c r="R28" s="76">
        <f t="array" ref="R28:U31">MMULT(R23:U26,N28:Q31)</f>
        <v>3.4894181340113781E-2</v>
      </c>
      <c r="S28" s="77">
        <v>0.99923861495548261</v>
      </c>
      <c r="T28" s="77">
        <v>-1.7452406437283512E-2</v>
      </c>
      <c r="U28" s="78">
        <v>10.468254402034134</v>
      </c>
      <c r="V28" s="21">
        <f>$V$17*R28+$V$18*S28+$V$19*T28+$V$20*U28</f>
        <v>10.468254402034134</v>
      </c>
      <c r="W28" s="24">
        <f>IF(W29=PI()/2,ATAN2(S29,S28),IF(-W29=PI()/2,-ATAN2(S29,S28),ATAN2(T30,S30)))</f>
        <v>-1.5707963267948948</v>
      </c>
      <c r="X28" s="23">
        <f>DEGREES(W28)</f>
        <v>-89.999999999999901</v>
      </c>
    </row>
    <row r="29" spans="1:24" x14ac:dyDescent="0.3">
      <c r="N29" s="11">
        <f>SIN(H28)</f>
        <v>-0.99939082701909576</v>
      </c>
      <c r="O29" s="12">
        <f>COS(H28)*COS(D28)</f>
        <v>3.489949670250108E-2</v>
      </c>
      <c r="P29" s="12">
        <f>-COS(H28)*SIN(D28)</f>
        <v>0</v>
      </c>
      <c r="Q29" s="13">
        <f>E28*SIN(H28)</f>
        <v>-299.81724810572871</v>
      </c>
      <c r="R29" s="76">
        <v>6.090802009086233E-4</v>
      </c>
      <c r="S29" s="77">
        <v>1.7441774902830161E-2</v>
      </c>
      <c r="T29" s="77">
        <v>0.99984769515639127</v>
      </c>
      <c r="U29" s="78">
        <v>0.18272406027258697</v>
      </c>
      <c r="V29" s="21">
        <f>$V$17*R29+$V$19*S29+$V$18*T29+$V$20*U29</f>
        <v>0.18272406027258697</v>
      </c>
      <c r="W29" s="24">
        <f>ATAN2(SQRT(R28^2+R29^2),-R30)</f>
        <v>-1.5358897417550099</v>
      </c>
      <c r="X29" s="23">
        <f>DEGREES(W29)</f>
        <v>-88</v>
      </c>
    </row>
    <row r="30" spans="1:24" x14ac:dyDescent="0.3">
      <c r="N30" s="11">
        <v>0</v>
      </c>
      <c r="O30" s="12">
        <f>SIN(D28)</f>
        <v>0</v>
      </c>
      <c r="P30" s="12">
        <f>COS(D28)</f>
        <v>1</v>
      </c>
      <c r="Q30" s="13">
        <f>F28</f>
        <v>0</v>
      </c>
      <c r="R30" s="76">
        <v>0.99939082701909576</v>
      </c>
      <c r="S30" s="77">
        <v>-3.489949670250108E-2</v>
      </c>
      <c r="T30" s="77">
        <v>6.1257422745431001E-17</v>
      </c>
      <c r="U30" s="78">
        <v>599.81724810572871</v>
      </c>
      <c r="V30" s="21">
        <f>$V$17*R30+$V$18*S30+$V$19*T30+$V$20*U30</f>
        <v>599.81724810572871</v>
      </c>
      <c r="W30" s="24">
        <f>IF(ABS(W29)=PI()/2,0,ATAN2(R28,R29))</f>
        <v>1.745329251994154E-2</v>
      </c>
      <c r="X30" s="23">
        <f>DEGREES(W30)</f>
        <v>0.99999999999989941</v>
      </c>
    </row>
    <row r="31" spans="1:24" x14ac:dyDescent="0.3">
      <c r="N31" s="11">
        <v>0</v>
      </c>
      <c r="O31" s="12">
        <v>0</v>
      </c>
      <c r="P31" s="12">
        <v>0</v>
      </c>
      <c r="Q31" s="13">
        <v>1</v>
      </c>
      <c r="R31" s="76">
        <v>0</v>
      </c>
      <c r="S31" s="77">
        <v>0</v>
      </c>
      <c r="T31" s="77">
        <v>0</v>
      </c>
      <c r="U31" s="78">
        <v>1</v>
      </c>
      <c r="V31" s="21">
        <f>$V$17*R31+$V$18*S31+$V$19*T31+$V$20*U31</f>
        <v>1</v>
      </c>
      <c r="W31" s="8"/>
    </row>
    <row r="32" spans="1:24" x14ac:dyDescent="0.3">
      <c r="V32" s="27"/>
    </row>
    <row r="33" spans="1:24" ht="15.6" x14ac:dyDescent="0.35">
      <c r="A33" t="s">
        <v>26</v>
      </c>
      <c r="C33">
        <v>-90</v>
      </c>
      <c r="D33" s="3">
        <f>RADIANS(C33)</f>
        <v>-1.5707963267948966</v>
      </c>
      <c r="E33">
        <v>0</v>
      </c>
      <c r="F33">
        <v>0</v>
      </c>
      <c r="G33" s="1">
        <f>B17</f>
        <v>3</v>
      </c>
      <c r="H33" s="6">
        <f>RADIANS(G33)</f>
        <v>5.235987755982989E-2</v>
      </c>
      <c r="N33" s="11">
        <f>COS(H33)</f>
        <v>0.99862953475457383</v>
      </c>
      <c r="O33" s="12">
        <f>-SIN(H33)*COS(D33)</f>
        <v>-3.2059657963603892E-18</v>
      </c>
      <c r="P33" s="12">
        <f>SIN(H33)*SIN(D33)</f>
        <v>-5.2335956242943835E-2</v>
      </c>
      <c r="Q33" s="13">
        <f>E33*COS(H33)</f>
        <v>0</v>
      </c>
      <c r="R33" s="79">
        <f t="array" ref="R33:U36">MMULT(R28:U31,N33:Q36)</f>
        <v>8.7142468505889498E-2</v>
      </c>
      <c r="S33" s="80">
        <v>1.7452406437283574E-2</v>
      </c>
      <c r="T33" s="80">
        <v>0.99604297281404874</v>
      </c>
      <c r="U33" s="81">
        <v>10.468254402034134</v>
      </c>
      <c r="V33" s="21">
        <f>$V$17*R33+$V$18*S33+$V$19*T33+$V$20*U33</f>
        <v>10.468254402034134</v>
      </c>
      <c r="W33" s="24">
        <f>IF(W34=PI()/2,ATAN2(S34,S33),IF(-W34=PI()/2,-ATAN2(S34,S33),ATAN2(T35,S35)))</f>
        <v>-3.1415926535897922</v>
      </c>
      <c r="X33" s="23">
        <f>DEGREES(W33)</f>
        <v>-179.99999999999994</v>
      </c>
    </row>
    <row r="34" spans="1:24" x14ac:dyDescent="0.3">
      <c r="N34" s="11">
        <f>SIN(H33)</f>
        <v>5.2335956242943835E-2</v>
      </c>
      <c r="O34" s="12">
        <f>COS(H33)*COS(D33)</f>
        <v>6.1173471576534015E-17</v>
      </c>
      <c r="P34" s="12">
        <f>-COS(H33)*SIN(D33)</f>
        <v>0.99862953475457383</v>
      </c>
      <c r="Q34" s="13">
        <f>E33*SIN(H33)</f>
        <v>0</v>
      </c>
      <c r="R34" s="79">
        <v>1.5210774457753962E-3</v>
      </c>
      <c r="S34" s="80">
        <v>-0.99984769515639127</v>
      </c>
      <c r="T34" s="80">
        <v>1.738599476176415E-2</v>
      </c>
      <c r="U34" s="81">
        <v>0.18272406027258697</v>
      </c>
      <c r="V34" s="21">
        <f>$V$17*R34+$V$19*S34+$V$18*T34+$V$20*U34</f>
        <v>0.18272406027258697</v>
      </c>
      <c r="W34" s="24">
        <f>ATAN2(SQRT(R33^2+R34^2),-R35)</f>
        <v>-1.48352986419518</v>
      </c>
      <c r="X34" s="23">
        <f>DEGREES(W34)</f>
        <v>-84.999999999999986</v>
      </c>
    </row>
    <row r="35" spans="1:24" x14ac:dyDescent="0.3">
      <c r="N35" s="11">
        <v>0</v>
      </c>
      <c r="O35" s="12">
        <f>SIN(D33)</f>
        <v>-1</v>
      </c>
      <c r="P35" s="12">
        <f>COS(D33)</f>
        <v>6.1257422745431001E-17</v>
      </c>
      <c r="Q35" s="13">
        <f>F33</f>
        <v>0</v>
      </c>
      <c r="R35" s="79">
        <v>0.99619469809174555</v>
      </c>
      <c r="S35" s="80">
        <v>-6.6596358923616331E-17</v>
      </c>
      <c r="T35" s="80">
        <v>-8.7155742747658277E-2</v>
      </c>
      <c r="U35" s="81">
        <v>599.81724810572871</v>
      </c>
      <c r="V35" s="21">
        <f>$V$17*R35+$V$18*S35+$V$19*T35+$V$20*U35</f>
        <v>599.81724810572871</v>
      </c>
      <c r="W35" s="24">
        <f>IF(ABS(W34)=PI()/2,0,ATAN2(R33,R34))</f>
        <v>1.7453292519942595E-2</v>
      </c>
      <c r="X35" s="23">
        <f>DEGREES(W35)</f>
        <v>0.99999999999995981</v>
      </c>
    </row>
    <row r="36" spans="1:24" x14ac:dyDescent="0.3">
      <c r="N36" s="11">
        <v>0</v>
      </c>
      <c r="O36" s="12">
        <v>0</v>
      </c>
      <c r="P36" s="12">
        <v>0</v>
      </c>
      <c r="Q36" s="13">
        <v>1</v>
      </c>
      <c r="R36" s="79">
        <v>0</v>
      </c>
      <c r="S36" s="80">
        <v>0</v>
      </c>
      <c r="T36" s="80">
        <v>0</v>
      </c>
      <c r="U36" s="81">
        <v>1</v>
      </c>
      <c r="V36" s="21">
        <f>$V$17*R36+$V$18*S36+$V$19*T36+$V$20*U36</f>
        <v>1</v>
      </c>
      <c r="W36" s="24"/>
      <c r="X36" s="23"/>
    </row>
    <row r="37" spans="1:24" x14ac:dyDescent="0.3">
      <c r="V37" s="27"/>
    </row>
    <row r="38" spans="1:24" ht="15.6" x14ac:dyDescent="0.35">
      <c r="A38" t="s">
        <v>11</v>
      </c>
      <c r="C38">
        <v>90</v>
      </c>
      <c r="D38" s="3">
        <f>RADIANS(C38)</f>
        <v>1.5707963267948966</v>
      </c>
      <c r="E38">
        <v>0</v>
      </c>
      <c r="F38">
        <v>200</v>
      </c>
      <c r="G38" s="1">
        <f>B18</f>
        <v>5</v>
      </c>
      <c r="H38" s="6">
        <f>RADIANS(G38)</f>
        <v>8.7266462599716474E-2</v>
      </c>
      <c r="N38" s="11">
        <f>COS(H38)</f>
        <v>0.99619469809174555</v>
      </c>
      <c r="O38" s="12">
        <f>-SIN(H38)*COS(D38)</f>
        <v>-5.3389361781853285E-18</v>
      </c>
      <c r="P38" s="12">
        <f>SIN(H38)*SIN(D38)</f>
        <v>8.7155742747658166E-2</v>
      </c>
      <c r="Q38" s="13">
        <f>E38*COS(H38)</f>
        <v>0</v>
      </c>
      <c r="R38" s="14">
        <f t="array" ref="R38:U41">MMULT(R33:U36,N38:Q41)</f>
        <v>8.8331942549969483E-2</v>
      </c>
      <c r="S38" s="15">
        <v>0.99604297281404874</v>
      </c>
      <c r="T38" s="15">
        <v>-9.7910281942688773E-3</v>
      </c>
      <c r="U38" s="16">
        <v>209.67684896484388</v>
      </c>
      <c r="V38" s="21">
        <f>$V$17*R38+$V$18*S38+$V$19*T38+$V$20*U38</f>
        <v>209.67684896484388</v>
      </c>
      <c r="W38" s="24">
        <f>IF(W39=PI()/2,ATAN2(S39,S38),IF(-W39=PI()/2,-ATAN2(S39,S38),ATAN2(T40,S40)))</f>
        <v>-0.78730443902404224</v>
      </c>
      <c r="X38" s="7">
        <f>DEGREES(W38)</f>
        <v>-45.10922154799249</v>
      </c>
    </row>
    <row r="39" spans="1:24" x14ac:dyDescent="0.3">
      <c r="N39" s="11">
        <f>SIN(H38)</f>
        <v>8.7155742747658166E-2</v>
      </c>
      <c r="O39" s="12">
        <f>COS(H38)*COS(D38)</f>
        <v>6.1024319757763067E-17</v>
      </c>
      <c r="P39" s="12">
        <f>-COS(H38)*SIN(D38)</f>
        <v>-0.99619469809174555</v>
      </c>
      <c r="Q39" s="13">
        <f>E38*SIN(H38)</f>
        <v>0</v>
      </c>
      <c r="R39" s="14">
        <v>-8.5627179219021007E-2</v>
      </c>
      <c r="S39" s="15">
        <v>1.7385994761764088E-2</v>
      </c>
      <c r="T39" s="15">
        <v>0.99617554344861214</v>
      </c>
      <c r="U39" s="16">
        <v>3.6599230126254167</v>
      </c>
      <c r="V39" s="21">
        <f>$V$17*R39+$V$19*S39+$V$18*T39+$V$20*U39</f>
        <v>3.6599230126254167</v>
      </c>
      <c r="W39" s="24">
        <f>ATAN2(SQRT(R38^2+R39^2),-R40)</f>
        <v>-1.4474613368651741</v>
      </c>
      <c r="X39" s="7">
        <f>DEGREES(W39)</f>
        <v>-82.933425610738396</v>
      </c>
    </row>
    <row r="40" spans="1:24" x14ac:dyDescent="0.3">
      <c r="N40" s="11">
        <v>0</v>
      </c>
      <c r="O40" s="12">
        <f>SIN(D38)</f>
        <v>1</v>
      </c>
      <c r="P40" s="12">
        <f>COS(D38)</f>
        <v>6.1257422745431001E-17</v>
      </c>
      <c r="Q40" s="13">
        <f>F38</f>
        <v>200</v>
      </c>
      <c r="R40" s="14">
        <v>0.99240387650610407</v>
      </c>
      <c r="S40" s="15">
        <v>-8.7155742747658277E-2</v>
      </c>
      <c r="T40" s="15">
        <v>8.6824088833465235E-2</v>
      </c>
      <c r="U40" s="16">
        <v>582.386099556197</v>
      </c>
      <c r="V40" s="21">
        <f>$V$17*R40+$V$18*S40+$V$19*T40+$V$20*U40</f>
        <v>582.386099556197</v>
      </c>
      <c r="W40" s="24">
        <f>IF(ABS(W39)=PI()/2,0,ATAN2(R38,R39))</f>
        <v>-0.76985114650409858</v>
      </c>
      <c r="X40" s="23">
        <f>DEGREES(W40)</f>
        <v>-44.109221547992469</v>
      </c>
    </row>
    <row r="41" spans="1:24" x14ac:dyDescent="0.3">
      <c r="N41" s="11">
        <v>0</v>
      </c>
      <c r="O41" s="12">
        <v>0</v>
      </c>
      <c r="P41" s="12">
        <v>0</v>
      </c>
      <c r="Q41" s="13">
        <v>1</v>
      </c>
      <c r="R41" s="14">
        <v>0</v>
      </c>
      <c r="S41" s="15">
        <v>0</v>
      </c>
      <c r="T41" s="15">
        <v>0</v>
      </c>
      <c r="U41" s="16">
        <v>1</v>
      </c>
      <c r="V41" s="10">
        <f>$V$17*R41+$V$18*S41+$V$19*T41+$V$20*U41</f>
        <v>1</v>
      </c>
      <c r="W41" s="8"/>
      <c r="X41" s="23"/>
    </row>
    <row r="43" spans="1:24" ht="15.6" x14ac:dyDescent="0.35">
      <c r="A43" t="s">
        <v>27</v>
      </c>
      <c r="C43">
        <v>-90</v>
      </c>
      <c r="D43" s="3">
        <f>RADIANS(C43)</f>
        <v>-1.5707963267948966</v>
      </c>
      <c r="E43">
        <v>0</v>
      </c>
      <c r="F43">
        <v>0</v>
      </c>
      <c r="G43" s="1">
        <f>B19</f>
        <v>-100</v>
      </c>
      <c r="H43" s="6">
        <f>RADIANS(G43)</f>
        <v>-1.7453292519943295</v>
      </c>
      <c r="N43" s="11">
        <f>COS(H43)</f>
        <v>-0.1736481776669303</v>
      </c>
      <c r="O43" s="12">
        <f>-SIN(H43)*COS(D43)</f>
        <v>6.032678484924683E-17</v>
      </c>
      <c r="P43" s="12">
        <f>SIN(H43)*SIN(D43)</f>
        <v>0.98480775301220802</v>
      </c>
      <c r="Q43" s="13">
        <f>E43*COS(H43)</f>
        <v>0</v>
      </c>
      <c r="R43" s="14">
        <f t="array" ref="R43:U46">MMULT(R38:U41,N43:Q46)</f>
        <v>-0.99624952281418533</v>
      </c>
      <c r="S43" s="15">
        <v>9.7910281942688721E-3</v>
      </c>
      <c r="T43" s="15">
        <v>-8.5971065245272454E-2</v>
      </c>
      <c r="U43" s="16">
        <v>209.67684896484388</v>
      </c>
      <c r="V43" s="21">
        <f>$V$17*R43+$V$18*S43+$V$19*T43+$V$20*U43</f>
        <v>209.67684896484388</v>
      </c>
      <c r="W43" s="24">
        <f>IF(W44=PI()/2,ATAN2(S44,S43),IF(-W44=PI()/2,-ATAN2(S44,S43),ATAN2(T45,S45)))</f>
        <v>-8.7261424321697589E-2</v>
      </c>
      <c r="X43" s="7">
        <f>DEGREES(W43)</f>
        <v>-4.9997113279335039</v>
      </c>
    </row>
    <row r="44" spans="1:24" x14ac:dyDescent="0.3">
      <c r="N44" s="11">
        <f>SIN(H43)</f>
        <v>-0.98480775301220802</v>
      </c>
      <c r="O44" s="12">
        <f>COS(H43)*COS(D43)</f>
        <v>-1.0637239828316861E-17</v>
      </c>
      <c r="P44" s="12">
        <f>-COS(H43)*SIN(D43)</f>
        <v>-0.1736481776669303</v>
      </c>
      <c r="Q44" s="13">
        <f>E43*SIN(H43)</f>
        <v>0</v>
      </c>
      <c r="R44" s="14">
        <v>-2.2528588050722692E-3</v>
      </c>
      <c r="S44" s="15">
        <v>-0.99617554344861214</v>
      </c>
      <c r="T44" s="15">
        <v>-8.7345356270764785E-2</v>
      </c>
      <c r="U44" s="16">
        <v>3.6599230126254167</v>
      </c>
      <c r="V44" s="21">
        <f>$V$17*R44+$V$19*S44+$V$18*T44+$V$20*U44</f>
        <v>3.6599230126254167</v>
      </c>
      <c r="W44" s="24">
        <f>ATAN2(SQRT(R43^2+R44^2),-R45)</f>
        <v>8.6605697909003687E-2</v>
      </c>
      <c r="X44" s="7">
        <f>DEGREES(W44)</f>
        <v>4.9621409719708902</v>
      </c>
    </row>
    <row r="45" spans="1:24" x14ac:dyDescent="0.3">
      <c r="N45" s="11">
        <v>0</v>
      </c>
      <c r="O45" s="12">
        <f>SIN(D43)</f>
        <v>-1</v>
      </c>
      <c r="P45" s="12">
        <f>COS(D43)</f>
        <v>6.1257422745431001E-17</v>
      </c>
      <c r="Q45" s="13">
        <f>F43</f>
        <v>0</v>
      </c>
      <c r="R45" s="14">
        <v>-8.6497473487450918E-2</v>
      </c>
      <c r="S45" s="15">
        <v>-8.6824088833465179E-2</v>
      </c>
      <c r="T45" s="15">
        <v>0.99246146760391984</v>
      </c>
      <c r="U45" s="16">
        <v>582.386099556197</v>
      </c>
      <c r="V45" s="21">
        <f>$V$17*R45+$V$18*S45+$V$19*T45+$V$20*U45</f>
        <v>582.386099556197</v>
      </c>
      <c r="W45" s="24">
        <f>IF(ABS(W44)=PI()/2,0,ATAN2(R43,R44))</f>
        <v>-3.1393313175355448</v>
      </c>
      <c r="X45" s="23">
        <f>DEGREES(W45)</f>
        <v>-179.87043498803081</v>
      </c>
    </row>
    <row r="46" spans="1:24" x14ac:dyDescent="0.3">
      <c r="N46" s="11">
        <v>0</v>
      </c>
      <c r="O46" s="12">
        <v>0</v>
      </c>
      <c r="P46" s="12">
        <v>0</v>
      </c>
      <c r="Q46" s="13">
        <v>1</v>
      </c>
      <c r="R46" s="14">
        <v>0</v>
      </c>
      <c r="S46" s="15">
        <v>0</v>
      </c>
      <c r="T46" s="15">
        <v>0</v>
      </c>
      <c r="U46" s="16">
        <v>1</v>
      </c>
      <c r="V46" s="10">
        <f>$V$17*R46+$V$18*S46+$V$19*T46+$V$20*U46</f>
        <v>1</v>
      </c>
      <c r="W46" s="8"/>
      <c r="X46" s="23"/>
    </row>
    <row r="48" spans="1:24" ht="15.6" x14ac:dyDescent="0.35">
      <c r="A48" t="s">
        <v>28</v>
      </c>
      <c r="C48">
        <v>0</v>
      </c>
      <c r="D48" s="3">
        <f>RADIANS(C48)</f>
        <v>0</v>
      </c>
      <c r="E48">
        <v>0</v>
      </c>
      <c r="F48">
        <v>50</v>
      </c>
      <c r="G48" s="1">
        <f>B20</f>
        <v>10</v>
      </c>
      <c r="H48" s="6">
        <f>RADIANS(G48)</f>
        <v>0.17453292519943295</v>
      </c>
      <c r="N48" s="11">
        <f>COS(H48)</f>
        <v>0.98480775301220802</v>
      </c>
      <c r="O48" s="12">
        <f>-SIN(H48)*COS(D48)</f>
        <v>-0.17364817766693033</v>
      </c>
      <c r="P48" s="12">
        <f>SIN(H48)*SIN(D48)</f>
        <v>0</v>
      </c>
      <c r="Q48" s="13">
        <f>E48*COS(H48)</f>
        <v>0</v>
      </c>
      <c r="R48" s="79">
        <f t="array" ref="R48:U51">MMULT(R43:U46,N48:Q51)</f>
        <v>-0.979414059798702</v>
      </c>
      <c r="S48" s="80">
        <v>0.18263919461390932</v>
      </c>
      <c r="T48" s="80">
        <v>-8.5971065245272454E-2</v>
      </c>
      <c r="U48" s="81">
        <v>205.37829570258026</v>
      </c>
      <c r="V48" s="21">
        <f>$V$17*R48+$V$18*S48+$V$19*T48+$V$20*U48</f>
        <v>205.37829570258026</v>
      </c>
      <c r="W48" s="24">
        <f>IF(W49=PI()/2,ATAN2(S49,S48),IF(-W49=PI()/2,-ATAN2(S49,S48),ATAN2(T50,S50)))</f>
        <v>-7.0901250046726441E-2</v>
      </c>
      <c r="X48" s="7">
        <f>DEGREES(W48)</f>
        <v>-4.0623423898791557</v>
      </c>
    </row>
    <row r="49" spans="1:24" x14ac:dyDescent="0.3">
      <c r="N49" s="11">
        <f>SIN(H48)</f>
        <v>0.17364817766693033</v>
      </c>
      <c r="O49" s="12">
        <f>COS(H48)*COS(D48)</f>
        <v>0.98480775301220802</v>
      </c>
      <c r="P49" s="12">
        <f>-COS(H48)*SIN(D48)</f>
        <v>0</v>
      </c>
      <c r="Q49" s="13">
        <f>E48*SIN(H48)</f>
        <v>0</v>
      </c>
      <c r="R49" s="79">
        <v>-0.17520270057389245</v>
      </c>
      <c r="S49" s="80">
        <v>-0.9806501937233012</v>
      </c>
      <c r="T49" s="80">
        <v>-8.7345356270764785E-2</v>
      </c>
      <c r="U49" s="81">
        <v>-0.7073448009128227</v>
      </c>
      <c r="V49" s="21">
        <f>$V$17*R49+$V$19*S49+$V$18*T49+$V$20*U49</f>
        <v>-0.7073448009128227</v>
      </c>
      <c r="W49" s="24">
        <f>ATAN2(SQRT(R48^2+R49^2),-R50)</f>
        <v>0.10042896288902098</v>
      </c>
      <c r="X49" s="7">
        <f>DEGREES(W49)</f>
        <v>5.7541557144168731</v>
      </c>
    </row>
    <row r="50" spans="1:24" x14ac:dyDescent="0.3">
      <c r="N50" s="11">
        <v>0</v>
      </c>
      <c r="O50" s="12">
        <f>SIN(D48)</f>
        <v>0</v>
      </c>
      <c r="P50" s="12">
        <f>COS(D48)</f>
        <v>1</v>
      </c>
      <c r="Q50" s="13">
        <f>F48</f>
        <v>50</v>
      </c>
      <c r="R50" s="79">
        <v>-0.10026022730993248</v>
      </c>
      <c r="S50" s="80">
        <v>-7.0484907187527701E-2</v>
      </c>
      <c r="T50" s="80">
        <v>0.99246146760391984</v>
      </c>
      <c r="U50" s="81">
        <v>632.00917293639304</v>
      </c>
      <c r="V50" s="21">
        <f>$V$17*R50+$V$18*S50+$V$19*T50+$V$20*U50</f>
        <v>632.00917293639304</v>
      </c>
      <c r="W50" s="24">
        <f>IF(ABS(W49)=PI()/2,0,ATAN2(R48,R49))</f>
        <v>-2.9645797184999894</v>
      </c>
      <c r="X50" s="23">
        <f>DEGREES(W50)</f>
        <v>-169.85790590013104</v>
      </c>
    </row>
    <row r="51" spans="1:24" x14ac:dyDescent="0.3">
      <c r="N51" s="11">
        <v>0</v>
      </c>
      <c r="O51" s="12">
        <v>0</v>
      </c>
      <c r="P51" s="12">
        <v>0</v>
      </c>
      <c r="Q51" s="13">
        <v>1</v>
      </c>
      <c r="R51" s="79">
        <v>0</v>
      </c>
      <c r="S51" s="80">
        <v>0</v>
      </c>
      <c r="T51" s="80">
        <v>0</v>
      </c>
      <c r="U51" s="81">
        <v>1</v>
      </c>
      <c r="V51" s="21">
        <f>$V$17*R51+$V$18*S51+$V$19*T51+$V$20*U51</f>
        <v>1</v>
      </c>
      <c r="W51" s="8"/>
    </row>
    <row r="53" spans="1:24" x14ac:dyDescent="0.3">
      <c r="A53" s="18" t="s">
        <v>29</v>
      </c>
    </row>
    <row r="54" spans="1:24" x14ac:dyDescent="0.3">
      <c r="C54" t="s">
        <v>15</v>
      </c>
    </row>
    <row r="55" spans="1:24" x14ac:dyDescent="0.3">
      <c r="A55" t="s">
        <v>30</v>
      </c>
      <c r="C55" s="7">
        <f t="array" ref="C55:C58">V48:V51</f>
        <v>205.37829570258026</v>
      </c>
      <c r="D55" s="23">
        <f>DEGREES(E55)</f>
        <v>-4.0623423898791557</v>
      </c>
      <c r="E55" s="24">
        <f t="array" ref="E55:E57">W48:W50</f>
        <v>-7.0901250046726441E-2</v>
      </c>
    </row>
    <row r="56" spans="1:24" x14ac:dyDescent="0.3">
      <c r="C56" s="7">
        <v>-0.7073448009128227</v>
      </c>
      <c r="D56" s="23">
        <f>DEGREES(E56)</f>
        <v>5.7541557144168731</v>
      </c>
      <c r="E56" s="24">
        <v>0.10042896288902098</v>
      </c>
    </row>
    <row r="57" spans="1:24" x14ac:dyDescent="0.3">
      <c r="C57" s="7">
        <v>632.00917293639304</v>
      </c>
      <c r="D57" s="23">
        <f>DEGREES(E57)</f>
        <v>-169.85790590013104</v>
      </c>
      <c r="E57" s="24">
        <v>-2.9645797184999894</v>
      </c>
    </row>
    <row r="58" spans="1:24" x14ac:dyDescent="0.3">
      <c r="C58" s="7">
        <v>1</v>
      </c>
    </row>
    <row r="60" spans="1:24" x14ac:dyDescent="0.3">
      <c r="A60" s="18" t="s">
        <v>32</v>
      </c>
    </row>
    <row r="61" spans="1:24" ht="15.6" x14ac:dyDescent="0.35">
      <c r="A61" s="9" t="s">
        <v>39</v>
      </c>
    </row>
    <row r="63" spans="1:24" ht="15.6" x14ac:dyDescent="0.35">
      <c r="A63" t="s">
        <v>35</v>
      </c>
      <c r="B63" s="19"/>
      <c r="F63">
        <v>0</v>
      </c>
    </row>
    <row r="64" spans="1:24" x14ac:dyDescent="0.3">
      <c r="F64">
        <v>0</v>
      </c>
    </row>
    <row r="65" spans="1:9" x14ac:dyDescent="0.3">
      <c r="F65">
        <f>-F48</f>
        <v>-50</v>
      </c>
    </row>
    <row r="66" spans="1:9" x14ac:dyDescent="0.3">
      <c r="F66">
        <v>1</v>
      </c>
    </row>
    <row r="67" spans="1:9" ht="15.6" x14ac:dyDescent="0.35">
      <c r="A67" t="s">
        <v>38</v>
      </c>
    </row>
    <row r="68" spans="1:9" ht="15.6" x14ac:dyDescent="0.35">
      <c r="A68" t="s">
        <v>36</v>
      </c>
      <c r="B68" s="20" t="s">
        <v>37</v>
      </c>
      <c r="C68" s="5" t="s">
        <v>34</v>
      </c>
    </row>
    <row r="70" spans="1:9" x14ac:dyDescent="0.3">
      <c r="A70" s="5"/>
      <c r="B70" s="8">
        <f t="array" ref="B70:E73">MINVERSE(R48:U51)</f>
        <v>-0.97941405979870222</v>
      </c>
      <c r="C70" s="8">
        <v>-0.17520270057389248</v>
      </c>
      <c r="D70" s="8">
        <v>-0.10026022730993243</v>
      </c>
      <c r="E70" s="8">
        <v>264.39184500981088</v>
      </c>
    </row>
    <row r="71" spans="1:9" x14ac:dyDescent="0.3">
      <c r="B71" s="8">
        <v>0.18263919461390934</v>
      </c>
      <c r="C71" s="8">
        <v>-0.98065019372330131</v>
      </c>
      <c r="D71" s="8">
        <v>-7.0484907187527701E-2</v>
      </c>
      <c r="E71" s="8">
        <v>6.3433235617469022</v>
      </c>
    </row>
    <row r="72" spans="1:9" x14ac:dyDescent="0.3">
      <c r="B72" s="8">
        <v>-8.5971065245272468E-2</v>
      </c>
      <c r="C72" s="8">
        <v>-8.7345356270764771E-2</v>
      </c>
      <c r="D72" s="8">
        <v>0.99246146760391951</v>
      </c>
      <c r="E72" s="8">
        <v>-609.6499437354247</v>
      </c>
    </row>
    <row r="73" spans="1:9" x14ac:dyDescent="0.3">
      <c r="B73" s="8">
        <v>0</v>
      </c>
      <c r="C73" s="8">
        <v>0</v>
      </c>
      <c r="D73" s="8">
        <v>0</v>
      </c>
      <c r="E73" s="8">
        <v>1</v>
      </c>
    </row>
    <row r="74" spans="1:9" ht="15.6" x14ac:dyDescent="0.35">
      <c r="A74" s="18" t="s">
        <v>40</v>
      </c>
      <c r="B74" s="8"/>
      <c r="C74" s="8"/>
      <c r="D74" s="8"/>
      <c r="E74" s="8"/>
    </row>
    <row r="75" spans="1:9" x14ac:dyDescent="0.3">
      <c r="A75" s="9" t="s">
        <v>42</v>
      </c>
    </row>
    <row r="76" spans="1:9" x14ac:dyDescent="0.3">
      <c r="A76" s="9"/>
    </row>
    <row r="77" spans="1:9" x14ac:dyDescent="0.3">
      <c r="B77" s="4">
        <f>U48-F48*T48</f>
        <v>209.67684896484388</v>
      </c>
      <c r="E77" s="5" t="s">
        <v>37</v>
      </c>
      <c r="H77" s="24">
        <f>ATAN2(B77,B78)</f>
        <v>1.7453292519943268E-2</v>
      </c>
      <c r="I77" s="26">
        <f>DEGREES(H77)</f>
        <v>0.99999999999999845</v>
      </c>
    </row>
    <row r="78" spans="1:9" x14ac:dyDescent="0.3">
      <c r="A78" t="s">
        <v>33</v>
      </c>
      <c r="B78" s="4">
        <f>U49-F48*T49</f>
        <v>3.6599230126254167</v>
      </c>
      <c r="H78" s="24">
        <f>ATAN2(-B77,-B78)</f>
        <v>-3.12413936106985</v>
      </c>
      <c r="I78" s="26">
        <f>DEGREES(H78)</f>
        <v>-179</v>
      </c>
    </row>
    <row r="79" spans="1:9" x14ac:dyDescent="0.3">
      <c r="B79" s="4">
        <f>U50-F48*T50</f>
        <v>582.386099556197</v>
      </c>
      <c r="E79" t="s">
        <v>43</v>
      </c>
      <c r="G79" s="24">
        <f>IF(B81=1,H77,H78)</f>
        <v>1.7453292519943268E-2</v>
      </c>
      <c r="H79" s="26">
        <f>DEGREES(G79)</f>
        <v>0.99999999999999845</v>
      </c>
      <c r="I79" s="18" t="str">
        <f>IF(ABS(H79-B15)&lt; 0.001,"OK","NOT OK!")</f>
        <v>OK</v>
      </c>
    </row>
    <row r="80" spans="1:9" x14ac:dyDescent="0.3">
      <c r="B80" s="4">
        <v>1</v>
      </c>
      <c r="E80" t="s">
        <v>44</v>
      </c>
      <c r="G80" s="24">
        <f>IF(B81=-1,H77,H78)</f>
        <v>-3.12413936106985</v>
      </c>
      <c r="H80" s="26">
        <f>DEGREES(G80)</f>
        <v>-179</v>
      </c>
      <c r="I80" s="18" t="str">
        <f>IF(ABS(H80-B15)&lt; 0.001,"OK","NOT OK!")</f>
        <v>NOT OK!</v>
      </c>
    </row>
    <row r="81" spans="1:12" x14ac:dyDescent="0.3">
      <c r="A81" t="s">
        <v>46</v>
      </c>
      <c r="B81">
        <f>SIGN(B77)</f>
        <v>1</v>
      </c>
    </row>
    <row r="83" spans="1:12" ht="16.2" x14ac:dyDescent="0.35">
      <c r="A83" s="18" t="s">
        <v>47</v>
      </c>
    </row>
    <row r="85" spans="1:12" x14ac:dyDescent="0.3">
      <c r="A85" s="9" t="s">
        <v>62</v>
      </c>
    </row>
    <row r="90" spans="1:12" x14ac:dyDescent="0.3">
      <c r="J90" t="s">
        <v>48</v>
      </c>
      <c r="K90">
        <v>0</v>
      </c>
      <c r="L90">
        <f>E106*B81</f>
        <v>209.70878862909942</v>
      </c>
    </row>
    <row r="91" spans="1:12" x14ac:dyDescent="0.3">
      <c r="K91">
        <v>0</v>
      </c>
      <c r="L91" s="4">
        <f>E104</f>
        <v>282.386099556197</v>
      </c>
    </row>
    <row r="103" spans="1:19" x14ac:dyDescent="0.3">
      <c r="A103" s="18"/>
    </row>
    <row r="104" spans="1:19" x14ac:dyDescent="0.3">
      <c r="E104" s="22">
        <f>B79-F23</f>
        <v>282.386099556197</v>
      </c>
      <c r="M104" s="24">
        <f>ACOS((E111*E111-E110*E110-E109*E109)/(-2*E110*E109))</f>
        <v>0.60386192559871321</v>
      </c>
      <c r="N104" s="23">
        <f>DEGREES(M104)</f>
        <v>34.598739745449194</v>
      </c>
    </row>
    <row r="106" spans="1:19" x14ac:dyDescent="0.3">
      <c r="E106" s="4">
        <f>SQRT(B77*B77+B78*B78)</f>
        <v>209.70878862909942</v>
      </c>
      <c r="I106" s="22"/>
      <c r="J106" s="22"/>
      <c r="M106" s="24">
        <f>ACOS((E109*E109-E110*E110-E111*E111)/(-2*E110*E111))</f>
        <v>1.5184364492350664</v>
      </c>
      <c r="N106" s="25">
        <f>DEGREES(M106)</f>
        <v>86.999999999999986</v>
      </c>
    </row>
    <row r="107" spans="1:19" x14ac:dyDescent="0.3">
      <c r="E107" s="4"/>
      <c r="I107" s="22"/>
      <c r="J107" s="22"/>
      <c r="M107" s="24"/>
      <c r="N107" s="25"/>
    </row>
    <row r="108" spans="1:19" ht="16.2" thickBot="1" x14ac:dyDescent="0.35">
      <c r="M108" s="38" t="s">
        <v>52</v>
      </c>
      <c r="Q108" s="38" t="s">
        <v>53</v>
      </c>
    </row>
    <row r="109" spans="1:19" x14ac:dyDescent="0.3">
      <c r="B109" t="s">
        <v>60</v>
      </c>
      <c r="E109" s="7">
        <f>SQRT(E106*E106+E104*E104)</f>
        <v>351.73809183943484</v>
      </c>
      <c r="L109" t="s">
        <v>49</v>
      </c>
      <c r="M109" s="39">
        <f>IF(B81=1,1,-1)</f>
        <v>1</v>
      </c>
      <c r="N109" s="40"/>
      <c r="O109" s="40"/>
      <c r="P109" s="40"/>
      <c r="Q109" s="40">
        <f>IF(B81=1,-1,1)</f>
        <v>-1</v>
      </c>
      <c r="R109" s="40"/>
      <c r="S109" s="41"/>
    </row>
    <row r="110" spans="1:19" x14ac:dyDescent="0.3">
      <c r="B110" t="s">
        <v>58</v>
      </c>
      <c r="E110" s="7">
        <f>E28</f>
        <v>300</v>
      </c>
      <c r="F110" s="5"/>
      <c r="L110" s="9" t="s">
        <v>61</v>
      </c>
      <c r="M110" s="42">
        <f>ATAN2(M109*E106,(B79-F23))</f>
        <v>0.93202781615629671</v>
      </c>
      <c r="N110" s="43">
        <f>DEGREES(M110)</f>
        <v>53.401260254550806</v>
      </c>
      <c r="O110" s="44"/>
      <c r="P110" s="44"/>
      <c r="Q110" s="45">
        <f>ATAN2(Q109*E106,(B79-F23))</f>
        <v>2.2095648374334962</v>
      </c>
      <c r="R110" s="43">
        <f>DEGREES(Q110)</f>
        <v>126.59873974544918</v>
      </c>
      <c r="S110" s="46"/>
    </row>
    <row r="111" spans="1:19" x14ac:dyDescent="0.3">
      <c r="B111" t="s">
        <v>59</v>
      </c>
      <c r="E111" s="7">
        <f>F38</f>
        <v>200</v>
      </c>
      <c r="M111" s="47"/>
      <c r="N111" s="44"/>
      <c r="O111" s="44"/>
      <c r="P111" s="44"/>
      <c r="Q111" s="44"/>
      <c r="R111" s="44"/>
      <c r="S111" s="46"/>
    </row>
    <row r="112" spans="1:19" x14ac:dyDescent="0.3">
      <c r="G112" s="1"/>
      <c r="M112" s="47"/>
      <c r="N112" s="44"/>
      <c r="O112" s="44"/>
      <c r="P112" s="44"/>
      <c r="Q112" s="44"/>
      <c r="R112" s="44"/>
      <c r="S112" s="46"/>
    </row>
    <row r="113" spans="1:19" x14ac:dyDescent="0.3">
      <c r="F113" s="5"/>
      <c r="G113" s="1"/>
      <c r="M113" s="47"/>
      <c r="N113" s="44"/>
      <c r="O113" s="44"/>
      <c r="P113" s="44"/>
      <c r="Q113" s="44"/>
      <c r="R113" s="44"/>
      <c r="S113" s="46"/>
    </row>
    <row r="114" spans="1:19" x14ac:dyDescent="0.3">
      <c r="E114" t="s">
        <v>50</v>
      </c>
      <c r="G114" s="1"/>
      <c r="M114" s="48">
        <f>PI()/2-(M110+M104)</f>
        <v>3.490658503988664E-2</v>
      </c>
      <c r="N114" s="49">
        <f>DEGREES(M114)</f>
        <v>2.0000000000000027</v>
      </c>
      <c r="O114" s="50" t="str">
        <f>IF(ABS(N114-B16)&lt; 0.001,"OK","NOT OK!")</f>
        <v>OK</v>
      </c>
      <c r="P114" s="44"/>
      <c r="Q114" s="51">
        <f>PI()/2-(Q110+M104)</f>
        <v>-1.2426304362373131</v>
      </c>
      <c r="R114" s="49">
        <f>DEGREES(Q114)</f>
        <v>-71.197479490898388</v>
      </c>
      <c r="S114" s="52" t="str">
        <f>IF(ABS(R114-H16)&lt; 0.001,"OK","NOT OK!")</f>
        <v>OK</v>
      </c>
    </row>
    <row r="115" spans="1:19" x14ac:dyDescent="0.3">
      <c r="G115" s="1"/>
      <c r="M115" s="48">
        <f>PI()/2-M106</f>
        <v>5.2359877559830181E-2</v>
      </c>
      <c r="N115" s="49">
        <f>DEGREES(M115)</f>
        <v>3.0000000000000169</v>
      </c>
      <c r="O115" s="50" t="str">
        <f>IF(ABS(N115-B17)&lt; 0.001,"OK","NOT OK!")</f>
        <v>OK</v>
      </c>
      <c r="P115" s="44"/>
      <c r="Q115" s="51">
        <f>PI()/2-M106</f>
        <v>5.2359877559830181E-2</v>
      </c>
      <c r="R115" s="49">
        <f>DEGREES(Q115)</f>
        <v>3.0000000000000169</v>
      </c>
      <c r="S115" s="52" t="str">
        <f>IF(ABS(R115-H17)&lt; 0.001,"OK","NOT OK!")</f>
        <v>OK</v>
      </c>
    </row>
    <row r="116" spans="1:19" x14ac:dyDescent="0.3">
      <c r="M116" s="47"/>
      <c r="N116" s="44"/>
      <c r="O116" s="44"/>
      <c r="P116" s="44"/>
      <c r="Q116" s="44"/>
      <c r="R116" s="44"/>
      <c r="S116" s="46"/>
    </row>
    <row r="117" spans="1:19" x14ac:dyDescent="0.3">
      <c r="M117" s="53"/>
      <c r="N117" s="54"/>
      <c r="O117" s="44"/>
      <c r="P117" s="44"/>
      <c r="Q117" s="44"/>
      <c r="R117" s="44"/>
      <c r="S117" s="46"/>
    </row>
    <row r="118" spans="1:19" x14ac:dyDescent="0.3">
      <c r="F118" s="9"/>
      <c r="G118" s="1"/>
      <c r="M118" s="47"/>
      <c r="N118" s="44"/>
      <c r="O118" s="44"/>
      <c r="P118" s="44"/>
      <c r="Q118" s="44"/>
      <c r="R118" s="44"/>
      <c r="S118" s="46"/>
    </row>
    <row r="119" spans="1:19" x14ac:dyDescent="0.3">
      <c r="M119" s="47"/>
      <c r="N119" s="44"/>
      <c r="O119" s="44"/>
      <c r="P119" s="44"/>
      <c r="Q119" s="44"/>
      <c r="R119" s="44"/>
      <c r="S119" s="46"/>
    </row>
    <row r="120" spans="1:19" x14ac:dyDescent="0.3">
      <c r="E120" t="s">
        <v>51</v>
      </c>
      <c r="M120" s="48">
        <f>PI()/2-(M110-M104)</f>
        <v>1.2426304362373131</v>
      </c>
      <c r="N120" s="49">
        <f>DEGREES(M120)</f>
        <v>71.197479490898388</v>
      </c>
      <c r="O120" s="50" t="str">
        <f>IF(ABS(N120-B16)&lt; 0.001,"OK","NOT OK!")</f>
        <v>NOT OK!</v>
      </c>
      <c r="P120" s="44"/>
      <c r="Q120" s="51">
        <f>PI()/2-(Q110-M104)</f>
        <v>-3.4906585039886417E-2</v>
      </c>
      <c r="R120" s="49">
        <f>DEGREES(Q120)</f>
        <v>-1.99999999999999</v>
      </c>
      <c r="S120" s="52" t="str">
        <f>IF(ABS(R120-H16)&lt; 0.001,"OK","NOT OK!")</f>
        <v>NOT OK!</v>
      </c>
    </row>
    <row r="121" spans="1:19" ht="15" thickBot="1" x14ac:dyDescent="0.35">
      <c r="A121" s="18"/>
      <c r="M121" s="55">
        <f>(M106- PI()*3/2)</f>
        <v>-3.1939525311496233</v>
      </c>
      <c r="N121" s="56">
        <f>DEGREES(M121)</f>
        <v>-183.00000000000003</v>
      </c>
      <c r="O121" s="57" t="str">
        <f>IF(ABS(N121-B17)&lt; 0.001,"OK","NOT OK!")</f>
        <v>NOT OK!</v>
      </c>
      <c r="P121" s="58"/>
      <c r="Q121" s="59">
        <f>(M106- PI()*3/2)</f>
        <v>-3.1939525311496233</v>
      </c>
      <c r="R121" s="56">
        <f>DEGREES(Q121)</f>
        <v>-183.00000000000003</v>
      </c>
      <c r="S121" s="60" t="str">
        <f>IF(ABS(R121-H17)&lt; 0.001,"OK","NOT OK!")</f>
        <v>NOT OK!</v>
      </c>
    </row>
    <row r="123" spans="1:19" ht="16.2" x14ac:dyDescent="0.35">
      <c r="A123" s="18" t="s">
        <v>57</v>
      </c>
    </row>
    <row r="124" spans="1:19" x14ac:dyDescent="0.3">
      <c r="E124" s="64"/>
      <c r="F124" s="64"/>
      <c r="G124" s="64"/>
      <c r="J124" t="s">
        <v>55</v>
      </c>
      <c r="M124" t="s">
        <v>56</v>
      </c>
    </row>
    <row r="125" spans="1:19" x14ac:dyDescent="0.3">
      <c r="E125" s="64"/>
      <c r="F125" s="64"/>
      <c r="G125" s="64"/>
      <c r="H125" s="64"/>
      <c r="I125" s="64"/>
      <c r="J125" s="65">
        <f t="array" ref="J125:L127">MMULT(MMULT(N38:P40,N43:P45),N48:P50)</f>
        <v>-0.18549376261214362</v>
      </c>
      <c r="K125" s="65">
        <v>-5.5792705462988035E-2</v>
      </c>
      <c r="L125" s="65">
        <v>0.98106026219040687</v>
      </c>
      <c r="M125" s="91">
        <f>COS(C18)*COS(C19)*COS(C20)-SIN(C18)*SIN(C20)</f>
        <v>-0.18549376261214362</v>
      </c>
      <c r="N125" s="91">
        <f>-COS(C18)*COS(C19)*SIN(C20)-SIN(C18)*COS(C20)</f>
        <v>-5.579270546298809E-2</v>
      </c>
      <c r="O125" s="91">
        <f>-COS(C18)*SIN(C19)</f>
        <v>0.98106026219040687</v>
      </c>
    </row>
    <row r="126" spans="1:19" x14ac:dyDescent="0.3">
      <c r="E126" s="64"/>
      <c r="F126" s="64"/>
      <c r="G126" s="64"/>
      <c r="H126" s="64"/>
      <c r="I126" s="64"/>
      <c r="J126" s="65">
        <v>0.15808288411198479</v>
      </c>
      <c r="K126" s="65">
        <v>0.98368832940469131</v>
      </c>
      <c r="L126" s="65">
        <v>8.5831651177431217E-2</v>
      </c>
      <c r="M126" s="91">
        <f>SIN(C18)*COS(C19)*COS(C20)+COS(C18)*SIN(C20)</f>
        <v>0.15808288411198487</v>
      </c>
      <c r="N126" s="91">
        <f>-SIN(C18)*COS(C19)*SIN(C20)+COS(C18)*COS(C20)</f>
        <v>0.98368832940469131</v>
      </c>
      <c r="O126" s="91">
        <f>-SIN(C18)*SIN(C19)</f>
        <v>8.5831651177431287E-2</v>
      </c>
    </row>
    <row r="127" spans="1:19" x14ac:dyDescent="0.3">
      <c r="J127" s="65">
        <v>-0.9698463103929541</v>
      </c>
      <c r="K127" s="65">
        <v>0.17101007166283425</v>
      </c>
      <c r="L127" s="65">
        <v>-0.1736481776669303</v>
      </c>
      <c r="M127" s="91">
        <f>SIN(C19)*COS(C20)</f>
        <v>-0.9698463103929541</v>
      </c>
      <c r="N127" s="91">
        <f>-SIN(C19)*SIN(C20)</f>
        <v>0.17101007166283433</v>
      </c>
      <c r="O127" s="91">
        <f>COS(C19)</f>
        <v>-0.1736481776669303</v>
      </c>
    </row>
    <row r="129" spans="2:21" ht="15" thickBot="1" x14ac:dyDescent="0.35"/>
    <row r="130" spans="2:21" x14ac:dyDescent="0.3">
      <c r="B130" s="67">
        <f t="array" ref="B130:D132">MMULT(MMULT(N23:P25,N28:P30),N33:P35)</f>
        <v>8.7142468505889498E-2</v>
      </c>
      <c r="C130" s="68">
        <v>1.7452406437283574E-2</v>
      </c>
      <c r="D130" s="69">
        <v>0.99604297281404874</v>
      </c>
      <c r="H130" s="67">
        <f t="array" ref="H130:J132">TRANSPOSE(B130:D132)</f>
        <v>8.7142468505889498E-2</v>
      </c>
      <c r="I130" s="68">
        <v>1.5210774457753962E-3</v>
      </c>
      <c r="J130" s="69">
        <v>0.99619469809174555</v>
      </c>
      <c r="M130" s="82">
        <f t="array" ref="M130:O132">R48:T50</f>
        <v>-0.979414059798702</v>
      </c>
      <c r="N130" s="83">
        <v>0.18263919461390932</v>
      </c>
      <c r="O130" s="84">
        <v>-8.5971065245272454E-2</v>
      </c>
      <c r="S130" s="82">
        <f t="array" ref="S130:U132">MMULT(H130:J132,M130:O132)</f>
        <v>-0.18549376261214362</v>
      </c>
      <c r="T130" s="83">
        <v>-5.5792705462988035E-2</v>
      </c>
      <c r="U130" s="84">
        <v>0.9810602621904071</v>
      </c>
    </row>
    <row r="131" spans="2:21" x14ac:dyDescent="0.3">
      <c r="B131" s="70">
        <v>1.5210774457753962E-3</v>
      </c>
      <c r="C131" s="71">
        <v>-0.99984769515639127</v>
      </c>
      <c r="D131" s="72">
        <v>1.738599476176415E-2</v>
      </c>
      <c r="H131" s="70">
        <v>1.7452406437283574E-2</v>
      </c>
      <c r="I131" s="71">
        <v>-0.99984769515639127</v>
      </c>
      <c r="J131" s="72">
        <v>-6.6596358923616331E-17</v>
      </c>
      <c r="M131" s="85">
        <v>-0.17520270057389245</v>
      </c>
      <c r="N131" s="86">
        <v>-0.9806501937233012</v>
      </c>
      <c r="O131" s="87">
        <v>-8.7345356270764785E-2</v>
      </c>
      <c r="S131" s="85">
        <v>0.15808288411198482</v>
      </c>
      <c r="T131" s="86">
        <v>0.98368832940469142</v>
      </c>
      <c r="U131" s="87">
        <v>8.5831651177431231E-2</v>
      </c>
    </row>
    <row r="132" spans="2:21" ht="15" thickBot="1" x14ac:dyDescent="0.35">
      <c r="B132" s="73">
        <v>0.99619469809174555</v>
      </c>
      <c r="C132" s="74">
        <v>-6.6596358923616331E-17</v>
      </c>
      <c r="D132" s="75">
        <v>-8.7155742747658277E-2</v>
      </c>
      <c r="H132" s="73">
        <v>0.99604297281404874</v>
      </c>
      <c r="I132" s="74">
        <v>1.738599476176415E-2</v>
      </c>
      <c r="J132" s="75">
        <v>-8.7155742747658277E-2</v>
      </c>
      <c r="M132" s="88">
        <v>-0.10026022730993248</v>
      </c>
      <c r="N132" s="89">
        <v>-7.0484907187527701E-2</v>
      </c>
      <c r="O132" s="90">
        <v>0.99246146760391984</v>
      </c>
      <c r="S132" s="88">
        <v>-0.96984631039295399</v>
      </c>
      <c r="T132" s="89">
        <v>0.17101007166283427</v>
      </c>
      <c r="U132" s="90">
        <v>-0.1736481776669303</v>
      </c>
    </row>
    <row r="136" spans="2:21" x14ac:dyDescent="0.3">
      <c r="D136" s="66">
        <f>U132</f>
        <v>-0.1736481776669303</v>
      </c>
      <c r="E136" s="5"/>
      <c r="G136" s="103">
        <f>ACOS(D136)</f>
        <v>1.7453292519943295</v>
      </c>
      <c r="H136" s="104">
        <f>DEGREES(G136)</f>
        <v>100</v>
      </c>
      <c r="J136" s="103">
        <f>ATAN2(D140/SIN(G136),-D138/SIN(G136))</f>
        <v>-2.9670597283903604</v>
      </c>
      <c r="K136" s="104">
        <f>DEGREES(J136)</f>
        <v>-170</v>
      </c>
      <c r="N136" s="2">
        <f>ATAN2(-D144/SIN(G136),-D142/SIN(G136))</f>
        <v>-3.0543261909900767</v>
      </c>
      <c r="O136" s="104">
        <f>DEGREES(N136)</f>
        <v>-175</v>
      </c>
    </row>
    <row r="137" spans="2:21" x14ac:dyDescent="0.3">
      <c r="G137" s="103">
        <f>-ACOS(D136)</f>
        <v>-1.7453292519943295</v>
      </c>
      <c r="H137" s="104">
        <f>DEGREES(G137)</f>
        <v>-100</v>
      </c>
      <c r="J137" s="103">
        <f>ATAN2(D140/SIN(G137),D138/SIN(G136))</f>
        <v>0.17453292519943289</v>
      </c>
      <c r="K137" s="104">
        <f>DEGREES(J137)</f>
        <v>9.9999999999999964</v>
      </c>
      <c r="N137" s="2">
        <f>ATAN2(-D144/SIN(G137),D142/SIN(G136))</f>
        <v>8.7266462599716405E-2</v>
      </c>
      <c r="O137" s="104">
        <f>DEGREES(N137)</f>
        <v>4.9999999999999956</v>
      </c>
    </row>
    <row r="138" spans="2:21" x14ac:dyDescent="0.3">
      <c r="D138" s="92">
        <f>T132</f>
        <v>0.17101007166283427</v>
      </c>
      <c r="G138" s="2"/>
      <c r="H138" s="2"/>
      <c r="I138" s="2"/>
      <c r="J138" s="2"/>
      <c r="K138" s="2"/>
      <c r="L138" s="2"/>
      <c r="M138" s="2"/>
      <c r="N138" s="2"/>
      <c r="O138" s="2"/>
    </row>
    <row r="139" spans="2:21" x14ac:dyDescent="0.3">
      <c r="G139" s="2"/>
      <c r="H139" s="2"/>
      <c r="I139" s="2"/>
      <c r="J139" s="2"/>
      <c r="K139" s="2"/>
      <c r="L139" s="2"/>
      <c r="M139" s="2"/>
      <c r="N139" s="2"/>
      <c r="O139" s="2"/>
    </row>
    <row r="140" spans="2:21" x14ac:dyDescent="0.3">
      <c r="D140" s="93">
        <f>S132</f>
        <v>-0.96984631039295399</v>
      </c>
      <c r="I140" s="2"/>
      <c r="J140" s="2"/>
      <c r="K140" s="104"/>
      <c r="L140" s="2"/>
      <c r="M140" s="2"/>
      <c r="N140" s="105"/>
      <c r="O140" s="104"/>
    </row>
    <row r="141" spans="2:21" x14ac:dyDescent="0.3">
      <c r="I141" s="2"/>
      <c r="J141" s="2"/>
      <c r="K141" s="104"/>
      <c r="L141" s="2"/>
      <c r="M141" s="2"/>
      <c r="N141" s="2"/>
      <c r="O141" s="2"/>
    </row>
    <row r="142" spans="2:21" x14ac:dyDescent="0.3">
      <c r="D142" s="93">
        <f>U131</f>
        <v>8.5831651177431231E-2</v>
      </c>
      <c r="G142" s="2"/>
      <c r="H142" s="2"/>
      <c r="I142" s="2"/>
      <c r="J142" s="2"/>
      <c r="K142" s="2"/>
      <c r="L142" s="2"/>
      <c r="M142" s="2"/>
      <c r="N142" s="2"/>
      <c r="O142" s="2"/>
    </row>
    <row r="143" spans="2:21" x14ac:dyDescent="0.3">
      <c r="G143" s="2"/>
      <c r="H143" s="2"/>
      <c r="I143" s="2"/>
      <c r="J143" s="2"/>
      <c r="K143" s="2"/>
      <c r="L143" s="2"/>
      <c r="M143" s="2"/>
      <c r="N143" s="2"/>
      <c r="O143" s="2"/>
    </row>
    <row r="144" spans="2:21" x14ac:dyDescent="0.3">
      <c r="D144" s="93">
        <f>U130</f>
        <v>0.9810602621904071</v>
      </c>
      <c r="I144" s="2"/>
      <c r="J144" s="2"/>
      <c r="K144" s="104"/>
      <c r="L144" s="2"/>
      <c r="M144" s="2"/>
      <c r="N144" s="105"/>
      <c r="O144" s="104"/>
    </row>
    <row r="145" spans="4:15" x14ac:dyDescent="0.3">
      <c r="I145" s="2"/>
      <c r="J145" s="2"/>
      <c r="K145" s="104"/>
      <c r="L145" s="2"/>
      <c r="M145" s="2"/>
      <c r="N145" s="2"/>
      <c r="O145" s="2"/>
    </row>
    <row r="146" spans="4:15" x14ac:dyDescent="0.3">
      <c r="D146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5" zoomScaleNormal="85" workbookViewId="0">
      <selection activeCell="L17" sqref="L17"/>
    </sheetView>
  </sheetViews>
  <sheetFormatPr baseColWidth="10" defaultColWidth="8.88671875" defaultRowHeight="14.4" x14ac:dyDescent="0.3"/>
  <sheetData>
    <row r="1" spans="1:12" x14ac:dyDescent="0.3">
      <c r="A1" t="s">
        <v>1</v>
      </c>
      <c r="L1" t="s">
        <v>2</v>
      </c>
    </row>
    <row r="17" spans="12:12" x14ac:dyDescent="0.3">
      <c r="L1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Kinematik</vt:lpstr>
      <vt:lpstr>Theorie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2016-07-07T16:07:31Z</dcterms:modified>
</cp:coreProperties>
</file>