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8" windowWidth="12048" windowHeight="5508" tabRatio="295"/>
  </bookViews>
  <sheets>
    <sheet name="Kinematik" sheetId="1" r:id="rId1"/>
    <sheet name="Theorie" sheetId="2" r:id="rId2"/>
  </sheets>
  <calcPr calcId="145621"/>
</workbook>
</file>

<file path=xl/calcChain.xml><?xml version="1.0" encoding="utf-8"?>
<calcChain xmlns="http://schemas.openxmlformats.org/spreadsheetml/2006/main">
  <c r="M133" i="1" l="1"/>
  <c r="N133" i="1"/>
  <c r="O133" i="1"/>
  <c r="G48" i="1"/>
  <c r="G43" i="1"/>
  <c r="F71" i="1" l="1"/>
  <c r="E117" i="1" l="1"/>
  <c r="E116" i="1"/>
  <c r="G28" i="1"/>
  <c r="Q50" i="1"/>
  <c r="Q45" i="1"/>
  <c r="Q40" i="1"/>
  <c r="Q35" i="1"/>
  <c r="Q30" i="1"/>
  <c r="Q25" i="1"/>
  <c r="G23" i="1"/>
  <c r="H23" i="1" s="1"/>
  <c r="D28" i="1"/>
  <c r="P30" i="1" s="1"/>
  <c r="D33" i="1"/>
  <c r="D38" i="1"/>
  <c r="P40" i="1" s="1"/>
  <c r="D43" i="1"/>
  <c r="P45" i="1" s="1"/>
  <c r="D48" i="1"/>
  <c r="P50" i="1" s="1"/>
  <c r="D23" i="1"/>
  <c r="O25" i="1" s="1"/>
  <c r="G33" i="1"/>
  <c r="H33" i="1" s="1"/>
  <c r="G38" i="1"/>
  <c r="H38" i="1" s="1"/>
  <c r="H43" i="1"/>
  <c r="H48" i="1"/>
  <c r="Q49" i="1" s="1"/>
  <c r="C16" i="1"/>
  <c r="C17" i="1"/>
  <c r="C18" i="1"/>
  <c r="C19" i="1"/>
  <c r="C20" i="1"/>
  <c r="C15" i="1"/>
  <c r="M131" i="1" l="1"/>
  <c r="N132" i="1"/>
  <c r="N131" i="1"/>
  <c r="O132" i="1"/>
  <c r="O131" i="1"/>
  <c r="M132" i="1"/>
  <c r="N23" i="1"/>
  <c r="P23" i="1"/>
  <c r="P39" i="1"/>
  <c r="P44" i="1"/>
  <c r="O40" i="1"/>
  <c r="O50" i="1"/>
  <c r="O30" i="1"/>
  <c r="O45" i="1"/>
  <c r="O24" i="1"/>
  <c r="N48" i="1"/>
  <c r="N49" i="1"/>
  <c r="O48" i="1"/>
  <c r="O49" i="1"/>
  <c r="P48" i="1"/>
  <c r="P49" i="1"/>
  <c r="Q48" i="1"/>
  <c r="Q43" i="1"/>
  <c r="Q44" i="1"/>
  <c r="N43" i="1"/>
  <c r="N44" i="1"/>
  <c r="O43" i="1"/>
  <c r="O44" i="1"/>
  <c r="P43" i="1"/>
  <c r="O34" i="1"/>
  <c r="P33" i="1"/>
  <c r="N34" i="1"/>
  <c r="P34" i="1"/>
  <c r="P25" i="1"/>
  <c r="Q33" i="1"/>
  <c r="Q34" i="1"/>
  <c r="O33" i="1"/>
  <c r="O35" i="1"/>
  <c r="N33" i="1"/>
  <c r="P35" i="1"/>
  <c r="O23" i="1"/>
  <c r="Q38" i="1"/>
  <c r="Q39" i="1"/>
  <c r="N38" i="1"/>
  <c r="N39" i="1"/>
  <c r="O38" i="1"/>
  <c r="O39" i="1"/>
  <c r="P38" i="1"/>
  <c r="Q24" i="1"/>
  <c r="P24" i="1"/>
  <c r="N24" i="1"/>
  <c r="Q23" i="1"/>
  <c r="H28" i="1"/>
  <c r="O28" i="1" s="1"/>
  <c r="J131" i="1" l="1" a="1"/>
  <c r="R23" i="1" a="1"/>
  <c r="U23" i="1" s="1"/>
  <c r="Q29" i="1"/>
  <c r="P29" i="1"/>
  <c r="Q28" i="1"/>
  <c r="O29" i="1"/>
  <c r="P28" i="1"/>
  <c r="N28" i="1"/>
  <c r="N29" i="1"/>
  <c r="L132" i="1" l="1"/>
  <c r="J133" i="1"/>
  <c r="J131" i="1"/>
  <c r="L131" i="1"/>
  <c r="K133" i="1"/>
  <c r="L133" i="1"/>
  <c r="K132" i="1"/>
  <c r="K131" i="1"/>
  <c r="J132" i="1"/>
  <c r="B136" i="1" a="1"/>
  <c r="C138" i="1" s="1"/>
  <c r="R23" i="1"/>
  <c r="R24" i="1"/>
  <c r="T23" i="1"/>
  <c r="T24" i="1"/>
  <c r="U26" i="1"/>
  <c r="T25" i="1"/>
  <c r="T26" i="1"/>
  <c r="S26" i="1"/>
  <c r="R25" i="1"/>
  <c r="S25" i="1"/>
  <c r="S23" i="1"/>
  <c r="S24" i="1"/>
  <c r="U25" i="1"/>
  <c r="R26" i="1"/>
  <c r="U24" i="1"/>
  <c r="B136" i="1" l="1"/>
  <c r="C136" i="1"/>
  <c r="C137" i="1"/>
  <c r="D136" i="1"/>
  <c r="B138" i="1"/>
  <c r="D138" i="1"/>
  <c r="D137" i="1"/>
  <c r="B137" i="1"/>
  <c r="V23" i="1"/>
  <c r="V25" i="1"/>
  <c r="V26" i="1"/>
  <c r="W24" i="1"/>
  <c r="V24" i="1"/>
  <c r="R28" i="1" a="1"/>
  <c r="H136" i="1" l="1" a="1"/>
  <c r="I138" i="1" s="1"/>
  <c r="X24" i="1"/>
  <c r="W23" i="1"/>
  <c r="X23" i="1" s="1"/>
  <c r="W25" i="1"/>
  <c r="X25" i="1" s="1"/>
  <c r="U28" i="1"/>
  <c r="R31" i="1"/>
  <c r="R29" i="1"/>
  <c r="R30" i="1"/>
  <c r="U31" i="1"/>
  <c r="U29" i="1"/>
  <c r="U30" i="1"/>
  <c r="T28" i="1"/>
  <c r="T31" i="1"/>
  <c r="T29" i="1"/>
  <c r="T30" i="1"/>
  <c r="S29" i="1"/>
  <c r="R28" i="1"/>
  <c r="S31" i="1"/>
  <c r="S30" i="1"/>
  <c r="S28" i="1"/>
  <c r="H138" i="1" l="1"/>
  <c r="I136" i="1"/>
  <c r="J137" i="1"/>
  <c r="J136" i="1"/>
  <c r="H137" i="1"/>
  <c r="H136" i="1"/>
  <c r="J138" i="1"/>
  <c r="I137" i="1"/>
  <c r="W29" i="1"/>
  <c r="W28" i="1" s="1"/>
  <c r="V30" i="1"/>
  <c r="V28" i="1"/>
  <c r="V31" i="1"/>
  <c r="V29" i="1"/>
  <c r="R33" i="1" a="1"/>
  <c r="R33" i="1" l="1"/>
  <c r="R34" i="1"/>
  <c r="R35" i="1"/>
  <c r="R36" i="1"/>
  <c r="S34" i="1"/>
  <c r="T33" i="1"/>
  <c r="T34" i="1"/>
  <c r="T35" i="1"/>
  <c r="T36" i="1"/>
  <c r="U36" i="1"/>
  <c r="U33" i="1"/>
  <c r="U34" i="1"/>
  <c r="U35" i="1"/>
  <c r="S33" i="1"/>
  <c r="S35" i="1"/>
  <c r="S36" i="1"/>
  <c r="W30" i="1"/>
  <c r="X30" i="1" s="1"/>
  <c r="X28" i="1"/>
  <c r="X29" i="1"/>
  <c r="W34" i="1" l="1"/>
  <c r="W33" i="1" s="1"/>
  <c r="V36" i="1"/>
  <c r="V35" i="1"/>
  <c r="V34" i="1"/>
  <c r="V33" i="1"/>
  <c r="R38" i="1" a="1"/>
  <c r="X33" i="1" l="1"/>
  <c r="W35" i="1"/>
  <c r="X35" i="1" s="1"/>
  <c r="R41" i="1"/>
  <c r="S38" i="1"/>
  <c r="T38" i="1"/>
  <c r="U38" i="1"/>
  <c r="R38" i="1"/>
  <c r="S39" i="1"/>
  <c r="T39" i="1"/>
  <c r="U39" i="1"/>
  <c r="R39" i="1"/>
  <c r="R40" i="1"/>
  <c r="S41" i="1"/>
  <c r="U41" i="1"/>
  <c r="S40" i="1"/>
  <c r="T40" i="1"/>
  <c r="U40" i="1"/>
  <c r="T41" i="1"/>
  <c r="X34" i="1"/>
  <c r="W39" i="1" l="1"/>
  <c r="W38" i="1" s="1"/>
  <c r="V39" i="1"/>
  <c r="V38" i="1"/>
  <c r="V40" i="1"/>
  <c r="V41" i="1"/>
  <c r="R43" i="1" a="1"/>
  <c r="W40" i="1" l="1"/>
  <c r="X40" i="1" s="1"/>
  <c r="X38" i="1"/>
  <c r="R46" i="1"/>
  <c r="S43" i="1"/>
  <c r="T43" i="1"/>
  <c r="U43" i="1"/>
  <c r="R43" i="1"/>
  <c r="S44" i="1"/>
  <c r="T44" i="1"/>
  <c r="U44" i="1"/>
  <c r="R44" i="1"/>
  <c r="S45" i="1"/>
  <c r="T45" i="1"/>
  <c r="U45" i="1"/>
  <c r="R45" i="1"/>
  <c r="S46" i="1"/>
  <c r="T46" i="1"/>
  <c r="U46" i="1"/>
  <c r="X39" i="1"/>
  <c r="W44" i="1" l="1"/>
  <c r="V45" i="1"/>
  <c r="V44" i="1"/>
  <c r="V43" i="1"/>
  <c r="V46" i="1"/>
  <c r="R48" i="1" a="1"/>
  <c r="W45" i="1" l="1"/>
  <c r="X45" i="1" s="1"/>
  <c r="W43" i="1"/>
  <c r="X43" i="1" s="1"/>
  <c r="X44" i="1"/>
  <c r="S51" i="1"/>
  <c r="S48" i="1"/>
  <c r="T50" i="1"/>
  <c r="U48" i="1"/>
  <c r="R50" i="1"/>
  <c r="S50" i="1"/>
  <c r="T51" i="1"/>
  <c r="U50" i="1"/>
  <c r="R51" i="1"/>
  <c r="T48" i="1"/>
  <c r="U49" i="1"/>
  <c r="R48" i="1"/>
  <c r="S49" i="1"/>
  <c r="T49" i="1"/>
  <c r="U51" i="1"/>
  <c r="R49" i="1"/>
  <c r="W49" i="1" l="1"/>
  <c r="W50" i="1" s="1"/>
  <c r="V48" i="1"/>
  <c r="G8" i="1" s="1"/>
  <c r="M136" i="1" a="1"/>
  <c r="M138" i="1" s="1"/>
  <c r="V49" i="1"/>
  <c r="G9" i="1" s="1"/>
  <c r="V51" i="1"/>
  <c r="V50" i="1"/>
  <c r="G10" i="1" s="1"/>
  <c r="O137" i="1" l="1"/>
  <c r="N136" i="1"/>
  <c r="M137" i="1"/>
  <c r="O136" i="1"/>
  <c r="N137" i="1"/>
  <c r="W48" i="1"/>
  <c r="D56" i="1" s="1" a="1"/>
  <c r="D57" i="1" s="1"/>
  <c r="O138" i="1"/>
  <c r="N138" i="1"/>
  <c r="M136" i="1"/>
  <c r="C56" i="1" a="1"/>
  <c r="C58" i="1" s="1"/>
  <c r="X49" i="1"/>
  <c r="H9" i="1" s="1"/>
  <c r="D58" i="1" l="1"/>
  <c r="E64" i="1"/>
  <c r="B64" i="1"/>
  <c r="X50" i="1"/>
  <c r="H10" i="1" s="1"/>
  <c r="X48" i="1"/>
  <c r="H8" i="1" s="1"/>
  <c r="D56" i="1"/>
  <c r="E57" i="1"/>
  <c r="F57" i="1"/>
  <c r="G57" i="1" s="1"/>
  <c r="H57" i="1" s="1"/>
  <c r="S136" i="1" a="1"/>
  <c r="T136" i="1" s="1"/>
  <c r="C59" i="1"/>
  <c r="C56" i="1"/>
  <c r="C57" i="1"/>
  <c r="D64" i="1" l="1"/>
  <c r="C64" i="1"/>
  <c r="B63" i="1"/>
  <c r="B62" i="1"/>
  <c r="F58" i="1"/>
  <c r="G58" i="1" s="1"/>
  <c r="H58" i="1" s="1"/>
  <c r="D62" i="1"/>
  <c r="D63" i="1"/>
  <c r="C63" i="1"/>
  <c r="C62" i="1"/>
  <c r="E63" i="1"/>
  <c r="E62" i="1"/>
  <c r="F56" i="1"/>
  <c r="G56" i="1" s="1"/>
  <c r="H56" i="1" s="1"/>
  <c r="U136" i="1"/>
  <c r="D150" i="1" s="1"/>
  <c r="T138" i="1"/>
  <c r="D144" i="1" s="1"/>
  <c r="S137" i="1"/>
  <c r="U138" i="1"/>
  <c r="D142" i="1" s="1"/>
  <c r="G142" i="1" s="1"/>
  <c r="T137" i="1"/>
  <c r="U137" i="1"/>
  <c r="D148" i="1" s="1"/>
  <c r="S138" i="1"/>
  <c r="D146" i="1" s="1"/>
  <c r="S136" i="1"/>
  <c r="E56" i="1"/>
  <c r="E58" i="1"/>
  <c r="J142" i="1" l="1"/>
  <c r="F63" i="1"/>
  <c r="H63" i="1" s="1"/>
  <c r="G143" i="1"/>
  <c r="I69" i="1" a="1"/>
  <c r="K70" i="1" s="1"/>
  <c r="F64" i="1" l="1"/>
  <c r="G64" i="1" s="1"/>
  <c r="G63" i="1"/>
  <c r="F62" i="1"/>
  <c r="H62" i="1" s="1"/>
  <c r="J143" i="1"/>
  <c r="K143" i="1" s="1"/>
  <c r="G20" i="1" s="1"/>
  <c r="N143" i="1"/>
  <c r="O143" i="1" s="1"/>
  <c r="G18" i="1" s="1"/>
  <c r="K142" i="1"/>
  <c r="N142" i="1"/>
  <c r="O142" i="1" s="1"/>
  <c r="H142" i="1"/>
  <c r="F19" i="1" s="1"/>
  <c r="G62" i="1"/>
  <c r="I71" i="1"/>
  <c r="K71" i="1"/>
  <c r="J70" i="1"/>
  <c r="I70" i="1"/>
  <c r="L72" i="1"/>
  <c r="I72" i="1"/>
  <c r="L70" i="1"/>
  <c r="I69" i="1"/>
  <c r="L69" i="1"/>
  <c r="K69" i="1"/>
  <c r="K72" i="1"/>
  <c r="J71" i="1"/>
  <c r="J69" i="1"/>
  <c r="J72" i="1"/>
  <c r="L71" i="1"/>
  <c r="I63" i="1"/>
  <c r="J63" i="1" s="1"/>
  <c r="H143" i="1"/>
  <c r="G19" i="1" s="1"/>
  <c r="H64" i="1" l="1"/>
  <c r="I64" i="1" s="1"/>
  <c r="J64" i="1" s="1"/>
  <c r="B83" i="1" a="1"/>
  <c r="B85" i="1" s="1"/>
  <c r="E110" i="1" s="1"/>
  <c r="I62" i="1"/>
  <c r="J62" i="1" s="1"/>
  <c r="F18" i="1"/>
  <c r="F20" i="1"/>
  <c r="B83" i="1" l="1"/>
  <c r="G4" i="1" s="1"/>
  <c r="B84" i="1"/>
  <c r="G5" i="1" s="1"/>
  <c r="B86" i="1"/>
  <c r="L97" i="1"/>
  <c r="G6" i="1"/>
  <c r="B87" i="1" l="1"/>
  <c r="Q115" i="1" s="1"/>
  <c r="H83" i="1"/>
  <c r="I83" i="1" s="1"/>
  <c r="E112" i="1"/>
  <c r="E115" i="1" s="1"/>
  <c r="H84" i="1"/>
  <c r="I84" i="1" s="1"/>
  <c r="Q116" i="1" l="1"/>
  <c r="R116" i="1" s="1"/>
  <c r="M115" i="1"/>
  <c r="L96" i="1"/>
  <c r="G85" i="1"/>
  <c r="H85" i="1" s="1"/>
  <c r="I85" i="1" s="1"/>
  <c r="G86" i="1"/>
  <c r="H86" i="1" s="1"/>
  <c r="I15" i="1" s="1"/>
  <c r="M112" i="1"/>
  <c r="M116" i="1" l="1"/>
  <c r="N116" i="1" s="1"/>
  <c r="E15" i="1"/>
  <c r="M110" i="1"/>
  <c r="Q120" i="1" s="1"/>
  <c r="R120" i="1" s="1"/>
  <c r="H16" i="1" s="1"/>
  <c r="S120" i="1" s="1"/>
  <c r="I86" i="1"/>
  <c r="N112" i="1"/>
  <c r="Q121" i="1"/>
  <c r="R121" i="1" s="1"/>
  <c r="Q127" i="1"/>
  <c r="R127" i="1" s="1"/>
  <c r="I17" i="1" s="1"/>
  <c r="M121" i="1"/>
  <c r="N121" i="1" s="1"/>
  <c r="M127" i="1"/>
  <c r="N127" i="1" s="1"/>
  <c r="Q126" i="1" l="1"/>
  <c r="R126" i="1" s="1"/>
  <c r="I16" i="1" s="1"/>
  <c r="N110" i="1"/>
  <c r="M120" i="1"/>
  <c r="N120" i="1" s="1"/>
  <c r="D16" i="1" s="1"/>
  <c r="M126" i="1"/>
  <c r="N126" i="1" s="1"/>
  <c r="E16" i="1" s="1"/>
  <c r="H17" i="1"/>
  <c r="S127" i="1" s="1"/>
  <c r="O127" i="1"/>
  <c r="E17" i="1"/>
  <c r="O121" i="1"/>
  <c r="D17" i="1"/>
  <c r="S126" i="1" l="1"/>
  <c r="O126" i="1"/>
  <c r="O120" i="1"/>
  <c r="S121" i="1"/>
</calcChain>
</file>

<file path=xl/sharedStrings.xml><?xml version="1.0" encoding="utf-8"?>
<sst xmlns="http://schemas.openxmlformats.org/spreadsheetml/2006/main" count="88" uniqueCount="77">
  <si>
    <r>
      <t>Hüfte (T</t>
    </r>
    <r>
      <rPr>
        <vertAlign val="subscript"/>
        <sz val="11"/>
        <color theme="1"/>
        <rFont val="Calibri"/>
        <family val="2"/>
        <scheme val="minor"/>
      </rPr>
      <t>0-1</t>
    </r>
    <r>
      <rPr>
        <sz val="11"/>
        <color theme="1"/>
        <rFont val="Calibri"/>
        <family val="2"/>
        <scheme val="minor"/>
      </rPr>
      <t>)</t>
    </r>
  </si>
  <si>
    <t>Rotation und Translation von homogenen Koordinaten</t>
  </si>
  <si>
    <t>Denavit Hartenberg Transformation</t>
  </si>
  <si>
    <t>d[mm]</t>
  </si>
  <si>
    <t>a[mm]</t>
  </si>
  <si>
    <r>
      <t>q</t>
    </r>
    <r>
      <rPr>
        <vertAlign val="subscript"/>
        <sz val="11"/>
        <color theme="1"/>
        <rFont val="Calibri"/>
        <family val="2"/>
        <scheme val="minor"/>
      </rPr>
      <t>1</t>
    </r>
  </si>
  <si>
    <r>
      <t>q</t>
    </r>
    <r>
      <rPr>
        <vertAlign val="subscript"/>
        <sz val="11"/>
        <color theme="1"/>
        <rFont val="Calibri"/>
        <family val="2"/>
        <scheme val="minor"/>
      </rPr>
      <t>2</t>
    </r>
  </si>
  <si>
    <r>
      <t>q</t>
    </r>
    <r>
      <rPr>
        <vertAlign val="subscript"/>
        <sz val="11"/>
        <color theme="1"/>
        <rFont val="Calibri"/>
        <family val="2"/>
        <scheme val="minor"/>
      </rPr>
      <t>3</t>
    </r>
  </si>
  <si>
    <r>
      <t>q</t>
    </r>
    <r>
      <rPr>
        <vertAlign val="subscript"/>
        <sz val="11"/>
        <color theme="1"/>
        <rFont val="Calibri"/>
        <family val="2"/>
        <scheme val="minor"/>
      </rPr>
      <t>0</t>
    </r>
  </si>
  <si>
    <r>
      <t>q</t>
    </r>
    <r>
      <rPr>
        <vertAlign val="subscript"/>
        <sz val="11"/>
        <color theme="1"/>
        <rFont val="Calibri"/>
        <family val="2"/>
        <scheme val="minor"/>
      </rPr>
      <t>4</t>
    </r>
  </si>
  <si>
    <r>
      <t>q</t>
    </r>
    <r>
      <rPr>
        <vertAlign val="subscript"/>
        <sz val="11"/>
        <color theme="1"/>
        <rFont val="Calibri"/>
        <family val="2"/>
        <scheme val="minor"/>
      </rPr>
      <t>5</t>
    </r>
  </si>
  <si>
    <t>a[°]</t>
  </si>
  <si>
    <t>q[°]</t>
  </si>
  <si>
    <t>Punkt</t>
  </si>
  <si>
    <t>Gelenkpunkt</t>
  </si>
  <si>
    <r>
      <t>a</t>
    </r>
    <r>
      <rPr>
        <sz val="11"/>
        <color theme="1"/>
        <rFont val="Calibri"/>
        <family val="2"/>
        <scheme val="minor"/>
      </rPr>
      <t>[RAD]</t>
    </r>
  </si>
  <si>
    <r>
      <t>q</t>
    </r>
    <r>
      <rPr>
        <sz val="11"/>
        <color theme="1"/>
        <rFont val="Calibri"/>
        <family val="2"/>
        <scheme val="minor"/>
      </rPr>
      <t>[RAD]</t>
    </r>
  </si>
  <si>
    <t>Ursprung</t>
  </si>
  <si>
    <t>https://de.wikipedia.org/wiki/Roll-Nick-Gier-Winkel</t>
  </si>
  <si>
    <t>Achtung: in Excel ARCTAN2(x;y) entspricht ARCTAN(y/x) (falschrum!)</t>
  </si>
  <si>
    <r>
      <t>Transformationsmatrix</t>
    </r>
    <r>
      <rPr>
        <vertAlign val="subscript"/>
        <sz val="11"/>
        <color theme="1"/>
        <rFont val="Calibri"/>
        <family val="2"/>
        <scheme val="minor"/>
      </rPr>
      <t>i i+1</t>
    </r>
  </si>
  <si>
    <r>
      <t>Transformationsmatrix</t>
    </r>
    <r>
      <rPr>
        <vertAlign val="subscript"/>
        <sz val="11"/>
        <color theme="1"/>
        <rFont val="Calibri"/>
        <family val="2"/>
        <scheme val="minor"/>
      </rPr>
      <t>0 n</t>
    </r>
  </si>
  <si>
    <t>RAD</t>
  </si>
  <si>
    <r>
      <t>Oberarm (T</t>
    </r>
    <r>
      <rPr>
        <vertAlign val="subscript"/>
        <sz val="11"/>
        <color theme="1"/>
        <rFont val="Calibri"/>
        <family val="2"/>
        <scheme val="minor"/>
      </rPr>
      <t>1-2</t>
    </r>
    <r>
      <rPr>
        <sz val="11"/>
        <color theme="1"/>
        <rFont val="Calibri"/>
        <family val="2"/>
        <scheme val="minor"/>
      </rPr>
      <t>)</t>
    </r>
  </si>
  <si>
    <r>
      <t>Handgelenk (T</t>
    </r>
    <r>
      <rPr>
        <vertAlign val="subscript"/>
        <sz val="11"/>
        <color theme="1"/>
        <rFont val="Calibri"/>
        <family val="2"/>
        <scheme val="minor"/>
      </rPr>
      <t>4-5</t>
    </r>
    <r>
      <rPr>
        <sz val="11"/>
        <color theme="1"/>
        <rFont val="Calibri"/>
        <family val="2"/>
        <scheme val="minor"/>
      </rPr>
      <t>)</t>
    </r>
  </si>
  <si>
    <r>
      <t>Hand (T</t>
    </r>
    <r>
      <rPr>
        <vertAlign val="subscript"/>
        <sz val="11"/>
        <color theme="1"/>
        <rFont val="Calibri"/>
        <family val="2"/>
        <scheme val="minor"/>
      </rPr>
      <t>5-6</t>
    </r>
    <r>
      <rPr>
        <sz val="11"/>
        <color theme="1"/>
        <rFont val="Calibri"/>
        <family val="2"/>
        <scheme val="minor"/>
      </rPr>
      <t>)</t>
    </r>
  </si>
  <si>
    <t>Inverse Kinematik</t>
  </si>
  <si>
    <t>TCP</t>
  </si>
  <si>
    <t>Vorwärts Kinematik</t>
  </si>
  <si>
    <t>Berechnung WCP</t>
  </si>
  <si>
    <t xml:space="preserve">WCP </t>
  </si>
  <si>
    <r>
      <t>WCP = T</t>
    </r>
    <r>
      <rPr>
        <vertAlign val="subscript"/>
        <sz val="11"/>
        <color theme="1"/>
        <rFont val="Calibri"/>
        <family val="2"/>
        <scheme val="minor"/>
      </rPr>
      <t>0-6</t>
    </r>
    <r>
      <rPr>
        <sz val="11"/>
        <color theme="1"/>
        <rFont val="Calibri"/>
        <family val="2"/>
        <scheme val="minor"/>
      </rPr>
      <t xml:space="preserve"> * WCP</t>
    </r>
    <r>
      <rPr>
        <vertAlign val="subscript"/>
        <sz val="11"/>
        <color theme="1"/>
        <rFont val="Calibri"/>
        <family val="2"/>
        <scheme val="minor"/>
      </rPr>
      <t>TCP</t>
    </r>
    <r>
      <rPr>
        <sz val="11"/>
        <color theme="1"/>
        <rFont val="Calibri"/>
        <family val="2"/>
        <scheme val="minor"/>
      </rPr>
      <t xml:space="preserve"> </t>
    </r>
  </si>
  <si>
    <r>
      <t>WCP</t>
    </r>
    <r>
      <rPr>
        <vertAlign val="subscript"/>
        <sz val="11"/>
        <color theme="1"/>
        <rFont val="Calibri"/>
        <family val="2"/>
        <scheme val="minor"/>
      </rPr>
      <t>TCP</t>
    </r>
    <r>
      <rPr>
        <sz val="11"/>
        <color theme="1"/>
        <rFont val="Calibri"/>
        <family val="2"/>
        <scheme val="minor"/>
      </rPr>
      <t xml:space="preserve"> (WCP aus Perspektive von TCP) =</t>
    </r>
  </si>
  <si>
    <r>
      <t>TCP = T</t>
    </r>
    <r>
      <rPr>
        <vertAlign val="subscript"/>
        <sz val="11"/>
        <color theme="1"/>
        <rFont val="Calibri"/>
        <family val="2"/>
        <scheme val="minor"/>
      </rPr>
      <t>0-6</t>
    </r>
  </si>
  <si>
    <t>=&gt;</t>
  </si>
  <si>
    <r>
      <t>WCP = TCP+WCP</t>
    </r>
    <r>
      <rPr>
        <vertAlign val="subscript"/>
        <sz val="11"/>
        <color theme="1"/>
        <rFont val="Calibri"/>
        <family val="2"/>
        <scheme val="minor"/>
      </rPr>
      <t>TCP</t>
    </r>
    <r>
      <rPr>
        <sz val="11"/>
        <color theme="1"/>
        <rFont val="Calibri"/>
        <family val="2"/>
        <scheme val="minor"/>
      </rPr>
      <t>=T</t>
    </r>
    <r>
      <rPr>
        <vertAlign val="subscript"/>
        <sz val="11"/>
        <color theme="1"/>
        <rFont val="Calibri"/>
        <family val="2"/>
        <scheme val="minor"/>
      </rPr>
      <t>0-6</t>
    </r>
    <r>
      <rPr>
        <sz val="11"/>
        <color theme="1"/>
        <rFont val="Calibri"/>
        <family val="2"/>
        <scheme val="minor"/>
      </rPr>
      <t>*WCP</t>
    </r>
    <r>
      <rPr>
        <vertAlign val="subscript"/>
        <sz val="11"/>
        <color theme="1"/>
        <rFont val="Calibri"/>
        <family val="2"/>
        <scheme val="minor"/>
      </rPr>
      <t>TCP</t>
    </r>
  </si>
  <si>
    <r>
      <t>WCP und TCP unterscheiden sich nur durch Translation von d</t>
    </r>
    <r>
      <rPr>
        <i/>
        <vertAlign val="subscript"/>
        <sz val="11"/>
        <color theme="1"/>
        <rFont val="Calibri"/>
        <family val="2"/>
        <scheme val="minor"/>
      </rPr>
      <t>5</t>
    </r>
    <r>
      <rPr>
        <i/>
        <sz val="11"/>
        <color theme="1"/>
        <rFont val="Calibri"/>
        <family val="2"/>
        <scheme val="minor"/>
      </rPr>
      <t>. Also kann aus TCP WCP direkt errechnet werden</t>
    </r>
  </si>
  <si>
    <r>
      <t xml:space="preserve">Berechnung </t>
    </r>
    <r>
      <rPr>
        <b/>
        <sz val="11"/>
        <color theme="1"/>
        <rFont val="Symbol"/>
        <family val="1"/>
        <charset val="2"/>
      </rPr>
      <t>q</t>
    </r>
    <r>
      <rPr>
        <b/>
        <vertAlign val="subscript"/>
        <sz val="11"/>
        <color theme="1"/>
        <rFont val="Calibri"/>
        <family val="2"/>
        <scheme val="minor"/>
      </rPr>
      <t>0</t>
    </r>
  </si>
  <si>
    <t>Inverse Kinematics</t>
  </si>
  <si>
    <t>two variants, look forward and look backward</t>
  </si>
  <si>
    <t>Look forward</t>
  </si>
  <si>
    <t>Look backward</t>
  </si>
  <si>
    <t>switch direction when necessary to make it stetig</t>
  </si>
  <si>
    <t>forward/back</t>
  </si>
  <si>
    <r>
      <t xml:space="preserve">Berechnung </t>
    </r>
    <r>
      <rPr>
        <b/>
        <sz val="11"/>
        <color theme="1"/>
        <rFont val="Symbol"/>
        <family val="1"/>
        <charset val="2"/>
      </rPr>
      <t>q</t>
    </r>
    <r>
      <rPr>
        <b/>
        <vertAlign val="subscript"/>
        <sz val="11"/>
        <color theme="1"/>
        <rFont val="Symbol"/>
        <family val="1"/>
        <charset val="2"/>
      </rPr>
      <t>1</t>
    </r>
    <r>
      <rPr>
        <b/>
        <sz val="11"/>
        <color theme="1"/>
        <rFont val="Symbol"/>
        <family val="1"/>
        <charset val="2"/>
      </rPr>
      <t>,q</t>
    </r>
    <r>
      <rPr>
        <b/>
        <vertAlign val="subscript"/>
        <sz val="11"/>
        <color theme="1"/>
        <rFont val="Symbol"/>
        <family val="1"/>
        <charset val="2"/>
      </rPr>
      <t>2</t>
    </r>
  </si>
  <si>
    <t>Diagramm</t>
  </si>
  <si>
    <t>Solution I</t>
  </si>
  <si>
    <t>Solution II</t>
  </si>
  <si>
    <t>Look Forward</t>
  </si>
  <si>
    <t>Look Backward</t>
  </si>
  <si>
    <t>Joint Angles</t>
  </si>
  <si>
    <t>Ist</t>
  </si>
  <si>
    <t>Soll</t>
  </si>
  <si>
    <r>
      <t xml:space="preserve">Berechnung </t>
    </r>
    <r>
      <rPr>
        <b/>
        <sz val="11"/>
        <color theme="1"/>
        <rFont val="Symbol"/>
        <family val="1"/>
        <charset val="2"/>
      </rPr>
      <t>q</t>
    </r>
    <r>
      <rPr>
        <b/>
        <vertAlign val="subscript"/>
        <sz val="11"/>
        <color theme="1"/>
        <rFont val="Symbol"/>
        <family val="1"/>
        <charset val="2"/>
      </rPr>
      <t>3</t>
    </r>
    <r>
      <rPr>
        <b/>
        <sz val="11"/>
        <color theme="1"/>
        <rFont val="Symbol"/>
        <family val="1"/>
        <charset val="2"/>
      </rPr>
      <t>,q</t>
    </r>
    <r>
      <rPr>
        <b/>
        <vertAlign val="subscript"/>
        <sz val="11"/>
        <color theme="1"/>
        <rFont val="Symbol"/>
        <family val="1"/>
        <charset val="2"/>
      </rPr>
      <t>4</t>
    </r>
    <r>
      <rPr>
        <b/>
        <sz val="11"/>
        <color theme="1"/>
        <rFont val="Symbol"/>
        <family val="1"/>
        <charset val="2"/>
      </rPr>
      <t>,q</t>
    </r>
    <r>
      <rPr>
        <b/>
        <vertAlign val="subscript"/>
        <sz val="11"/>
        <color theme="1"/>
        <rFont val="Symbol"/>
        <family val="1"/>
        <charset val="2"/>
      </rPr>
      <t>5</t>
    </r>
  </si>
  <si>
    <t>triangle side b</t>
  </si>
  <si>
    <t>triangle side a</t>
  </si>
  <si>
    <t>triangle side c</t>
  </si>
  <si>
    <t>choose between solution I and II</t>
  </si>
  <si>
    <t>Build Triangle of joint 1,2/3,WCP, compute angles with cosine sentence</t>
  </si>
  <si>
    <t>=</t>
  </si>
  <si>
    <t>looking forward</t>
  </si>
  <si>
    <t>looking backward</t>
  </si>
  <si>
    <t>Orientierung aus Sicht World</t>
  </si>
  <si>
    <t>Euler ° (zyx Konvention)</t>
  </si>
  <si>
    <t>Orientierung aus Sicht TCP</t>
  </si>
  <si>
    <t>http://kos.informatik.uni-osnabrueck.de/download/diplom/node26.html</t>
  </si>
  <si>
    <t>Modell zy'x''</t>
  </si>
  <si>
    <t>http://www-home.htwg-konstanz.de/~bittel/ain_robo/Vorlesung/02_PositionUndOrientierung.pdf</t>
  </si>
  <si>
    <t>FlipFlag</t>
  </si>
  <si>
    <r>
      <t>Unterarm  (T</t>
    </r>
    <r>
      <rPr>
        <vertAlign val="subscript"/>
        <sz val="11"/>
        <color theme="1"/>
        <rFont val="Calibri"/>
        <family val="2"/>
        <scheme val="minor"/>
      </rPr>
      <t>2-3</t>
    </r>
    <r>
      <rPr>
        <sz val="11"/>
        <color theme="1"/>
        <rFont val="Calibri"/>
        <family val="2"/>
        <scheme val="minor"/>
      </rPr>
      <t>)</t>
    </r>
  </si>
  <si>
    <r>
      <t>Ellbogen  (T</t>
    </r>
    <r>
      <rPr>
        <vertAlign val="subscript"/>
        <sz val="11"/>
        <color theme="1"/>
        <rFont val="Calibri"/>
        <family val="2"/>
        <scheme val="minor"/>
      </rPr>
      <t>3-4</t>
    </r>
    <r>
      <rPr>
        <sz val="11"/>
        <color theme="1"/>
        <rFont val="Calibri"/>
        <family val="2"/>
        <scheme val="minor"/>
      </rPr>
      <t>)</t>
    </r>
  </si>
  <si>
    <t>a</t>
  </si>
  <si>
    <t>Gier</t>
  </si>
  <si>
    <t>b</t>
  </si>
  <si>
    <t>Nick</t>
  </si>
  <si>
    <t>Roll</t>
  </si>
  <si>
    <t>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</si>
</sst>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9">
    <numFmt numFmtId="43" formatCode="_-* #,##0.00\ _€_-;\-* #,##0.00\ _€_-;_-* &quot;-&quot;??\ _€_-;_-@_-"/>
    <numFmt numFmtId="164" formatCode="0.000"/>
    <numFmt numFmtId="165" formatCode="0.0"/>
    <numFmt numFmtId="166" formatCode="_-* #,##0.0\ _€_-;\-* #,##0.0\ _€_-;_-* &quot;-&quot;??\ _€_-;_-@_-"/>
    <numFmt numFmtId="167" formatCode="_-* #,##0\ _€_-;\-* #,##0\ _€_-;_-* &quot;-&quot;??\ _€_-;_-@_-"/>
    <numFmt numFmtId="168" formatCode="_-* #,##0.0\ _€_-;\-* #,##0.0\ _€_-;_-* &quot;-&quot;?\ _€_-;_-@_-"/>
    <numFmt numFmtId="169" formatCode="0.0\ &quot;°&quot;"/>
    <numFmt numFmtId="170" formatCode="0.00\ &quot;RAD&quot;"/>
    <numFmt numFmtId="171" formatCode="_-* #,##0.000\ _€_-;\-* #,##0.000\ _€_-;_-* &quot;-&quot;??\ _€_-;_-@_-"/>
    <numFmt numFmtId="172" formatCode="0.000000"/>
    <numFmt numFmtId="173" formatCode="0.00000"/>
    <numFmt numFmtId="174" formatCode="0.0000"/>
    <numFmt numFmtId="175" formatCode="_-* #,##0.0000\ _€_-;\-* #,##0.0000\ _€_-;_-* &quot;-&quot;??\ _€_-;_-@_-"/>
    <numFmt numFmtId="176" formatCode="0.000\ &quot;RAD&quot;"/>
    <numFmt numFmtId="177" formatCode="_-* #,##0.00000\ _€_-;\-* #,##0.00000\ _€_-;_-* &quot;-&quot;??\ _€_-;_-@_-"/>
    <numFmt numFmtId="184" formatCode="_-* #,##0.000000\ _€_-;\-* #,##0.000000\ _€_-;_-* &quot;-&quot;??\ _€_-;_-@_-"/>
    <numFmt numFmtId="188" formatCode="0.00000\ &quot;RAD&quot;"/>
    <numFmt numFmtId="189" formatCode="0.000000\ &quot;RAD&quot;"/>
    <numFmt numFmtId="197" formatCode="0.000000000000000000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i/>
      <sz val="11"/>
      <color theme="1"/>
      <name val="Calibri"/>
      <family val="2"/>
      <scheme val="minor"/>
    </font>
    <font>
      <i/>
      <vertAlign val="subscript"/>
      <sz val="11"/>
      <color theme="1"/>
      <name val="Calibri"/>
      <family val="2"/>
      <scheme val="minor"/>
    </font>
    <font>
      <b/>
      <sz val="11"/>
      <color theme="1"/>
      <name val="Symbol"/>
      <family val="1"/>
      <charset val="2"/>
    </font>
    <font>
      <b/>
      <vertAlign val="subscript"/>
      <sz val="11"/>
      <color theme="1"/>
      <name val="Calibri"/>
      <family val="2"/>
      <scheme val="minor"/>
    </font>
    <font>
      <b/>
      <vertAlign val="subscript"/>
      <sz val="11"/>
      <color theme="1"/>
      <name val="Symbol"/>
      <family val="1"/>
      <charset val="2"/>
    </font>
    <font>
      <b/>
      <sz val="14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21">
    <xf numFmtId="0" fontId="0" fillId="0" borderId="0" xfId="0"/>
    <xf numFmtId="0" fontId="4" fillId="0" borderId="0" xfId="0" applyFont="1"/>
    <xf numFmtId="0" fontId="0" fillId="0" borderId="0" xfId="0" applyFont="1"/>
    <xf numFmtId="164" fontId="0" fillId="0" borderId="0" xfId="0" applyNumberFormat="1"/>
    <xf numFmtId="165" fontId="0" fillId="0" borderId="0" xfId="0" applyNumberFormat="1"/>
    <xf numFmtId="0" fontId="0" fillId="0" borderId="0" xfId="0" quotePrefix="1"/>
    <xf numFmtId="164" fontId="4" fillId="0" borderId="0" xfId="0" applyNumberFormat="1" applyFont="1"/>
    <xf numFmtId="166" fontId="0" fillId="0" borderId="0" xfId="1" applyNumberFormat="1" applyFont="1"/>
    <xf numFmtId="43" fontId="0" fillId="0" borderId="0" xfId="1" applyNumberFormat="1" applyFont="1"/>
    <xf numFmtId="0" fontId="5" fillId="0" borderId="0" xfId="0" applyFont="1"/>
    <xf numFmtId="167" fontId="0" fillId="0" borderId="0" xfId="1" applyNumberFormat="1" applyFont="1" applyAlignment="1">
      <alignment horizontal="right"/>
    </xf>
    <xf numFmtId="2" fontId="0" fillId="0" borderId="2" xfId="0" applyNumberFormat="1" applyBorder="1"/>
    <xf numFmtId="2" fontId="0" fillId="0" borderId="0" xfId="0" applyNumberFormat="1" applyBorder="1"/>
    <xf numFmtId="2" fontId="0" fillId="0" borderId="1" xfId="0" applyNumberFormat="1" applyBorder="1"/>
    <xf numFmtId="0" fontId="0" fillId="0" borderId="0" xfId="0" applyAlignment="1">
      <alignment horizontal="right"/>
    </xf>
    <xf numFmtId="0" fontId="2" fillId="0" borderId="0" xfId="0" applyFont="1"/>
    <xf numFmtId="0" fontId="5" fillId="0" borderId="0" xfId="0" quotePrefix="1" applyFont="1"/>
    <xf numFmtId="0" fontId="0" fillId="0" borderId="0" xfId="0" quotePrefix="1" applyAlignment="1">
      <alignment horizontal="center"/>
    </xf>
    <xf numFmtId="166" fontId="0" fillId="0" borderId="0" xfId="1" applyNumberFormat="1" applyFont="1" applyAlignment="1">
      <alignment horizontal="right"/>
    </xf>
    <xf numFmtId="168" fontId="0" fillId="0" borderId="0" xfId="0" applyNumberFormat="1"/>
    <xf numFmtId="169" fontId="0" fillId="0" borderId="0" xfId="0" applyNumberFormat="1"/>
    <xf numFmtId="170" fontId="0" fillId="0" borderId="0" xfId="0" applyNumberFormat="1"/>
    <xf numFmtId="169" fontId="0" fillId="0" borderId="0" xfId="0" applyNumberFormat="1" applyFont="1"/>
    <xf numFmtId="169" fontId="2" fillId="0" borderId="0" xfId="0" applyNumberFormat="1" applyFont="1"/>
    <xf numFmtId="166" fontId="0" fillId="0" borderId="0" xfId="0" applyNumberFormat="1"/>
    <xf numFmtId="0" fontId="10" fillId="0" borderId="0" xfId="0" applyFont="1"/>
    <xf numFmtId="0" fontId="11" fillId="0" borderId="0" xfId="0" applyFont="1"/>
    <xf numFmtId="0" fontId="4" fillId="0" borderId="3" xfId="0" applyFont="1" applyBorder="1"/>
    <xf numFmtId="169" fontId="0" fillId="0" borderId="4" xfId="0" applyNumberFormat="1" applyBorder="1"/>
    <xf numFmtId="0" fontId="4" fillId="0" borderId="5" xfId="0" applyFont="1" applyBorder="1"/>
    <xf numFmtId="169" fontId="0" fillId="0" borderId="6" xfId="0" applyNumberFormat="1" applyBorder="1"/>
    <xf numFmtId="0" fontId="4" fillId="0" borderId="7" xfId="0" applyFont="1" applyBorder="1"/>
    <xf numFmtId="169" fontId="0" fillId="0" borderId="8" xfId="0" applyNumberFormat="1" applyBorder="1"/>
    <xf numFmtId="169" fontId="0" fillId="0" borderId="9" xfId="0" applyNumberFormat="1" applyBorder="1"/>
    <xf numFmtId="169" fontId="0" fillId="0" borderId="10" xfId="0" applyNumberFormat="1" applyBorder="1"/>
    <xf numFmtId="0" fontId="12" fillId="0" borderId="0" xfId="0" applyFont="1"/>
    <xf numFmtId="0" fontId="0" fillId="0" borderId="3" xfId="0" applyBorder="1"/>
    <xf numFmtId="0" fontId="0" fillId="0" borderId="11" xfId="0" applyBorder="1"/>
    <xf numFmtId="0" fontId="0" fillId="0" borderId="4" xfId="0" applyBorder="1"/>
    <xf numFmtId="169" fontId="0" fillId="0" borderId="0" xfId="0" applyNumberFormat="1" applyBorder="1"/>
    <xf numFmtId="0" fontId="0" fillId="0" borderId="0" xfId="0" applyBorder="1"/>
    <xf numFmtId="170" fontId="0" fillId="0" borderId="0" xfId="0" applyNumberFormat="1" applyBorder="1"/>
    <xf numFmtId="0" fontId="0" fillId="0" borderId="6" xfId="0" applyBorder="1"/>
    <xf numFmtId="0" fontId="0" fillId="0" borderId="5" xfId="0" applyBorder="1"/>
    <xf numFmtId="170" fontId="2" fillId="0" borderId="5" xfId="0" applyNumberFormat="1" applyFont="1" applyBorder="1"/>
    <xf numFmtId="169" fontId="2" fillId="0" borderId="0" xfId="0" applyNumberFormat="1" applyFont="1" applyBorder="1"/>
    <xf numFmtId="0" fontId="2" fillId="0" borderId="0" xfId="0" applyFont="1" applyBorder="1"/>
    <xf numFmtId="170" fontId="2" fillId="0" borderId="0" xfId="0" applyNumberFormat="1" applyFont="1" applyBorder="1"/>
    <xf numFmtId="0" fontId="2" fillId="0" borderId="6" xfId="0" applyFont="1" applyBorder="1"/>
    <xf numFmtId="164" fontId="0" fillId="0" borderId="5" xfId="0" applyNumberFormat="1" applyBorder="1"/>
    <xf numFmtId="165" fontId="0" fillId="0" borderId="0" xfId="0" applyNumberFormat="1" applyBorder="1"/>
    <xf numFmtId="170" fontId="2" fillId="0" borderId="7" xfId="0" applyNumberFormat="1" applyFont="1" applyBorder="1"/>
    <xf numFmtId="169" fontId="2" fillId="0" borderId="12" xfId="0" applyNumberFormat="1" applyFont="1" applyBorder="1"/>
    <xf numFmtId="0" fontId="2" fillId="0" borderId="12" xfId="0" applyFont="1" applyBorder="1"/>
    <xf numFmtId="0" fontId="0" fillId="0" borderId="12" xfId="0" applyBorder="1"/>
    <xf numFmtId="170" fontId="2" fillId="0" borderId="12" xfId="0" applyNumberFormat="1" applyFont="1" applyBorder="1"/>
    <xf numFmtId="0" fontId="2" fillId="0" borderId="8" xfId="0" applyFont="1" applyBorder="1"/>
    <xf numFmtId="165" fontId="0" fillId="0" borderId="9" xfId="0" applyNumberFormat="1" applyBorder="1"/>
    <xf numFmtId="165" fontId="0" fillId="0" borderId="13" xfId="0" applyNumberFormat="1" applyBorder="1"/>
    <xf numFmtId="165" fontId="0" fillId="0" borderId="10" xfId="0" applyNumberFormat="1" applyBorder="1"/>
    <xf numFmtId="172" fontId="0" fillId="0" borderId="0" xfId="0" applyNumberFormat="1"/>
    <xf numFmtId="173" fontId="0" fillId="0" borderId="0" xfId="1" applyNumberFormat="1" applyFont="1" applyAlignment="1">
      <alignment horizontal="left"/>
    </xf>
    <xf numFmtId="174" fontId="0" fillId="0" borderId="0" xfId="0" applyNumberFormat="1"/>
    <xf numFmtId="174" fontId="0" fillId="0" borderId="0" xfId="0" applyNumberFormat="1" applyBorder="1"/>
    <xf numFmtId="171" fontId="0" fillId="0" borderId="2" xfId="1" applyNumberFormat="1" applyFont="1" applyBorder="1"/>
    <xf numFmtId="171" fontId="0" fillId="0" borderId="0" xfId="1" applyNumberFormat="1" applyFont="1" applyBorder="1"/>
    <xf numFmtId="171" fontId="0" fillId="0" borderId="1" xfId="1" applyNumberFormat="1" applyFont="1" applyBorder="1"/>
    <xf numFmtId="173" fontId="0" fillId="0" borderId="3" xfId="0" applyNumberFormat="1" applyBorder="1"/>
    <xf numFmtId="173" fontId="0" fillId="0" borderId="11" xfId="0" applyNumberFormat="1" applyBorder="1"/>
    <xf numFmtId="173" fontId="0" fillId="0" borderId="4" xfId="0" applyNumberFormat="1" applyBorder="1"/>
    <xf numFmtId="173" fontId="0" fillId="0" borderId="5" xfId="0" applyNumberFormat="1" applyBorder="1"/>
    <xf numFmtId="173" fontId="0" fillId="0" borderId="0" xfId="0" applyNumberFormat="1" applyBorder="1"/>
    <xf numFmtId="173" fontId="0" fillId="0" borderId="6" xfId="0" applyNumberFormat="1" applyBorder="1"/>
    <xf numFmtId="173" fontId="0" fillId="0" borderId="7" xfId="0" applyNumberFormat="1" applyBorder="1"/>
    <xf numFmtId="173" fontId="0" fillId="0" borderId="12" xfId="0" applyNumberFormat="1" applyBorder="1"/>
    <xf numFmtId="173" fontId="0" fillId="0" borderId="8" xfId="0" applyNumberFormat="1" applyBorder="1"/>
    <xf numFmtId="173" fontId="0" fillId="0" borderId="0" xfId="0" applyNumberFormat="1" applyFill="1"/>
    <xf numFmtId="173" fontId="0" fillId="0" borderId="0" xfId="0" quotePrefix="1" applyNumberFormat="1"/>
    <xf numFmtId="173" fontId="0" fillId="0" borderId="0" xfId="0" applyNumberFormat="1"/>
    <xf numFmtId="166" fontId="0" fillId="0" borderId="4" xfId="0" applyNumberFormat="1" applyBorder="1"/>
    <xf numFmtId="166" fontId="0" fillId="0" borderId="6" xfId="0" applyNumberFormat="1" applyBorder="1"/>
    <xf numFmtId="166" fontId="0" fillId="0" borderId="8" xfId="0" applyNumberFormat="1" applyBorder="1"/>
    <xf numFmtId="169" fontId="0" fillId="0" borderId="3" xfId="0" applyNumberFormat="1" applyBorder="1"/>
    <xf numFmtId="169" fontId="0" fillId="0" borderId="5" xfId="0" applyNumberFormat="1" applyBorder="1"/>
    <xf numFmtId="169" fontId="0" fillId="0" borderId="7" xfId="0" applyNumberFormat="1" applyBorder="1"/>
    <xf numFmtId="170" fontId="0" fillId="0" borderId="5" xfId="0" applyNumberFormat="1" applyFont="1" applyBorder="1"/>
    <xf numFmtId="169" fontId="0" fillId="0" borderId="0" xfId="0" applyNumberFormat="1" applyFont="1" applyBorder="1"/>
    <xf numFmtId="174" fontId="0" fillId="0" borderId="0" xfId="0" applyNumberFormat="1" applyFont="1"/>
    <xf numFmtId="174" fontId="0" fillId="0" borderId="2" xfId="0" applyNumberFormat="1" applyBorder="1"/>
    <xf numFmtId="174" fontId="0" fillId="0" borderId="1" xfId="0" applyNumberFormat="1" applyBorder="1"/>
    <xf numFmtId="173" fontId="0" fillId="0" borderId="2" xfId="0" applyNumberFormat="1" applyBorder="1"/>
    <xf numFmtId="173" fontId="0" fillId="0" borderId="1" xfId="0" applyNumberFormat="1" applyBorder="1"/>
    <xf numFmtId="175" fontId="0" fillId="0" borderId="2" xfId="1" applyNumberFormat="1" applyFont="1" applyBorder="1"/>
    <xf numFmtId="175" fontId="0" fillId="0" borderId="0" xfId="1" applyNumberFormat="1" applyFont="1" applyBorder="1"/>
    <xf numFmtId="175" fontId="0" fillId="0" borderId="1" xfId="1" applyNumberFormat="1" applyFont="1" applyBorder="1"/>
    <xf numFmtId="176" fontId="0" fillId="0" borderId="0" xfId="0" applyNumberFormat="1"/>
    <xf numFmtId="170" fontId="13" fillId="0" borderId="0" xfId="0" applyNumberFormat="1" applyFont="1"/>
    <xf numFmtId="171" fontId="0" fillId="0" borderId="0" xfId="1" applyNumberFormat="1" applyFont="1"/>
    <xf numFmtId="175" fontId="0" fillId="0" borderId="0" xfId="1" applyNumberFormat="1" applyFont="1"/>
    <xf numFmtId="176" fontId="0" fillId="0" borderId="5" xfId="0" applyNumberFormat="1" applyFont="1" applyBorder="1"/>
    <xf numFmtId="177" fontId="0" fillId="0" borderId="2" xfId="1" applyNumberFormat="1" applyFont="1" applyBorder="1"/>
    <xf numFmtId="177" fontId="0" fillId="0" borderId="0" xfId="1" applyNumberFormat="1" applyFont="1" applyBorder="1"/>
    <xf numFmtId="165" fontId="4" fillId="0" borderId="0" xfId="0" applyNumberFormat="1" applyFont="1"/>
    <xf numFmtId="169" fontId="4" fillId="0" borderId="0" xfId="0" applyNumberFormat="1" applyFont="1"/>
    <xf numFmtId="172" fontId="0" fillId="0" borderId="3" xfId="0" applyNumberFormat="1" applyBorder="1"/>
    <xf numFmtId="172" fontId="0" fillId="0" borderId="11" xfId="0" applyNumberFormat="1" applyBorder="1"/>
    <xf numFmtId="172" fontId="0" fillId="0" borderId="4" xfId="0" applyNumberFormat="1" applyBorder="1"/>
    <xf numFmtId="172" fontId="0" fillId="0" borderId="5" xfId="0" applyNumberFormat="1" applyBorder="1"/>
    <xf numFmtId="172" fontId="0" fillId="0" borderId="0" xfId="0" applyNumberFormat="1" applyBorder="1"/>
    <xf numFmtId="172" fontId="0" fillId="0" borderId="6" xfId="0" applyNumberFormat="1" applyBorder="1"/>
    <xf numFmtId="172" fontId="0" fillId="0" borderId="7" xfId="0" applyNumberFormat="1" applyBorder="1"/>
    <xf numFmtId="172" fontId="0" fillId="0" borderId="12" xfId="0" applyNumberFormat="1" applyBorder="1"/>
    <xf numFmtId="172" fontId="0" fillId="0" borderId="8" xfId="0" applyNumberFormat="1" applyBorder="1"/>
    <xf numFmtId="184" fontId="0" fillId="0" borderId="0" xfId="1" applyNumberFormat="1" applyFont="1"/>
    <xf numFmtId="188" fontId="0" fillId="0" borderId="0" xfId="0" applyNumberFormat="1"/>
    <xf numFmtId="43" fontId="0" fillId="0" borderId="3" xfId="0" applyNumberFormat="1" applyBorder="1"/>
    <xf numFmtId="43" fontId="0" fillId="0" borderId="5" xfId="0" applyNumberFormat="1" applyBorder="1"/>
    <xf numFmtId="43" fontId="0" fillId="0" borderId="7" xfId="0" applyNumberFormat="1" applyBorder="1"/>
    <xf numFmtId="189" fontId="0" fillId="0" borderId="5" xfId="0" applyNumberFormat="1" applyBorder="1"/>
    <xf numFmtId="189" fontId="2" fillId="0" borderId="5" xfId="0" applyNumberFormat="1" applyFont="1" applyBorder="1"/>
    <xf numFmtId="197" fontId="0" fillId="0" borderId="0" xfId="0" applyNumberFormat="1"/>
  </cellXfs>
  <cellStyles count="2">
    <cellStyle name="Komma" xfId="1" builtinId="3"/>
    <cellStyle name="Standard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28"/>
    </mc:Choice>
    <mc:Fallback>
      <c:style val="2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400"/>
              <a:t>Top </a:t>
            </a:r>
          </a:p>
          <a:p>
            <a:pPr>
              <a:defRPr/>
            </a:pPr>
            <a:r>
              <a:rPr lang="en-US" sz="1400"/>
              <a:t>view</a:t>
            </a:r>
          </a:p>
          <a:p>
            <a:pPr>
              <a:defRPr/>
            </a:pPr>
            <a:r>
              <a:rPr lang="en-US" sz="1400"/>
              <a:t>WCP</a:t>
            </a:r>
          </a:p>
        </c:rich>
      </c:tx>
      <c:layout>
        <c:manualLayout>
          <c:xMode val="edge"/>
          <c:yMode val="edge"/>
          <c:x val="8.3891688282513241E-2"/>
          <c:y val="0.18180572932030009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7421854682667288"/>
          <c:y val="0.11755498172939582"/>
          <c:w val="0.46939006498275249"/>
          <c:h val="0.82940678105290822"/>
        </c:manualLayout>
      </c:layout>
      <c:scatterChart>
        <c:scatterStyle val="lineMarker"/>
        <c:varyColors val="0"/>
        <c:ser>
          <c:idx val="0"/>
          <c:order val="0"/>
          <c:spPr>
            <a:ln w="66675">
              <a:noFill/>
            </a:ln>
          </c:spPr>
          <c:xVal>
            <c:numRef>
              <c:f>Kinematik!$B$83</c:f>
              <c:numCache>
                <c:formatCode>0.0000</c:formatCode>
                <c:ptCount val="1"/>
                <c:pt idx="0">
                  <c:v>219.99639405097861</c:v>
                </c:pt>
              </c:numCache>
            </c:numRef>
          </c:xVal>
          <c:yVal>
            <c:numRef>
              <c:f>Kinematik!$B$84</c:f>
              <c:numCache>
                <c:formatCode>0.0000</c:formatCode>
                <c:ptCount val="1"/>
                <c:pt idx="0">
                  <c:v>-1.9137014581950423E-14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0545536"/>
        <c:axId val="265929856"/>
      </c:scatterChart>
      <c:valAx>
        <c:axId val="260545536"/>
        <c:scaling>
          <c:orientation val="minMax"/>
          <c:max val="300"/>
          <c:min val="-3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layout>
            <c:manualLayout>
              <c:xMode val="edge"/>
              <c:yMode val="edge"/>
              <c:x val="0.57100980874821927"/>
              <c:y val="6.2734046513665178E-3"/>
            </c:manualLayout>
          </c:layout>
          <c:overlay val="0"/>
        </c:title>
        <c:numFmt formatCode="0.0000" sourceLinked="1"/>
        <c:majorTickMark val="out"/>
        <c:minorTickMark val="none"/>
        <c:tickLblPos val="nextTo"/>
        <c:crossAx val="265929856"/>
        <c:crosses val="autoZero"/>
        <c:crossBetween val="midCat"/>
        <c:majorUnit val="300"/>
      </c:valAx>
      <c:valAx>
        <c:axId val="265929856"/>
        <c:scaling>
          <c:orientation val="minMax"/>
          <c:max val="300"/>
          <c:min val="-300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x</a:t>
                </a:r>
              </a:p>
            </c:rich>
          </c:tx>
          <c:layout>
            <c:manualLayout>
              <c:xMode val="edge"/>
              <c:yMode val="edge"/>
              <c:x val="0.87705191259958815"/>
              <c:y val="0.46568686492641909"/>
            </c:manualLayout>
          </c:layout>
          <c:overlay val="0"/>
        </c:title>
        <c:numFmt formatCode="0.0000" sourceLinked="1"/>
        <c:majorTickMark val="out"/>
        <c:minorTickMark val="none"/>
        <c:tickLblPos val="nextTo"/>
        <c:crossAx val="260545536"/>
        <c:crosses val="autoZero"/>
        <c:crossBetween val="midCat"/>
        <c:majorUnit val="300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32739063867016621"/>
          <c:y val="2.8252405949256341E-2"/>
          <c:w val="0.63839413823272095"/>
          <c:h val="0.89719889180519097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Kinematik!$K$96:$L$96</c:f>
              <c:numCache>
                <c:formatCode>General</c:formatCode>
                <c:ptCount val="2"/>
                <c:pt idx="0">
                  <c:v>0</c:v>
                </c:pt>
                <c:pt idx="1">
                  <c:v>219.99639405097861</c:v>
                </c:pt>
              </c:numCache>
            </c:numRef>
          </c:xVal>
          <c:yVal>
            <c:numRef>
              <c:f>Kinematik!$K$97:$L$97</c:f>
              <c:numCache>
                <c:formatCode>0.0</c:formatCode>
                <c:ptCount val="2"/>
                <c:pt idx="0" formatCode="General">
                  <c:v>0</c:v>
                </c:pt>
                <c:pt idx="1">
                  <c:v>299.86685433230264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6228864"/>
        <c:axId val="266230400"/>
      </c:scatterChart>
      <c:valAx>
        <c:axId val="266228864"/>
        <c:scaling>
          <c:orientation val="minMax"/>
          <c:max val="500"/>
          <c:min val="-500"/>
        </c:scaling>
        <c:delete val="0"/>
        <c:axPos val="b"/>
        <c:numFmt formatCode="General" sourceLinked="1"/>
        <c:majorTickMark val="out"/>
        <c:minorTickMark val="none"/>
        <c:tickLblPos val="nextTo"/>
        <c:crossAx val="266230400"/>
        <c:crosses val="autoZero"/>
        <c:crossBetween val="midCat"/>
        <c:majorUnit val="500"/>
      </c:valAx>
      <c:valAx>
        <c:axId val="266230400"/>
        <c:scaling>
          <c:orientation val="minMax"/>
          <c:max val="500"/>
          <c:min val="-5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66228864"/>
        <c:crosses val="autoZero"/>
        <c:crossBetween val="midCat"/>
        <c:majorUnit val="500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1.xml"/><Relationship Id="rId1" Type="http://schemas.openxmlformats.org/officeDocument/2006/relationships/image" Target="../media/image1.png"/><Relationship Id="rId5" Type="http://schemas.openxmlformats.org/officeDocument/2006/relationships/image" Target="../media/image3.png"/><Relationship Id="rId4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1.png"/><Relationship Id="rId1" Type="http://schemas.openxmlformats.org/officeDocument/2006/relationships/image" Target="../media/image4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891600</xdr:colOff>
      <xdr:row>1</xdr:row>
      <xdr:rowOff>88100</xdr:rowOff>
    </xdr:from>
    <xdr:to>
      <xdr:col>14</xdr:col>
      <xdr:colOff>494843</xdr:colOff>
      <xdr:row>11</xdr:row>
      <xdr:rowOff>111385</xdr:rowOff>
    </xdr:to>
    <xdr:pic>
      <xdr:nvPicPr>
        <xdr:cNvPr id="5" name="Grafik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11350" y="316700"/>
          <a:ext cx="5147690" cy="18711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8</xdr:col>
      <xdr:colOff>648018</xdr:colOff>
      <xdr:row>46</xdr:row>
      <xdr:rowOff>174811</xdr:rowOff>
    </xdr:from>
    <xdr:ext cx="2689413" cy="7362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Textfeld 9"/>
            <xdr:cNvSpPr txBox="1"/>
          </xdr:nvSpPr>
          <xdr:spPr>
            <a:xfrm>
              <a:off x="6265047" y="8926925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latin typeface="Cambria Math"/>
                          </a:rPr>
                        </m:ctrlPr>
                      </m:sSubSupPr>
                      <m:e>
                        <m:r>
                          <a:rPr lang="de-DE" sz="1100" b="0" i="1">
                            <a:latin typeface="Cambria Math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</a:rPr>
                          <m:t>5</m:t>
                        </m:r>
                      </m:sub>
                      <m:sup>
                        <m:r>
                          <a:rPr lang="de-DE" sz="1100" b="0" i="1">
                            <a:latin typeface="Cambria Math"/>
                          </a:rPr>
                          <m:t>6</m:t>
                        </m:r>
                      </m:sup>
                    </m:sSubSup>
                    <m:r>
                      <a:rPr lang="de-DE" sz="1100" b="0" i="1">
                        <a:latin typeface="Cambria Math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i="1">
                                      <a:latin typeface="Cambria Math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5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0" name="Textfeld 9"/>
            <xdr:cNvSpPr txBox="1"/>
          </xdr:nvSpPr>
          <xdr:spPr>
            <a:xfrm>
              <a:off x="6265047" y="8926925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latin typeface="Cambria Math"/>
                </a:rPr>
                <a:t>𝑇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5</a:t>
              </a:r>
              <a:r>
                <a:rPr lang="de-DE" sz="1100" b="0" i="0">
                  <a:latin typeface="Cambria Math" panose="02040503050406030204" pitchFamily="18" charset="0"/>
                </a:rPr>
                <a:t>^</a:t>
              </a:r>
              <a:r>
                <a:rPr lang="de-DE" sz="1100" b="0" i="0">
                  <a:latin typeface="Cambria Math"/>
                </a:rPr>
                <a:t>6=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5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5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4</xdr:col>
      <xdr:colOff>1</xdr:colOff>
      <xdr:row>68</xdr:row>
      <xdr:rowOff>0</xdr:rowOff>
    </xdr:from>
    <xdr:ext cx="735106" cy="7362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Textfeld 10"/>
            <xdr:cNvSpPr txBox="1"/>
          </xdr:nvSpPr>
          <xdr:spPr>
            <a:xfrm>
              <a:off x="4966448" y="10183906"/>
              <a:ext cx="735106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i="1">
                          <a:latin typeface="Cambria Math"/>
                        </a:rPr>
                      </m:ctrlPr>
                    </m:dPr>
                    <m:e>
                      <m:m>
                        <m:mPr>
                          <m:mcs>
                            <m:mc>
                              <m:mcPr>
                                <m:count m:val="1"/>
                                <m:mcJc m:val="center"/>
                              </m:mcPr>
                            </m:mc>
                          </m:mcs>
                          <m:ctrlPr>
                            <a:rPr lang="de-DE" sz="1100" b="0" i="1">
                              <a:latin typeface="Cambria Math"/>
                            </a:rPr>
                          </m:ctrlPr>
                        </m:mPr>
                        <m:mr>
                          <m:e>
                            <m:r>
                              <a:rPr lang="de-DE" sz="1100" b="0" i="1">
                                <a:latin typeface="Cambria Math"/>
                              </a:rPr>
                              <m:t>0</m:t>
                            </m:r>
                          </m:e>
                        </m:mr>
                        <m:mr>
                          <m:e>
                            <m:r>
                              <a:rPr lang="de-DE" sz="1100" b="0" i="1">
                                <a:latin typeface="Cambria Math"/>
                              </a:rPr>
                              <m:t>0</m:t>
                            </m:r>
                          </m:e>
                        </m:mr>
                        <m:mr>
                          <m:e>
                            <m:sSub>
                              <m:sSubPr>
                                <m:ctrlPr>
                                  <a:rPr lang="de-DE" sz="1100" i="1">
                                    <a:latin typeface="Cambria Math"/>
                                  </a:rPr>
                                </m:ctrlPr>
                              </m:sSubPr>
                              <m:e>
                                <m:r>
                                  <a:rPr lang="de-DE" sz="1100" b="0" i="1">
                                    <a:latin typeface="Cambria Math"/>
                                  </a:rPr>
                                  <m:t>𝑑</m:t>
                                </m:r>
                              </m:e>
                              <m:sub>
                                <m:r>
                                  <a:rPr lang="de-DE" sz="1100" b="0" i="1">
                                    <a:latin typeface="Cambria Math"/>
                                  </a:rPr>
                                  <m:t>5</m:t>
                                </m:r>
                              </m:sub>
                            </m:sSub>
                          </m:e>
                        </m:mr>
                        <m:mr>
                          <m:e>
                            <m:r>
                              <a:rPr lang="de-DE" sz="1100" b="0" i="1">
                                <a:latin typeface="Cambria Math"/>
                              </a:rPr>
                              <m:t>1</m:t>
                            </m:r>
                          </m:e>
                        </m:mr>
                      </m:m>
                    </m:e>
                  </m:d>
                </m:oMath>
              </a14:m>
              <a:r>
                <a:rPr lang="de-DE" sz="1100"/>
                <a:t> =</a:t>
              </a:r>
            </a:p>
          </xdr:txBody>
        </xdr:sp>
      </mc:Choice>
      <mc:Fallback xmlns="">
        <xdr:sp macro="" textlink="">
          <xdr:nvSpPr>
            <xdr:cNvPr id="11" name="Textfeld 10"/>
            <xdr:cNvSpPr txBox="1"/>
          </xdr:nvSpPr>
          <xdr:spPr>
            <a:xfrm>
              <a:off x="4966448" y="10183906"/>
              <a:ext cx="735106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i="0">
                  <a:latin typeface="Cambria Math"/>
                </a:rPr>
                <a:t>(</a:t>
              </a:r>
              <a:r>
                <a:rPr lang="de-DE" sz="1100" b="0" i="0">
                  <a:latin typeface="Cambria Math"/>
                </a:rPr>
                <a:t>■8(0@0@𝑑_5@1))</a:t>
              </a:r>
              <a:r>
                <a:rPr lang="de-DE" sz="1100"/>
                <a:t> =</a:t>
              </a:r>
            </a:p>
          </xdr:txBody>
        </xdr:sp>
      </mc:Fallback>
    </mc:AlternateContent>
    <xdr:clientData/>
  </xdr:oneCellAnchor>
  <xdr:oneCellAnchor>
    <xdr:from>
      <xdr:col>8</xdr:col>
      <xdr:colOff>726141</xdr:colOff>
      <xdr:row>22</xdr:row>
      <xdr:rowOff>17929</xdr:rowOff>
    </xdr:from>
    <xdr:ext cx="2689413" cy="73834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Textfeld 11"/>
            <xdr:cNvSpPr txBox="1"/>
          </xdr:nvSpPr>
          <xdr:spPr>
            <a:xfrm>
              <a:off x="5692588" y="3012141"/>
              <a:ext cx="2689413" cy="73834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1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  <a:ea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latin typeface="Cambria Math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5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2" name="Textfeld 11"/>
            <xdr:cNvSpPr txBox="1"/>
          </xdr:nvSpPr>
          <xdr:spPr>
            <a:xfrm>
              <a:off x="5692588" y="3012141"/>
              <a:ext cx="2689413" cy="73834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_0^1=(■8(</a:t>
              </a:r>
              <a:r>
                <a:rPr lang="de-DE" sz="1100" i="0">
                  <a:latin typeface="Cambria Math"/>
                </a:rPr>
                <a:t>cos⁡〖</a:t>
              </a:r>
              <a:r>
                <a:rPr lang="de-DE" sz="1100" i="0">
                  <a:latin typeface="Cambria Math"/>
                  <a:ea typeface="Cambria Math"/>
                </a:rPr>
                <a:t>𝜃_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/>
                  <a:ea typeface="Cambria Math"/>
                </a:rPr>
                <a:t> 〗&amp;0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0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</a:t>
              </a:r>
              <a:r>
                <a:rPr lang="de-DE" sz="1100" b="0" i="0">
                  <a:latin typeface="Cambria Math"/>
                </a:rPr>
                <a:t>0@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 〗&amp;0&amp;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0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</a:t>
              </a:r>
              <a:r>
                <a:rPr lang="de-DE" sz="1100" b="0" i="0">
                  <a:latin typeface="Cambria Math"/>
                </a:rPr>
                <a:t>0@0&amp;−1&amp;0&amp;𝑑_5@0&amp;0&amp;0&amp;1))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645457</xdr:colOff>
      <xdr:row>27</xdr:row>
      <xdr:rowOff>7043</xdr:rowOff>
    </xdr:from>
    <xdr:ext cx="2689413" cy="72462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Textfeld 12"/>
            <xdr:cNvSpPr txBox="1"/>
          </xdr:nvSpPr>
          <xdr:spPr>
            <a:xfrm>
              <a:off x="6262486" y="5199529"/>
              <a:ext cx="2689413" cy="72462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1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2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latin typeface="Cambria Math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𝑎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1</m:t>
                                  </m:r>
                                </m:sub>
                              </m:sSub>
                              <m:r>
                                <a:rPr lang="de-DE" sz="1100" b="0" i="1">
                                  <a:latin typeface="Cambria Math"/>
                                </a:rPr>
                                <m:t> 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latin typeface="Cambria Math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b="0" i="0">
                                      <a:latin typeface="Cambria Math"/>
                                    </a:rPr>
                                    <m:t>cos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𝑎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 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3" name="Textfeld 12"/>
            <xdr:cNvSpPr txBox="1"/>
          </xdr:nvSpPr>
          <xdr:spPr>
            <a:xfrm>
              <a:off x="6262486" y="5199529"/>
              <a:ext cx="2689413" cy="72462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𝑎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1  cos</a:t>
              </a:r>
              <a:r>
                <a:rPr lang="de-DE" sz="1100" b="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𝑎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i="0">
                  <a:latin typeface="Cambria Math"/>
                </a:rPr>
                <a:t>0</a:t>
              </a:r>
              <a:r>
                <a:rPr lang="de-DE" sz="110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649941</xdr:colOff>
      <xdr:row>31</xdr:row>
      <xdr:rowOff>134470</xdr:rowOff>
    </xdr:from>
    <xdr:ext cx="2689413" cy="7362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Textfeld 14"/>
            <xdr:cNvSpPr txBox="1"/>
          </xdr:nvSpPr>
          <xdr:spPr>
            <a:xfrm>
              <a:off x="6266970" y="6078070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2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5" name="Textfeld 14"/>
            <xdr:cNvSpPr txBox="1"/>
          </xdr:nvSpPr>
          <xdr:spPr>
            <a:xfrm>
              <a:off x="6266970" y="6078070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2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−1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643537</xdr:colOff>
      <xdr:row>37</xdr:row>
      <xdr:rowOff>5122</xdr:rowOff>
    </xdr:from>
    <xdr:ext cx="2689413" cy="7379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Textfeld 15"/>
            <xdr:cNvSpPr txBox="1"/>
          </xdr:nvSpPr>
          <xdr:spPr>
            <a:xfrm>
              <a:off x="6260566" y="7069951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4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  <a:ea typeface="Cambria Math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latin typeface="Cambria Math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3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6" name="Textfeld 15"/>
            <xdr:cNvSpPr txBox="1"/>
          </xdr:nvSpPr>
          <xdr:spPr>
            <a:xfrm>
              <a:off x="6260566" y="7069951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3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  <a:ea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3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644818</xdr:colOff>
      <xdr:row>41</xdr:row>
      <xdr:rowOff>163285</xdr:rowOff>
    </xdr:from>
    <xdr:ext cx="2689413" cy="7379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Textfeld 16"/>
            <xdr:cNvSpPr txBox="1"/>
          </xdr:nvSpPr>
          <xdr:spPr>
            <a:xfrm>
              <a:off x="6261847" y="7979228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4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5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  <a:ea typeface="Cambria Math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  <a:ea typeface="Cambria Math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7" name="Textfeld 16"/>
            <xdr:cNvSpPr txBox="1"/>
          </xdr:nvSpPr>
          <xdr:spPr>
            <a:xfrm>
              <a:off x="6261847" y="7979228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4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〗&amp;</a:t>
              </a:r>
              <a:r>
                <a:rPr lang="de-DE" sz="1100" b="0" i="0">
                  <a:latin typeface="Cambria Math"/>
                  <a:ea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−1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4</xdr:col>
      <xdr:colOff>233083</xdr:colOff>
      <xdr:row>81</xdr:row>
      <xdr:rowOff>147917</xdr:rowOff>
    </xdr:from>
    <xdr:ext cx="2259105" cy="27738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Textfeld 18"/>
            <xdr:cNvSpPr txBox="1"/>
          </xdr:nvSpPr>
          <xdr:spPr>
            <a:xfrm>
              <a:off x="2761130" y="13738411"/>
              <a:ext cx="2259105" cy="2773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𝜃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0</m:t>
                      </m:r>
                    </m:sub>
                  </m:sSub>
                  <m:r>
                    <a:rPr lang="de-DE" sz="1100" b="0" i="1">
                      <a:latin typeface="Cambria Math"/>
                      <a:ea typeface="Cambria Math"/>
                    </a:rPr>
                    <m:t>=</m:t>
                  </m:r>
                  <m:r>
                    <a:rPr lang="de-DE" sz="1100" b="0" i="1">
                      <a:latin typeface="Cambria Math"/>
                      <a:ea typeface="Cambria Math"/>
                    </a:rPr>
                    <m:t>𝑎𝑡𝑎𝑛</m:t>
                  </m:r>
                  <m:r>
                    <a:rPr lang="de-DE" sz="1100" b="0" i="1">
                      <a:latin typeface="Cambria Math"/>
                      <a:ea typeface="Cambria Math"/>
                    </a:rPr>
                    <m:t>2(</m:t>
                  </m:r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𝑊𝐶𝑃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𝑥</m:t>
                      </m:r>
                    </m:sub>
                  </m:sSub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;</m:t>
                  </m:r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𝑊𝐶𝑃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𝑦</m:t>
                      </m:r>
                    </m:sub>
                  </m:sSub>
                  <m:r>
                    <a:rPr lang="de-DE" sz="1100" b="0" i="1">
                      <a:latin typeface="Cambria Math"/>
                      <a:ea typeface="Cambria Math"/>
                    </a:rPr>
                    <m:t>)</m:t>
                  </m:r>
                </m:oMath>
              </a14:m>
              <a:r>
                <a:rPr lang="de-DE" sz="1100"/>
                <a:t> = </a:t>
              </a:r>
            </a:p>
          </xdr:txBody>
        </xdr:sp>
      </mc:Choice>
      <mc:Fallback xmlns="">
        <xdr:sp macro="" textlink="">
          <xdr:nvSpPr>
            <xdr:cNvPr id="19" name="Textfeld 18"/>
            <xdr:cNvSpPr txBox="1"/>
          </xdr:nvSpPr>
          <xdr:spPr>
            <a:xfrm>
              <a:off x="2761130" y="13738411"/>
              <a:ext cx="2259105" cy="2773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</a:t>
              </a:r>
              <a:r>
                <a:rPr lang="de-DE" sz="1100" b="0" i="0">
                  <a:latin typeface="Cambria Math"/>
                  <a:ea typeface="Cambria Math"/>
                </a:rPr>
                <a:t>=𝑎𝑡𝑎𝑛2(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〖𝑊𝐶𝑃〗_𝑥;〖𝑊𝐶𝑃〗_𝑦</a:t>
              </a:r>
              <a:r>
                <a:rPr lang="de-DE" sz="1100" b="0" i="0">
                  <a:latin typeface="Cambria Math"/>
                  <a:ea typeface="Cambria Math"/>
                </a:rPr>
                <a:t>)</a:t>
              </a:r>
              <a:r>
                <a:rPr lang="de-DE" sz="1100"/>
                <a:t> = </a:t>
              </a:r>
            </a:p>
          </xdr:txBody>
        </xdr:sp>
      </mc:Fallback>
    </mc:AlternateContent>
    <xdr:clientData/>
  </xdr:oneCellAnchor>
  <xdr:oneCellAnchor>
    <xdr:from>
      <xdr:col>0</xdr:col>
      <xdr:colOff>125504</xdr:colOff>
      <xdr:row>110</xdr:row>
      <xdr:rowOff>40342</xdr:rowOff>
    </xdr:from>
    <xdr:ext cx="2214283" cy="4367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Textfeld 63"/>
            <xdr:cNvSpPr txBox="1"/>
          </xdr:nvSpPr>
          <xdr:spPr>
            <a:xfrm>
              <a:off x="125504" y="17960789"/>
              <a:ext cx="2214283" cy="4367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radPr>
                      <m:deg/>
                      <m:e>
                        <m:d>
                          <m:d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sSub>
                                  <m:sSub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𝑊𝐶𝑃</m:t>
                                    </m:r>
                                  </m:e>
                                  <m:sub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𝑥</m:t>
                                    </m:r>
                                  </m:sub>
                                </m:sSub>
                              </m:e>
                              <m:sup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sSub>
                                  <m:sSub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+ </m:t>
                                    </m:r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𝑊𝐶𝑃</m:t>
                                    </m:r>
                                  </m:e>
                                  <m:sub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𝑦</m:t>
                                    </m:r>
                                  </m:sub>
                                </m:sSub>
                              </m:e>
                              <m:sup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</m:e>
                        </m:d>
                      </m:e>
                    </m:rad>
                    <m:r>
                      <a:rPr lang="de-DE" sz="1100" b="0" i="0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de-DE">
                <a:effectLst/>
              </a:endParaRPr>
            </a:p>
          </xdr:txBody>
        </xdr:sp>
      </mc:Choice>
      <mc:Fallback xmlns="">
        <xdr:sp macro="" textlink="">
          <xdr:nvSpPr>
            <xdr:cNvPr id="64" name="Textfeld 63"/>
            <xdr:cNvSpPr txBox="1"/>
          </xdr:nvSpPr>
          <xdr:spPr>
            <a:xfrm>
              <a:off x="125504" y="17960789"/>
              <a:ext cx="2214283" cy="4367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√((〖〖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𝑊𝐶𝑃〗_𝑥〗^2 〖〖+ 𝑊𝐶𝑃〗_𝑦〗^2 )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  </a:t>
              </a:r>
              <a:endParaRPr lang="de-DE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367552</xdr:colOff>
      <xdr:row>89</xdr:row>
      <xdr:rowOff>138953</xdr:rowOff>
    </xdr:from>
    <xdr:ext cx="1918447" cy="26770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Textfeld 64"/>
            <xdr:cNvSpPr txBox="1"/>
          </xdr:nvSpPr>
          <xdr:spPr>
            <a:xfrm>
              <a:off x="4204446" y="14832106"/>
              <a:ext cx="1918447" cy="2677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de-DE" sz="1100" b="0" i="1">
                            <a:latin typeface="Cambria Math"/>
                          </a:rPr>
                        </m:ctrlPr>
                      </m:sSupPr>
                      <m:e>
                        <m:r>
                          <a:rPr lang="de-DE" sz="1100" b="0" i="1">
                            <a:latin typeface="Cambria Math"/>
                          </a:rPr>
                          <m:t>𝑎</m:t>
                        </m:r>
                      </m:e>
                      <m:sup>
                        <m:r>
                          <a:rPr lang="de-DE" sz="1100" b="0" i="1">
                            <a:latin typeface="Cambria Math"/>
                          </a:rPr>
                          <m:t>2</m:t>
                        </m:r>
                      </m:sup>
                    </m:sSup>
                    <m:r>
                      <a:rPr lang="de-DE" sz="1100" b="0" i="1">
                        <a:latin typeface="Cambria Math"/>
                      </a:rPr>
                      <m:t>=</m:t>
                    </m:r>
                    <m:sSup>
                      <m:sSupPr>
                        <m:ctrlPr>
                          <a:rPr lang="de-DE" sz="1100" b="0" i="1">
                            <a:latin typeface="Cambria Math"/>
                          </a:rPr>
                        </m:ctrlPr>
                      </m:sSupPr>
                      <m:e>
                        <m:r>
                          <a:rPr lang="de-DE" sz="1100" b="0" i="1">
                            <a:latin typeface="Cambria Math"/>
                          </a:rPr>
                          <m:t>𝑏</m:t>
                        </m:r>
                      </m:e>
                      <m:sup>
                        <m:r>
                          <a:rPr lang="de-DE" sz="1100" b="0" i="1">
                            <a:latin typeface="Cambria Math"/>
                          </a:rPr>
                          <m:t>2</m:t>
                        </m:r>
                      </m:sup>
                    </m:sSup>
                    <m:r>
                      <a:rPr lang="de-DE" sz="1100" b="0" i="1">
                        <a:latin typeface="Cambria Math"/>
                      </a:rPr>
                      <m:t>+</m:t>
                    </m:r>
                    <m:sSup>
                      <m:sSupPr>
                        <m:ctrlPr>
                          <a:rPr lang="de-DE" sz="1100" b="0" i="1">
                            <a:latin typeface="Cambria Math"/>
                          </a:rPr>
                        </m:ctrlPr>
                      </m:sSupPr>
                      <m:e>
                        <m:r>
                          <a:rPr lang="de-DE" sz="1100" b="0" i="1">
                            <a:latin typeface="Cambria Math"/>
                          </a:rPr>
                          <m:t>𝑐</m:t>
                        </m:r>
                      </m:e>
                      <m:sup>
                        <m:r>
                          <a:rPr lang="de-DE" sz="1100" b="0" i="1">
                            <a:latin typeface="Cambria Math"/>
                          </a:rPr>
                          <m:t>2</m:t>
                        </m:r>
                      </m:sup>
                    </m:sSup>
                    <m:r>
                      <a:rPr lang="de-DE" sz="1100" b="0" i="1">
                        <a:latin typeface="Cambria Math"/>
                      </a:rPr>
                      <m:t>−2</m:t>
                    </m:r>
                    <m:func>
                      <m:funcPr>
                        <m:ctrlPr>
                          <a:rPr lang="de-DE" sz="1100" b="0" i="1">
                            <a:latin typeface="Cambria Math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b="0" i="0">
                            <a:latin typeface="Cambria Math"/>
                          </a:rPr>
                          <m:t>b</m:t>
                        </m:r>
                        <m:r>
                          <a:rPr lang="de-DE" sz="1100" b="0" i="0">
                            <a:latin typeface="Cambria Math"/>
                          </a:rPr>
                          <m:t> </m:t>
                        </m:r>
                        <m:r>
                          <m:rPr>
                            <m:sty m:val="p"/>
                          </m:rPr>
                          <a:rPr lang="de-DE" sz="1100" b="0" i="0">
                            <a:latin typeface="Cambria Math"/>
                          </a:rPr>
                          <m:t>c</m:t>
                        </m:r>
                        <m:r>
                          <a:rPr lang="de-DE" sz="1100" b="0" i="0">
                            <a:latin typeface="Cambria Math"/>
                          </a:rPr>
                          <m:t> </m:t>
                        </m:r>
                        <m:r>
                          <m:rPr>
                            <m:sty m:val="p"/>
                          </m:rPr>
                          <a:rPr lang="de-DE" sz="1100" b="0" i="0">
                            <a:latin typeface="Cambria Math"/>
                          </a:rPr>
                          <m:t>cos</m:t>
                        </m:r>
                      </m:fName>
                      <m:e>
                        <m:r>
                          <a:rPr lang="de-DE" sz="1100" b="0" i="1">
                            <a:latin typeface="Cambria Math"/>
                          </a:rPr>
                          <m:t>𝑎</m:t>
                        </m:r>
                      </m:e>
                    </m:func>
                    <m:r>
                      <a:rPr lang="de-DE" sz="1100" b="0" i="1">
                        <a:latin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65" name="Textfeld 64"/>
            <xdr:cNvSpPr txBox="1"/>
          </xdr:nvSpPr>
          <xdr:spPr>
            <a:xfrm>
              <a:off x="4204446" y="14832106"/>
              <a:ext cx="1918447" cy="2677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latin typeface="Cambria Math"/>
                </a:rPr>
                <a:t>𝑎^2=𝑏^2+𝑐^2−2 〖b c cos〗⁡𝑎 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6</xdr:col>
      <xdr:colOff>32270</xdr:colOff>
      <xdr:row>108</xdr:row>
      <xdr:rowOff>84716</xdr:rowOff>
    </xdr:from>
    <xdr:ext cx="2097743" cy="4726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8" name="Textfeld 67"/>
            <xdr:cNvSpPr txBox="1"/>
          </xdr:nvSpPr>
          <xdr:spPr>
            <a:xfrm>
              <a:off x="3872750" y="19843376"/>
              <a:ext cx="2097743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latin typeface="Cambria Math"/>
                      </a:rPr>
                      <m:t>𝑎</m:t>
                    </m:r>
                    <m:r>
                      <a:rPr lang="de-DE" sz="1100" b="0" i="1">
                        <a:latin typeface="Cambria Math"/>
                      </a:rPr>
                      <m:t>= </m:t>
                    </m:r>
                    <m:func>
                      <m:funcPr>
                        <m:ctrlPr>
                          <a:rPr lang="de-DE" sz="1100" b="0" i="1">
                            <a:latin typeface="Cambria Math"/>
                          </a:rPr>
                        </m:ctrlPr>
                      </m:funcPr>
                      <m:fName>
                        <m:sSup>
                          <m:sSupPr>
                            <m:ctrlPr>
                              <a:rPr lang="de-DE" sz="1100" b="0" i="1">
                                <a:latin typeface="Cambria Math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de-DE" sz="1100" b="0" i="0">
                                <a:latin typeface="Cambria Math"/>
                              </a:rPr>
                              <m:t>cos</m:t>
                            </m:r>
                          </m:e>
                          <m:sup>
                            <m:r>
                              <a:rPr lang="de-DE" sz="1100" b="0" i="1">
                                <a:latin typeface="Cambria Math"/>
                              </a:rPr>
                              <m:t>−1</m:t>
                            </m:r>
                          </m:sup>
                        </m:sSup>
                      </m:fName>
                      <m:e>
                        <m:d>
                          <m:dPr>
                            <m:ctrlPr>
                              <a:rPr lang="de-DE" sz="1100" b="0" i="1">
                                <a:latin typeface="Cambria Math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de-DE" sz="1100" b="0" i="1">
                                    <a:latin typeface="Cambria Math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𝑎</m:t>
                                    </m:r>
                                  </m:e>
                                  <m:sup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𝑏</m:t>
                                    </m:r>
                                  </m:e>
                                  <m:sup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𝑐</m:t>
                                    </m:r>
                                  </m:e>
                                  <m:sup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de-DE" sz="1100" b="0" i="1">
                                    <a:latin typeface="Cambria Math"/>
                                  </a:rPr>
                                  <m:t>−2</m:t>
                                </m:r>
                                <m:r>
                                  <a:rPr lang="de-DE" sz="1100" b="0" i="1">
                                    <a:latin typeface="Cambria Math"/>
                                  </a:rPr>
                                  <m:t>𝑏𝑐</m:t>
                                </m:r>
                              </m:den>
                            </m:f>
                          </m:e>
                        </m:d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=</m:t>
                        </m:r>
                      </m:e>
                    </m:func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68" name="Textfeld 67"/>
            <xdr:cNvSpPr txBox="1"/>
          </xdr:nvSpPr>
          <xdr:spPr>
            <a:xfrm>
              <a:off x="3872750" y="19843376"/>
              <a:ext cx="2097743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latin typeface="Cambria Math"/>
                </a:rPr>
                <a:t>𝑎=  cos^(−1)⁡〖((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𝑎^2−𝑏^2−𝑐^2)/(</a:t>
              </a:r>
              <a:r>
                <a:rPr lang="de-DE" sz="1100" b="0" i="0">
                  <a:latin typeface="Cambria Math"/>
                </a:rPr>
                <a:t>−2𝑏𝑐))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=〗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546847</xdr:colOff>
      <xdr:row>114</xdr:row>
      <xdr:rowOff>13447</xdr:rowOff>
    </xdr:from>
    <xdr:ext cx="3021108" cy="4726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9" name="Textfeld 68"/>
            <xdr:cNvSpPr txBox="1"/>
          </xdr:nvSpPr>
          <xdr:spPr>
            <a:xfrm>
              <a:off x="3774141" y="19995776"/>
              <a:ext cx="3021108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latin typeface="Cambria Math"/>
                        <a:ea typeface="Cambria Math"/>
                      </a:rPr>
                      <m:t>𝛿</m:t>
                    </m:r>
                    <m:r>
                      <a:rPr lang="de-DE" sz="1100" b="0" i="1">
                        <a:latin typeface="Cambria Math"/>
                      </a:rPr>
                      <m:t>=</m:t>
                    </m:r>
                    <m:r>
                      <a:rPr lang="de-DE" sz="1100" b="0" i="1">
                        <a:latin typeface="Cambria Math"/>
                      </a:rPr>
                      <m:t>𝐴𝑅𝐶𝑇𝐴𝑁</m:t>
                    </m:r>
                    <m:r>
                      <a:rPr lang="de-DE" sz="1100" b="0" i="1">
                        <a:latin typeface="Cambria Math"/>
                      </a:rPr>
                      <m:t>2</m:t>
                    </m:r>
                    <m:d>
                      <m:dPr>
                        <m:ctrlPr>
                          <a:rPr lang="de-DE" sz="1100" b="0" i="1">
                            <a:latin typeface="Cambria Math"/>
                          </a:rPr>
                        </m:ctrlPr>
                      </m:dPr>
                      <m:e>
                        <m:r>
                          <a:rPr lang="de-DE" sz="1100" b="0" i="1">
                            <a:latin typeface="Cambria Math"/>
                          </a:rPr>
                          <m:t>𝑊𝐶𝑃𝑧</m:t>
                        </m:r>
                        <m:r>
                          <a:rPr lang="de-DE" sz="1100" b="0" i="1">
                            <a:latin typeface="Cambria Math"/>
                          </a:rPr>
                          <m:t>,</m:t>
                        </m:r>
                        <m:rad>
                          <m:radPr>
                            <m:degHide m:val="on"/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d>
                              <m:d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sSub>
                                      <m:sSubPr>
                                        <m:ctrlP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sSubPr>
                                      <m:e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𝑊𝐶𝑃</m:t>
                                        </m:r>
                                      </m:e>
                                      <m:sub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𝑥</m:t>
                                        </m:r>
                                      </m:sub>
                                    </m:sSub>
                                  </m:e>
                                  <m:sup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  <m:sSup>
                                  <m:sSup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sSub>
                                      <m:sSubPr>
                                        <m:ctrlP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sSubPr>
                                      <m:e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+ </m:t>
                                        </m:r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𝑊𝐶𝑃</m:t>
                                        </m:r>
                                      </m:e>
                                      <m:sub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𝑦</m:t>
                                        </m:r>
                                      </m:sub>
                                    </m:sSub>
                                  </m:e>
                                  <m:sup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</m:e>
                            </m:d>
                          </m:e>
                        </m:rad>
                      </m:e>
                    </m:d>
                    <m:r>
                      <a:rPr lang="de-DE" sz="1100" b="0" i="1">
                        <a:latin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69" name="Textfeld 68"/>
            <xdr:cNvSpPr txBox="1"/>
          </xdr:nvSpPr>
          <xdr:spPr>
            <a:xfrm>
              <a:off x="3774141" y="19995776"/>
              <a:ext cx="3021108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latin typeface="Cambria Math"/>
                  <a:ea typeface="Cambria Math"/>
                </a:rPr>
                <a:t>𝛿</a:t>
              </a:r>
              <a:r>
                <a:rPr lang="de-DE" sz="1100" b="0" i="0">
                  <a:latin typeface="Cambria Math"/>
                </a:rPr>
                <a:t>=𝐴𝑅𝐶𝑇𝐴𝑁2(𝑊𝐶𝑃𝑧,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√((〖〖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𝑊𝐶𝑃〗_𝑥〗^2 〖〖+ 𝑊𝐶𝑃〗_𝑦〗^2 )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))</a:t>
              </a:r>
              <a:r>
                <a:rPr lang="de-DE" sz="1100" b="0" i="0">
                  <a:latin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152399</xdr:colOff>
      <xdr:row>105</xdr:row>
      <xdr:rowOff>129989</xdr:rowOff>
    </xdr:from>
    <xdr:ext cx="1497106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Textfeld 70"/>
            <xdr:cNvSpPr txBox="1"/>
          </xdr:nvSpPr>
          <xdr:spPr>
            <a:xfrm>
              <a:off x="152399" y="17691848"/>
              <a:ext cx="1497106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𝑊𝐶𝑃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𝑧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de-DE">
                <a:effectLst/>
              </a:endParaRPr>
            </a:p>
          </xdr:txBody>
        </xdr:sp>
      </mc:Choice>
      <mc:Fallback xmlns="">
        <xdr:sp macro="" textlink="">
          <xdr:nvSpPr>
            <xdr:cNvPr id="71" name="Textfeld 70"/>
            <xdr:cNvSpPr txBox="1"/>
          </xdr:nvSpPr>
          <xdr:spPr>
            <a:xfrm>
              <a:off x="152399" y="17691848"/>
              <a:ext cx="1497106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〖𝑊𝐶𝑃〗_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𝑧−𝑑_0</a:t>
              </a:r>
              <a:endParaRPr lang="de-DE">
                <a:effectLst/>
              </a:endParaRPr>
            </a:p>
          </xdr:txBody>
        </xdr:sp>
      </mc:Fallback>
    </mc:AlternateContent>
    <xdr:clientData/>
  </xdr:oneCellAnchor>
  <xdr:oneCellAnchor>
    <xdr:from>
      <xdr:col>5</xdr:col>
      <xdr:colOff>573739</xdr:colOff>
      <xdr:row>118</xdr:row>
      <xdr:rowOff>121023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2" name="Textfeld 71"/>
            <xdr:cNvSpPr txBox="1"/>
          </xdr:nvSpPr>
          <xdr:spPr>
            <a:xfrm>
              <a:off x="3801033" y="208205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1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=90° −(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+ 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𝑎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)=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2" name="Textfeld 71"/>
            <xdr:cNvSpPr txBox="1"/>
          </xdr:nvSpPr>
          <xdr:spPr>
            <a:xfrm>
              <a:off x="3801033" y="208205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1</a:t>
              </a:r>
              <a:r>
                <a:rPr lang="de-DE" sz="1100" b="0" i="0">
                  <a:latin typeface="Cambria Math"/>
                </a:rPr>
                <a:t>=90° −(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𝛾+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𝑎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)=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510986</xdr:colOff>
      <xdr:row>110</xdr:row>
      <xdr:rowOff>113404</xdr:rowOff>
    </xdr:from>
    <xdr:ext cx="3514166" cy="3793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3" name="Textfeld 72"/>
            <xdr:cNvSpPr txBox="1"/>
          </xdr:nvSpPr>
          <xdr:spPr>
            <a:xfrm>
              <a:off x="3741866" y="20420704"/>
              <a:ext cx="3514166" cy="3793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de-DE" sz="1100" b="0" i="1">
                          <a:latin typeface="Cambria Math"/>
                        </a:rPr>
                      </m:ctrlPr>
                    </m:sSupPr>
                    <m:e>
                      <m:r>
                        <a:rPr lang="de-DE" sz="1100" b="0" i="1">
                          <a:latin typeface="Cambria Math"/>
                        </a:rPr>
                        <m:t>𝑐</m:t>
                      </m:r>
                    </m:e>
                    <m:sup>
                      <m:r>
                        <a:rPr lang="de-DE" sz="1100" b="0" i="1">
                          <a:latin typeface="Cambria Math"/>
                        </a:rPr>
                        <m:t>2</m:t>
                      </m:r>
                    </m:sup>
                  </m:sSup>
                  <m:r>
                    <a:rPr lang="de-DE" sz="1100" b="0" i="1">
                      <a:latin typeface="Cambria Math"/>
                    </a:rPr>
                    <m:t>=</m:t>
                  </m:r>
                  <m:sSup>
                    <m:sSupPr>
                      <m:ctrlPr>
                        <a:rPr lang="de-DE" sz="1100" b="0" i="1">
                          <a:latin typeface="Cambria Math"/>
                        </a:rPr>
                      </m:ctrlPr>
                    </m:sSupPr>
                    <m:e>
                      <m:r>
                        <a:rPr lang="de-DE" sz="1100" b="0" i="1">
                          <a:latin typeface="Cambria Math"/>
                        </a:rPr>
                        <m:t>𝑎</m:t>
                      </m:r>
                    </m:e>
                    <m:sup>
                      <m:r>
                        <a:rPr lang="de-DE" sz="1100" b="0" i="1">
                          <a:latin typeface="Cambria Math"/>
                        </a:rPr>
                        <m:t>2</m:t>
                      </m:r>
                    </m:sup>
                  </m:sSup>
                  <m:r>
                    <a:rPr lang="de-DE" sz="1100" b="0" i="1">
                      <a:latin typeface="Cambria Math"/>
                    </a:rPr>
                    <m:t>+</m:t>
                  </m:r>
                  <m:sSup>
                    <m:sSupPr>
                      <m:ctrlPr>
                        <a:rPr lang="de-DE" sz="1100" b="0" i="1">
                          <a:latin typeface="Cambria Math"/>
                        </a:rPr>
                      </m:ctrlPr>
                    </m:sSupPr>
                    <m:e>
                      <m:r>
                        <a:rPr lang="de-DE" sz="1100" b="0" i="1">
                          <a:latin typeface="Cambria Math"/>
                        </a:rPr>
                        <m:t>𝑏</m:t>
                      </m:r>
                    </m:e>
                    <m:sup>
                      <m:r>
                        <a:rPr lang="de-DE" sz="1100" b="0" i="1">
                          <a:latin typeface="Cambria Math"/>
                        </a:rPr>
                        <m:t>2</m:t>
                      </m:r>
                    </m:sup>
                  </m:sSup>
                  <m:r>
                    <a:rPr lang="de-DE" sz="1100" b="0" i="1">
                      <a:latin typeface="Cambria Math"/>
                    </a:rPr>
                    <m:t>−2</m:t>
                  </m:r>
                  <m:func>
                    <m:funcPr>
                      <m:ctrlPr>
                        <a:rPr lang="de-DE" sz="1100" b="0" i="1">
                          <a:latin typeface="Cambria Math"/>
                        </a:rPr>
                      </m:ctrlPr>
                    </m:funcPr>
                    <m:fName>
                      <m:r>
                        <m:rPr>
                          <m:sty m:val="p"/>
                        </m:rPr>
                        <a:rPr lang="de-DE" sz="1100" b="0" i="0">
                          <a:latin typeface="Cambria Math"/>
                        </a:rPr>
                        <m:t>a</m:t>
                      </m:r>
                      <m:r>
                        <a:rPr lang="de-DE" sz="1100" b="0" i="0">
                          <a:latin typeface="Cambria Math"/>
                        </a:rPr>
                        <m:t> </m:t>
                      </m:r>
                      <m:r>
                        <m:rPr>
                          <m:sty m:val="p"/>
                        </m:rPr>
                        <a:rPr lang="de-DE" sz="1100" b="0" i="0">
                          <a:latin typeface="Cambria Math"/>
                        </a:rPr>
                        <m:t>b</m:t>
                      </m:r>
                      <m:r>
                        <a:rPr lang="de-DE" sz="1100" b="0" i="0">
                          <a:latin typeface="Cambria Math"/>
                        </a:rPr>
                        <m:t> </m:t>
                      </m:r>
                      <m:r>
                        <m:rPr>
                          <m:sty m:val="p"/>
                        </m:rPr>
                        <a:rPr lang="de-DE" sz="1100" b="0" i="0">
                          <a:latin typeface="Cambria Math"/>
                        </a:rPr>
                        <m:t>cos</m:t>
                      </m:r>
                    </m:fName>
                    <m:e>
                      <m:r>
                        <a:rPr lang="de-DE" sz="1100" b="0" i="1">
                          <a:latin typeface="Cambria Math"/>
                          <a:ea typeface="Cambria Math"/>
                        </a:rPr>
                        <m:t>𝛾</m:t>
                      </m:r>
                    </m:e>
                  </m:func>
                  <m:r>
                    <a:rPr lang="de-DE" sz="1100" b="0" i="1">
                      <a:latin typeface="Cambria Math"/>
                    </a:rPr>
                    <m:t> </m:t>
                  </m:r>
                  <m:groupChr>
                    <m:groupChrPr>
                      <m:chr m:val="⇒"/>
                      <m:vertJc m:val="bot"/>
                      <m:ctrlPr>
                        <a:rPr lang="de-DE" sz="1100" b="0" i="1">
                          <a:latin typeface="Cambria Math"/>
                        </a:rPr>
                      </m:ctrlPr>
                    </m:groupChrPr>
                    <m:e/>
                  </m:groupChr>
                  <m:r>
                    <a:rPr lang="de-DE" sz="1100" b="0" i="1">
                      <a:latin typeface="Cambria Math"/>
                    </a:rPr>
                    <m:t> </m:t>
                  </m:r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Cambria Math"/>
                      <a:cs typeface="+mn-cs"/>
                    </a:rPr>
                    <m:t>𝛾</m:t>
                  </m:r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func>
                    <m:func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funcPr>
                    <m:fName>
                      <m:sSup>
                        <m:s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m:rPr>
                              <m:sty m:val="p"/>
                            </m:rPr>
                            <a:rPr lang="de-DE" sz="1100" b="0" i="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cos</m:t>
                          </m:r>
                        </m:e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−1</m:t>
                          </m:r>
                        </m:sup>
                      </m:sSup>
                    </m:fName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f>
                            <m:f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</m:ctrlPr>
                            </m:fPr>
                            <m:num>
                              <m:sSup>
                                <m:sSup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sSup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p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p>
                              </m:s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sSup>
                                <m:sSup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sSup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𝑎</m:t>
                                  </m:r>
                                </m:e>
                                <m:sup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p>
                              </m:s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sSup>
                                <m:sSup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sSup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𝑏</m:t>
                                  </m:r>
                                </m:e>
                                <m:sup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p>
                              </m:sSup>
                            </m:num>
                            <m:den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−2</m:t>
                              </m:r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𝑎𝑏</m:t>
                              </m:r>
                            </m:den>
                          </m:f>
                        </m:e>
                      </m:d>
                    </m:e>
                  </m:func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73" name="Textfeld 72"/>
            <xdr:cNvSpPr txBox="1"/>
          </xdr:nvSpPr>
          <xdr:spPr>
            <a:xfrm>
              <a:off x="3741866" y="20420704"/>
              <a:ext cx="3514166" cy="3793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latin typeface="Cambria Math"/>
                </a:rPr>
                <a:t>𝑐^2=𝑎^2+𝑏^2−2 〖a b cos〗⁡</a:t>
              </a:r>
              <a:r>
                <a:rPr lang="de-DE" sz="1100" b="0" i="0">
                  <a:latin typeface="Cambria Math"/>
                  <a:ea typeface="Cambria Math"/>
                </a:rPr>
                <a:t>𝛾 </a:t>
              </a:r>
              <a:r>
                <a:rPr lang="de-DE" sz="1100" b="0" i="0">
                  <a:latin typeface="Cambria Math"/>
                </a:rPr>
                <a:t> ⇒┴ 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=cos^(−1)⁡((𝑐^2−𝑎^2−𝑏^2)/(−2𝑎𝑏))=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5</xdr:col>
      <xdr:colOff>597944</xdr:colOff>
      <xdr:row>124</xdr:row>
      <xdr:rowOff>136713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4" name="Textfeld 73"/>
            <xdr:cNvSpPr txBox="1"/>
          </xdr:nvSpPr>
          <xdr:spPr>
            <a:xfrm>
              <a:off x="3828824" y="23019573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1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=90° −(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−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𝑎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)=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4" name="Textfeld 73"/>
            <xdr:cNvSpPr txBox="1"/>
          </xdr:nvSpPr>
          <xdr:spPr>
            <a:xfrm>
              <a:off x="3828824" y="23019573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1</a:t>
              </a:r>
              <a:r>
                <a:rPr lang="de-DE" sz="1100" b="0" i="0">
                  <a:latin typeface="Cambria Math"/>
                </a:rPr>
                <a:t>=90° −(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−𝑎)=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591671</xdr:colOff>
      <xdr:row>120</xdr:row>
      <xdr:rowOff>26894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Textfeld 75"/>
            <xdr:cNvSpPr txBox="1"/>
          </xdr:nvSpPr>
          <xdr:spPr>
            <a:xfrm>
              <a:off x="3818965" y="21084988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2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=90° −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6" name="Textfeld 75"/>
            <xdr:cNvSpPr txBox="1"/>
          </xdr:nvSpPr>
          <xdr:spPr>
            <a:xfrm>
              <a:off x="3818965" y="21084988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2</a:t>
              </a:r>
              <a:r>
                <a:rPr lang="de-DE" sz="1100" b="0" i="0">
                  <a:latin typeface="Cambria Math"/>
                </a:rPr>
                <a:t>=90° −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595705</xdr:colOff>
      <xdr:row>125</xdr:row>
      <xdr:rowOff>142989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Textfeld 76"/>
            <xdr:cNvSpPr txBox="1"/>
          </xdr:nvSpPr>
          <xdr:spPr>
            <a:xfrm>
              <a:off x="3826585" y="232087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2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 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270° −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 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7" name="Textfeld 76"/>
            <xdr:cNvSpPr txBox="1"/>
          </xdr:nvSpPr>
          <xdr:spPr>
            <a:xfrm>
              <a:off x="3826585" y="232087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2</a:t>
              </a:r>
              <a:r>
                <a:rPr lang="de-DE" sz="1100" b="0" i="0">
                  <a:latin typeface="Cambria Math"/>
                </a:rPr>
                <a:t>=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270° −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= </a:t>
              </a:r>
              <a:endParaRPr lang="de-DE" sz="1100"/>
            </a:p>
          </xdr:txBody>
        </xdr:sp>
      </mc:Fallback>
    </mc:AlternateContent>
    <xdr:clientData/>
  </xdr:oneCellAnchor>
  <xdr:twoCellAnchor>
    <xdr:from>
      <xdr:col>0</xdr:col>
      <xdr:colOff>44823</xdr:colOff>
      <xdr:row>2</xdr:row>
      <xdr:rowOff>0</xdr:rowOff>
    </xdr:from>
    <xdr:to>
      <xdr:col>4</xdr:col>
      <xdr:colOff>573741</xdr:colOff>
      <xdr:row>10</xdr:row>
      <xdr:rowOff>26895</xdr:rowOff>
    </xdr:to>
    <xdr:graphicFrame macro="">
      <xdr:nvGraphicFramePr>
        <xdr:cNvPr id="3" name="Diagramm 2" title="Top view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98611</xdr:colOff>
      <xdr:row>92</xdr:row>
      <xdr:rowOff>62753</xdr:rowOff>
    </xdr:from>
    <xdr:to>
      <xdr:col>5</xdr:col>
      <xdr:colOff>444947</xdr:colOff>
      <xdr:row>105</xdr:row>
      <xdr:rowOff>136782</xdr:rowOff>
    </xdr:to>
    <xdr:pic>
      <xdr:nvPicPr>
        <xdr:cNvPr id="4" name="Grafik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8611" y="16817788"/>
          <a:ext cx="4410635" cy="2404854"/>
        </a:xfrm>
        <a:prstGeom prst="rect">
          <a:avLst/>
        </a:prstGeom>
      </xdr:spPr>
    </xdr:pic>
    <xdr:clientData/>
  </xdr:twoCellAnchor>
  <xdr:twoCellAnchor>
    <xdr:from>
      <xdr:col>8</xdr:col>
      <xdr:colOff>744070</xdr:colOff>
      <xdr:row>89</xdr:row>
      <xdr:rowOff>40342</xdr:rowOff>
    </xdr:from>
    <xdr:to>
      <xdr:col>15</xdr:col>
      <xdr:colOff>295835</xdr:colOff>
      <xdr:row>104</xdr:row>
      <xdr:rowOff>94130</xdr:rowOff>
    </xdr:to>
    <xdr:graphicFrame macro="">
      <xdr:nvGraphicFramePr>
        <xdr:cNvPr id="6" name="Diagramm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0</xdr:col>
      <xdr:colOff>40341</xdr:colOff>
      <xdr:row>129</xdr:row>
      <xdr:rowOff>102646</xdr:rowOff>
    </xdr:from>
    <xdr:ext cx="6337599" cy="6372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Textfeld 27"/>
            <xdr:cNvSpPr txBox="1"/>
          </xdr:nvSpPr>
          <xdr:spPr>
            <a:xfrm>
              <a:off x="40341" y="23015986"/>
              <a:ext cx="6337599" cy="6372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𝑅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6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3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latin typeface="Cambria Math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latin typeface="Cambria Math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−</m:t>
                                      </m:r>
                                    </m:e>
                                  </m:func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−</m:t>
                                      </m:r>
                                      <m:r>
                                        <m:rPr>
                                          <m:sty m:val="p"/>
                                          <m:brk m:alnAt="7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</m:t>
                                      </m:r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3</m:t>
                                          </m:r>
                                        </m:sub>
                                      </m:sSub>
                                    </m:e>
                                  </m:func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  <m:brk m:alnAt="7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</m:t>
                                      </m:r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  <m:brk m:alnAt="7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</m:t>
                                      </m:r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+</m:t>
                                      </m:r>
                                    </m:e>
                                  </m:func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+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</m:fName>
                                <m:e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3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28" name="Textfeld 27"/>
            <xdr:cNvSpPr txBox="1"/>
          </xdr:nvSpPr>
          <xdr:spPr>
            <a:xfrm>
              <a:off x="40341" y="23015986"/>
              <a:ext cx="6337599" cy="6372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𝑅_3^6=(■8(</a:t>
              </a:r>
              <a:r>
                <a:rPr lang="de-DE" sz="1100" i="0">
                  <a:latin typeface="Cambria Math"/>
                </a:rPr>
                <a:t>cos⁡〖</a:t>
              </a:r>
              <a:r>
                <a:rPr lang="de-DE" sz="1100" i="0">
                  <a:latin typeface="Cambria Math"/>
                  <a:ea typeface="Cambria Math"/>
                </a:rPr>
                <a:t>𝜃_</a:t>
              </a:r>
              <a:r>
                <a:rPr lang="de-DE" sz="1100" b="0" i="0">
                  <a:latin typeface="Cambria Math"/>
                </a:rPr>
                <a:t>3  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cos⁡〖𝜃_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 〗@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5+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+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cos⁡〖𝜃_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〗@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22861</xdr:colOff>
      <xdr:row>135</xdr:row>
      <xdr:rowOff>160020</xdr:rowOff>
    </xdr:from>
    <xdr:ext cx="64008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" name="Textfeld 29"/>
            <xdr:cNvSpPr txBox="1"/>
          </xdr:nvSpPr>
          <xdr:spPr>
            <a:xfrm>
              <a:off x="22861" y="24170640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3</m:t>
                      </m:r>
                    </m:sup>
                  </m:sSub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0" name="Textfeld 29"/>
            <xdr:cNvSpPr txBox="1"/>
          </xdr:nvSpPr>
          <xdr:spPr>
            <a:xfrm>
              <a:off x="22861" y="24170640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𝑅_0^3=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5</xdr:col>
      <xdr:colOff>160020</xdr:colOff>
      <xdr:row>135</xdr:row>
      <xdr:rowOff>114300</xdr:rowOff>
    </xdr:from>
    <xdr:ext cx="1562099" cy="3232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1" name="Textfeld 30"/>
            <xdr:cNvSpPr txBox="1"/>
          </xdr:nvSpPr>
          <xdr:spPr>
            <a:xfrm>
              <a:off x="3390900" y="24132540"/>
              <a:ext cx="1562099" cy="3232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−1</m:t>
                      </m:r>
                    </m:sup>
                  </m:s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𝑇</m:t>
                      </m:r>
                    </m:sup>
                  </m:s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1" name="Textfeld 30"/>
            <xdr:cNvSpPr txBox="1"/>
          </xdr:nvSpPr>
          <xdr:spPr>
            <a:xfrm>
              <a:off x="3390900" y="24132540"/>
              <a:ext cx="1562099" cy="3232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^(−1)=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0</xdr:col>
      <xdr:colOff>30480</xdr:colOff>
      <xdr:row>138</xdr:row>
      <xdr:rowOff>91440</xdr:rowOff>
    </xdr:from>
    <xdr:ext cx="1562099" cy="33380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Textfeld 31"/>
            <xdr:cNvSpPr txBox="1"/>
          </xdr:nvSpPr>
          <xdr:spPr>
            <a:xfrm>
              <a:off x="30480" y="24688800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𝑅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3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−1</m:t>
                      </m:r>
                    </m:sup>
                  </m:sSup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6</m:t>
                      </m:r>
                    </m:sup>
                  </m:sSubSup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2" name="Textfeld 31"/>
            <xdr:cNvSpPr txBox="1"/>
          </xdr:nvSpPr>
          <xdr:spPr>
            <a:xfrm>
              <a:off x="30480" y="24688800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(𝑅_0^3 )^(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𝑅_0^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0</xdr:col>
      <xdr:colOff>34291</xdr:colOff>
      <xdr:row>140</xdr:row>
      <xdr:rowOff>146685</xdr:rowOff>
    </xdr:from>
    <xdr:ext cx="1325880" cy="31175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Textfeld 32"/>
            <xdr:cNvSpPr txBox="1"/>
          </xdr:nvSpPr>
          <xdr:spPr>
            <a:xfrm>
              <a:off x="34291" y="24959310"/>
              <a:ext cx="1325880" cy="3117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func>
                    <m:func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funcPr>
                    <m:fName>
                      <m:r>
                        <m:rPr>
                          <m:sty m:val="p"/>
                          <m:brk m:alnAt="7"/>
                        </m:rPr>
                        <a:rPr lang="de-DE" sz="1100" i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c</m:t>
                      </m:r>
                      <m:r>
                        <m:rPr>
                          <m:sty m:val="p"/>
                        </m:rPr>
                        <a:rPr lang="de-DE" sz="1100" i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os</m:t>
                      </m:r>
                    </m:fName>
                    <m:e>
                      <m:sSub>
                        <m:sSubPr>
                          <m:ctrlPr>
                            <a:rPr lang="de-DE" sz="110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de-DE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𝜃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4</m:t>
                          </m:r>
                        </m:sub>
                      </m:sSub>
                    </m:e>
                  </m:func>
                  <m:r>
                    <a:rPr lang="de-DE" sz="1100" b="0" i="1">
                      <a:latin typeface="Cambria Math"/>
                      <a:ea typeface="Cambria Math"/>
                    </a:rPr>
                    <m:t>=</m:t>
                  </m:r>
                  <m:sSub>
                    <m:sSubPr>
                      <m:ctrlPr>
                        <a:rPr lang="de-DE" sz="1100" b="0" i="1">
                          <a:latin typeface="Cambria Math"/>
                          <a:ea typeface="Cambria Math"/>
                        </a:rPr>
                      </m:ctrlPr>
                    </m:sSub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  <m:r>
                        <m:rPr>
                          <m:nor/>
                        </m:rPr>
                        <a:rPr lang="de-DE" sz="110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</m:e>
                    <m:sub>
                      <m:r>
                        <a:rPr lang="de-DE" sz="1100" b="0" i="1">
                          <a:latin typeface="Cambria Math"/>
                          <a:ea typeface="Cambria Math"/>
                        </a:rPr>
                        <m:t>33</m:t>
                      </m:r>
                    </m:sub>
                  </m:sSub>
                </m:oMath>
              </a14:m>
              <a:r>
                <a:rPr lang="de-DE" sz="1100"/>
                <a:t>= </a:t>
              </a:r>
            </a:p>
          </xdr:txBody>
        </xdr:sp>
      </mc:Choice>
      <mc:Fallback xmlns="">
        <xdr:sp macro="" textlink="">
          <xdr:nvSpPr>
            <xdr:cNvPr id="33" name="Textfeld 32"/>
            <xdr:cNvSpPr txBox="1"/>
          </xdr:nvSpPr>
          <xdr:spPr>
            <a:xfrm>
              <a:off x="34291" y="24959310"/>
              <a:ext cx="1325880" cy="3117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(𝑅_0^3 )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33</a:t>
              </a:r>
              <a:r>
                <a:rPr lang="de-DE" sz="1100"/>
                <a:t>= </a:t>
              </a:r>
            </a:p>
          </xdr:txBody>
        </xdr:sp>
      </mc:Fallback>
    </mc:AlternateContent>
    <xdr:clientData/>
  </xdr:oneCellAnchor>
  <xdr:oneCellAnchor>
    <xdr:from>
      <xdr:col>5</xdr:col>
      <xdr:colOff>285751</xdr:colOff>
      <xdr:row>141</xdr:row>
      <xdr:rowOff>47625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Textfeld 34"/>
            <xdr:cNvSpPr txBox="1"/>
          </xdr:nvSpPr>
          <xdr:spPr>
            <a:xfrm>
              <a:off x="3600451" y="2504122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4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5" name="Textfeld 34"/>
            <xdr:cNvSpPr txBox="1"/>
          </xdr:nvSpPr>
          <xdr:spPr>
            <a:xfrm>
              <a:off x="3600451" y="2504122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11</xdr:col>
      <xdr:colOff>120833</xdr:colOff>
      <xdr:row>135</xdr:row>
      <xdr:rowOff>145869</xdr:rowOff>
    </xdr:from>
    <xdr:ext cx="64008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6" name="Textfeld 35"/>
            <xdr:cNvSpPr txBox="1"/>
          </xdr:nvSpPr>
          <xdr:spPr>
            <a:xfrm>
              <a:off x="7958547" y="24410126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6</m:t>
                      </m:r>
                    </m:sup>
                  </m:sSub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6" name="Textfeld 35"/>
            <xdr:cNvSpPr txBox="1"/>
          </xdr:nvSpPr>
          <xdr:spPr>
            <a:xfrm>
              <a:off x="7958547" y="24410126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𝑅_0^6=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15</xdr:col>
      <xdr:colOff>433252</xdr:colOff>
      <xdr:row>135</xdr:row>
      <xdr:rowOff>87086</xdr:rowOff>
    </xdr:from>
    <xdr:ext cx="1562099" cy="33380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7" name="Textfeld 36"/>
            <xdr:cNvSpPr txBox="1"/>
          </xdr:nvSpPr>
          <xdr:spPr>
            <a:xfrm>
              <a:off x="11373395" y="24351343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𝑅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3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−1</m:t>
                      </m:r>
                    </m:sup>
                  </m:sSup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6</m:t>
                      </m:r>
                    </m:sup>
                  </m:sSub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7" name="Textfeld 36"/>
            <xdr:cNvSpPr txBox="1"/>
          </xdr:nvSpPr>
          <xdr:spPr>
            <a:xfrm>
              <a:off x="11373395" y="24351343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(𝑅_0^3 )^(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𝑅_0^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twoCellAnchor editAs="oneCell">
    <xdr:from>
      <xdr:col>16</xdr:col>
      <xdr:colOff>9525</xdr:colOff>
      <xdr:row>1</xdr:row>
      <xdr:rowOff>76200</xdr:rowOff>
    </xdr:from>
    <xdr:to>
      <xdr:col>18</xdr:col>
      <xdr:colOff>135548</xdr:colOff>
      <xdr:row>5</xdr:row>
      <xdr:rowOff>5782</xdr:rowOff>
    </xdr:to>
    <xdr:pic>
      <xdr:nvPicPr>
        <xdr:cNvPr id="34" name="Grafik 33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68125" y="304800"/>
          <a:ext cx="1764323" cy="6630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0</xdr:colOff>
      <xdr:row>142</xdr:row>
      <xdr:rowOff>102870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Textfeld 37"/>
            <xdr:cNvSpPr txBox="1"/>
          </xdr:nvSpPr>
          <xdr:spPr>
            <a:xfrm>
              <a:off x="0" y="2527744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−</m:t>
                    </m:r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4</m:t>
                            </m:r>
                          </m:sub>
                        </m:sSub>
                      </m:e>
                    </m:func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5</m:t>
                            </m:r>
                          </m:sub>
                        </m:sSub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8" name="Textfeld 37"/>
            <xdr:cNvSpPr txBox="1"/>
          </xdr:nvSpPr>
          <xdr:spPr>
            <a:xfrm>
              <a:off x="0" y="2527744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333376</xdr:colOff>
      <xdr:row>141</xdr:row>
      <xdr:rowOff>28575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Textfeld 38"/>
            <xdr:cNvSpPr txBox="1"/>
          </xdr:nvSpPr>
          <xdr:spPr>
            <a:xfrm>
              <a:off x="3648076" y="2574607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5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9" name="Textfeld 38"/>
            <xdr:cNvSpPr txBox="1"/>
          </xdr:nvSpPr>
          <xdr:spPr>
            <a:xfrm>
              <a:off x="3648076" y="2574607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19050</xdr:colOff>
      <xdr:row>144</xdr:row>
      <xdr:rowOff>93345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Textfeld 40"/>
            <xdr:cNvSpPr txBox="1"/>
          </xdr:nvSpPr>
          <xdr:spPr>
            <a:xfrm>
              <a:off x="19050" y="25629870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4</m:t>
                            </m:r>
                          </m:sub>
                        </m:sSub>
                      </m:e>
                    </m:func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  <m:brk m:alnAt="7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c</m:t>
                        </m:r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os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5</m:t>
                            </m:r>
                          </m:sub>
                        </m:sSub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1" name="Textfeld 40"/>
            <xdr:cNvSpPr txBox="1"/>
          </xdr:nvSpPr>
          <xdr:spPr>
            <a:xfrm>
              <a:off x="19050" y="25629870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0</xdr:colOff>
      <xdr:row>146</xdr:row>
      <xdr:rowOff>121920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Textfeld 43"/>
            <xdr:cNvSpPr txBox="1"/>
          </xdr:nvSpPr>
          <xdr:spPr>
            <a:xfrm>
              <a:off x="0" y="260203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−</m:t>
                        </m:r>
                      </m:fName>
                      <m:e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sin</m:t>
                            </m:r>
                          </m:fName>
                          <m:e>
                            <m:sSub>
                              <m:sSub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𝜃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b>
                            </m:sSub>
                          </m:e>
                        </m:func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sin</m:t>
                            </m:r>
                          </m:fName>
                          <m:e>
                            <m:sSub>
                              <m:sSub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𝜃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4</m:t>
                                </m:r>
                              </m:sub>
                            </m:sSub>
                          </m:e>
                        </m:func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23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4" name="Textfeld 43"/>
            <xdr:cNvSpPr txBox="1"/>
          </xdr:nvSpPr>
          <xdr:spPr>
            <a:xfrm>
              <a:off x="0" y="260203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12</xdr:col>
      <xdr:colOff>295276</xdr:colOff>
      <xdr:row>141</xdr:row>
      <xdr:rowOff>57150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Textfeld 44"/>
            <xdr:cNvSpPr txBox="1"/>
          </xdr:nvSpPr>
          <xdr:spPr>
            <a:xfrm>
              <a:off x="3609976" y="2649855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5" name="Textfeld 44"/>
            <xdr:cNvSpPr txBox="1"/>
          </xdr:nvSpPr>
          <xdr:spPr>
            <a:xfrm>
              <a:off x="3609976" y="2649855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0</xdr:colOff>
      <xdr:row>148</xdr:row>
      <xdr:rowOff>102870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Textfeld 46"/>
            <xdr:cNvSpPr txBox="1"/>
          </xdr:nvSpPr>
          <xdr:spPr>
            <a:xfrm>
              <a:off x="0" y="263632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funcPr>
                      <m:fName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m:rPr>
                                <m:sty m:val="p"/>
                                <m:brk m:alnAt="7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c</m:t>
                            </m:r>
                            <m:r>
                              <m:rPr>
                                <m:sty m:val="p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os</m:t>
                            </m:r>
                          </m:fName>
                          <m:e>
                            <m:sSub>
                              <m:sSub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𝜃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b>
                            </m:sSub>
                          </m:e>
                        </m:func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4</m:t>
                            </m:r>
                          </m:sub>
                        </m:sSub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13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7" name="Textfeld 46"/>
            <xdr:cNvSpPr txBox="1"/>
          </xdr:nvSpPr>
          <xdr:spPr>
            <a:xfrm>
              <a:off x="0" y="263632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〖〖−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0</xdr:colOff>
      <xdr:row>61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Textfeld 48"/>
            <xdr:cNvSpPr txBox="1"/>
          </xdr:nvSpPr>
          <xdr:spPr>
            <a:xfrm>
              <a:off x="0" y="12140452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49" name="Textfeld 48"/>
            <xdr:cNvSpPr txBox="1"/>
          </xdr:nvSpPr>
          <xdr:spPr>
            <a:xfrm>
              <a:off x="0" y="12140452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  <xdr:oneCellAnchor>
    <xdr:from>
      <xdr:col>6</xdr:col>
      <xdr:colOff>788892</xdr:colOff>
      <xdr:row>68</xdr:row>
      <xdr:rowOff>190499</xdr:rowOff>
    </xdr:from>
    <xdr:ext cx="1093695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0" name="Textfeld 49"/>
            <xdr:cNvSpPr txBox="1"/>
          </xdr:nvSpPr>
          <xdr:spPr>
            <a:xfrm>
              <a:off x="5423645" y="12759017"/>
              <a:ext cx="1093695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 </m:t>
                  </m:r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𝑊𝐶𝑃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𝑇𝐶𝑃</m:t>
                      </m:r>
                    </m:sub>
                  </m:sSub>
                </m:oMath>
              </a14:m>
              <a:r>
                <a:rPr lang="de-DE" sz="1100"/>
                <a:t>= </a:t>
              </a:r>
            </a:p>
          </xdr:txBody>
        </xdr:sp>
      </mc:Choice>
      <mc:Fallback xmlns="">
        <xdr:sp macro="" textlink="">
          <xdr:nvSpPr>
            <xdr:cNvPr id="50" name="Textfeld 49"/>
            <xdr:cNvSpPr txBox="1"/>
          </xdr:nvSpPr>
          <xdr:spPr>
            <a:xfrm>
              <a:off x="5423645" y="12759017"/>
              <a:ext cx="1093695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  〖𝑊𝐶𝑃〗_𝑇𝐶𝑃</a:t>
              </a:r>
              <a:r>
                <a:rPr lang="de-DE" sz="1100"/>
                <a:t>= </a:t>
              </a:r>
            </a:p>
          </xdr:txBody>
        </xdr:sp>
      </mc:Fallback>
    </mc:AlternateContent>
    <xdr:clientData/>
  </xdr:oneCellAnchor>
  <xdr:oneCellAnchor>
    <xdr:from>
      <xdr:col>12</xdr:col>
      <xdr:colOff>295276</xdr:colOff>
      <xdr:row>141</xdr:row>
      <xdr:rowOff>57150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Textfeld 52"/>
            <xdr:cNvSpPr txBox="1"/>
          </xdr:nvSpPr>
          <xdr:spPr>
            <a:xfrm>
              <a:off x="9043036" y="2521839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3" name="Textfeld 52"/>
            <xdr:cNvSpPr txBox="1"/>
          </xdr:nvSpPr>
          <xdr:spPr>
            <a:xfrm>
              <a:off x="9043036" y="2521839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12</xdr:col>
      <xdr:colOff>295276</xdr:colOff>
      <xdr:row>141</xdr:row>
      <xdr:rowOff>57150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Textfeld 53"/>
            <xdr:cNvSpPr txBox="1"/>
          </xdr:nvSpPr>
          <xdr:spPr>
            <a:xfrm>
              <a:off x="9043036" y="2521839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4" name="Textfeld 53"/>
            <xdr:cNvSpPr txBox="1"/>
          </xdr:nvSpPr>
          <xdr:spPr>
            <a:xfrm>
              <a:off x="9043036" y="2521839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333376</xdr:colOff>
      <xdr:row>141</xdr:row>
      <xdr:rowOff>28575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Textfeld 54"/>
            <xdr:cNvSpPr txBox="1"/>
          </xdr:nvSpPr>
          <xdr:spPr>
            <a:xfrm>
              <a:off x="5949316" y="2518981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5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5" name="Textfeld 54"/>
            <xdr:cNvSpPr txBox="1"/>
          </xdr:nvSpPr>
          <xdr:spPr>
            <a:xfrm>
              <a:off x="5949316" y="2518981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333376</xdr:colOff>
      <xdr:row>141</xdr:row>
      <xdr:rowOff>28575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Textfeld 55"/>
            <xdr:cNvSpPr txBox="1"/>
          </xdr:nvSpPr>
          <xdr:spPr>
            <a:xfrm>
              <a:off x="5949316" y="2518981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5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6" name="Textfeld 55"/>
            <xdr:cNvSpPr txBox="1"/>
          </xdr:nvSpPr>
          <xdr:spPr>
            <a:xfrm>
              <a:off x="5949316" y="2518981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152400</xdr:rowOff>
    </xdr:from>
    <xdr:to>
      <xdr:col>10</xdr:col>
      <xdr:colOff>251460</xdr:colOff>
      <xdr:row>30</xdr:row>
      <xdr:rowOff>0</xdr:rowOff>
    </xdr:to>
    <xdr:pic>
      <xdr:nvPicPr>
        <xdr:cNvPr id="3" name="Grafik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5280"/>
          <a:ext cx="6347460" cy="5151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564777</xdr:colOff>
      <xdr:row>1</xdr:row>
      <xdr:rowOff>71717</xdr:rowOff>
    </xdr:from>
    <xdr:to>
      <xdr:col>20</xdr:col>
      <xdr:colOff>404757</xdr:colOff>
      <xdr:row>13</xdr:row>
      <xdr:rowOff>79336</xdr:rowOff>
    </xdr:to>
    <xdr:pic>
      <xdr:nvPicPr>
        <xdr:cNvPr id="4" name="Grafik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0777" y="251011"/>
          <a:ext cx="5935980" cy="2159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8964</xdr:colOff>
      <xdr:row>17</xdr:row>
      <xdr:rowOff>115943</xdr:rowOff>
    </xdr:from>
    <xdr:to>
      <xdr:col>29</xdr:col>
      <xdr:colOff>363710</xdr:colOff>
      <xdr:row>43</xdr:row>
      <xdr:rowOff>62753</xdr:rowOff>
    </xdr:to>
    <xdr:pic>
      <xdr:nvPicPr>
        <xdr:cNvPr id="5" name="Grafik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14564" y="3163943"/>
          <a:ext cx="11327546" cy="46084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457200</xdr:colOff>
      <xdr:row>1</xdr:row>
      <xdr:rowOff>106978</xdr:rowOff>
    </xdr:from>
    <xdr:to>
      <xdr:col>23</xdr:col>
      <xdr:colOff>392723</xdr:colOff>
      <xdr:row>5</xdr:row>
      <xdr:rowOff>52808</xdr:rowOff>
    </xdr:to>
    <xdr:pic>
      <xdr:nvPicPr>
        <xdr:cNvPr id="6" name="Grafik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49200" y="286272"/>
          <a:ext cx="1764323" cy="6630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170330</xdr:colOff>
      <xdr:row>47</xdr:row>
      <xdr:rowOff>125507</xdr:rowOff>
    </xdr:from>
    <xdr:to>
      <xdr:col>24</xdr:col>
      <xdr:colOff>171598</xdr:colOff>
      <xdr:row>78</xdr:row>
      <xdr:rowOff>161366</xdr:rowOff>
    </xdr:to>
    <xdr:pic>
      <xdr:nvPicPr>
        <xdr:cNvPr id="2" name="Grafik 1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15761" b="12972"/>
        <a:stretch/>
      </xdr:blipFill>
      <xdr:spPr>
        <a:xfrm>
          <a:off x="170330" y="8552331"/>
          <a:ext cx="14631668" cy="5593976"/>
        </a:xfrm>
        <a:prstGeom prst="rect">
          <a:avLst/>
        </a:prstGeom>
      </xdr:spPr>
    </xdr:pic>
    <xdr:clientData/>
  </xdr:twoCellAnchor>
  <xdr:twoCellAnchor editAs="oneCell">
    <xdr:from>
      <xdr:col>0</xdr:col>
      <xdr:colOff>134471</xdr:colOff>
      <xdr:row>81</xdr:row>
      <xdr:rowOff>170328</xdr:rowOff>
    </xdr:from>
    <xdr:to>
      <xdr:col>10</xdr:col>
      <xdr:colOff>8965</xdr:colOff>
      <xdr:row>97</xdr:row>
      <xdr:rowOff>152400</xdr:rowOff>
    </xdr:to>
    <xdr:pic>
      <xdr:nvPicPr>
        <xdr:cNvPr id="8" name="Grafik 7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25794" t="23869" r="33401" b="39812"/>
        <a:stretch/>
      </xdr:blipFill>
      <xdr:spPr>
        <a:xfrm>
          <a:off x="134471" y="14693152"/>
          <a:ext cx="5970494" cy="285077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52"/>
  <sheetViews>
    <sheetView tabSelected="1" topLeftCell="A97" zoomScale="85" zoomScaleNormal="85" workbookViewId="0">
      <selection activeCell="K118" sqref="K118"/>
    </sheetView>
  </sheetViews>
  <sheetFormatPr baseColWidth="10" defaultColWidth="8.88671875" defaultRowHeight="14.4" x14ac:dyDescent="0.3"/>
  <cols>
    <col min="2" max="2" width="13.21875" customWidth="1"/>
    <col min="3" max="3" width="12.21875" customWidth="1"/>
    <col min="4" max="4" width="13" customWidth="1"/>
    <col min="5" max="5" width="12.109375" customWidth="1"/>
    <col min="6" max="6" width="12.6640625" bestFit="1" customWidth="1"/>
    <col min="7" max="7" width="11.5546875" customWidth="1"/>
    <col min="8" max="8" width="10.88671875" customWidth="1"/>
    <col min="9" max="9" width="14.33203125" customWidth="1"/>
    <col min="10" max="10" width="11.44140625" customWidth="1"/>
    <col min="11" max="11" width="14.109375" customWidth="1"/>
    <col min="12" max="12" width="12" customWidth="1"/>
    <col min="13" max="13" width="16.33203125" customWidth="1"/>
    <col min="14" max="14" width="12.6640625" bestFit="1" customWidth="1"/>
    <col min="15" max="15" width="12.109375" bestFit="1" customWidth="1"/>
    <col min="16" max="16" width="10.44140625" customWidth="1"/>
    <col min="17" max="17" width="11.44140625" customWidth="1"/>
    <col min="18" max="18" width="12.44140625" bestFit="1" customWidth="1"/>
    <col min="19" max="19" width="12.77734375" customWidth="1"/>
    <col min="20" max="20" width="12.88671875" bestFit="1" customWidth="1"/>
    <col min="21" max="21" width="15.21875" customWidth="1"/>
    <col min="22" max="22" width="12" bestFit="1" customWidth="1"/>
    <col min="23" max="23" width="15.44140625" customWidth="1"/>
    <col min="24" max="24" width="14.44140625" customWidth="1"/>
  </cols>
  <sheetData>
    <row r="1" spans="1:22" ht="18" x14ac:dyDescent="0.35">
      <c r="A1" s="25" t="s">
        <v>28</v>
      </c>
    </row>
    <row r="3" spans="1:22" ht="15" thickBot="1" x14ac:dyDescent="0.35"/>
    <row r="4" spans="1:22" x14ac:dyDescent="0.3">
      <c r="F4" t="s">
        <v>30</v>
      </c>
      <c r="G4" s="57">
        <f>B83</f>
        <v>219.99639405097861</v>
      </c>
    </row>
    <row r="5" spans="1:22" x14ac:dyDescent="0.3">
      <c r="G5" s="58">
        <f>B84</f>
        <v>-1.9137014581950423E-14</v>
      </c>
    </row>
    <row r="6" spans="1:22" ht="15" thickBot="1" x14ac:dyDescent="0.35">
      <c r="G6" s="59">
        <f>B85</f>
        <v>599.86685433230264</v>
      </c>
    </row>
    <row r="7" spans="1:22" ht="15" thickBot="1" x14ac:dyDescent="0.35"/>
    <row r="8" spans="1:22" x14ac:dyDescent="0.3">
      <c r="F8" t="s">
        <v>27</v>
      </c>
      <c r="G8" s="115">
        <f>V48</f>
        <v>269.99621601431096</v>
      </c>
      <c r="H8" s="79">
        <f>X48</f>
        <v>-1.3117060032277545E-12</v>
      </c>
    </row>
    <row r="9" spans="1:22" x14ac:dyDescent="0.3">
      <c r="G9" s="116">
        <f>V49</f>
        <v>-3.0628885708429348E-15</v>
      </c>
      <c r="H9" s="80">
        <f>X49</f>
        <v>-89.847100000000012</v>
      </c>
    </row>
    <row r="10" spans="1:22" ht="15" thickBot="1" x14ac:dyDescent="0.35">
      <c r="G10" s="117">
        <f>V50</f>
        <v>600.00028459524754</v>
      </c>
      <c r="H10" s="81">
        <f>X50</f>
        <v>-179.99999999999866</v>
      </c>
    </row>
    <row r="11" spans="1:22" x14ac:dyDescent="0.3">
      <c r="R11" s="9" t="s">
        <v>19</v>
      </c>
    </row>
    <row r="13" spans="1:22" x14ac:dyDescent="0.3">
      <c r="A13" s="15" t="s">
        <v>50</v>
      </c>
      <c r="D13" s="15" t="s">
        <v>38</v>
      </c>
    </row>
    <row r="14" spans="1:22" ht="15" thickBot="1" x14ac:dyDescent="0.35">
      <c r="A14" s="1"/>
      <c r="D14" s="15" t="s">
        <v>60</v>
      </c>
      <c r="H14" s="15" t="s">
        <v>61</v>
      </c>
    </row>
    <row r="15" spans="1:22" ht="16.2" thickBot="1" x14ac:dyDescent="0.4">
      <c r="A15" s="27" t="s">
        <v>8</v>
      </c>
      <c r="B15" s="28">
        <v>0</v>
      </c>
      <c r="C15" s="21">
        <f>RADIANS(B15)</f>
        <v>0</v>
      </c>
      <c r="E15" s="20">
        <f>H85</f>
        <v>-4.9840370009519036E-15</v>
      </c>
      <c r="I15" s="20">
        <f>H86</f>
        <v>180</v>
      </c>
      <c r="J15" s="26" t="s">
        <v>42</v>
      </c>
    </row>
    <row r="16" spans="1:22" ht="15.6" x14ac:dyDescent="0.35">
      <c r="A16" s="29" t="s">
        <v>5</v>
      </c>
      <c r="B16" s="30">
        <v>3.8220000000000001</v>
      </c>
      <c r="C16" s="114">
        <f t="shared" ref="C16:C21" si="0">RADIANS(B16)</f>
        <v>6.6706484011223283E-2</v>
      </c>
      <c r="D16" s="33">
        <f>N120</f>
        <v>3.8219999999999987</v>
      </c>
      <c r="E16" s="33">
        <f>N126</f>
        <v>68.709039706599611</v>
      </c>
      <c r="H16" s="33">
        <f>R120</f>
        <v>-68.709039706599626</v>
      </c>
      <c r="I16" s="33">
        <f>R126</f>
        <v>-3.8220000000000116</v>
      </c>
      <c r="V16" t="s">
        <v>17</v>
      </c>
    </row>
    <row r="17" spans="1:24" ht="16.2" thickBot="1" x14ac:dyDescent="0.4">
      <c r="A17" s="29" t="s">
        <v>6</v>
      </c>
      <c r="B17" s="30">
        <v>-3.9750000000000001</v>
      </c>
      <c r="C17" s="114">
        <f t="shared" si="0"/>
        <v>-6.9376837766774599E-2</v>
      </c>
      <c r="D17" s="34">
        <f>N121</f>
        <v>-3.9750000000000072</v>
      </c>
      <c r="E17" s="34">
        <f>N127</f>
        <v>-176.02500000000001</v>
      </c>
      <c r="H17" s="34">
        <f>R121</f>
        <v>-3.9750000000000072</v>
      </c>
      <c r="I17" s="34">
        <f>R127</f>
        <v>-176.02500000000001</v>
      </c>
      <c r="V17">
        <v>0</v>
      </c>
    </row>
    <row r="18" spans="1:24" ht="15.6" x14ac:dyDescent="0.35">
      <c r="A18" s="29" t="s">
        <v>7</v>
      </c>
      <c r="B18" s="30">
        <v>0</v>
      </c>
      <c r="C18" s="21">
        <f t="shared" si="0"/>
        <v>0</v>
      </c>
      <c r="F18" s="82">
        <f>O142</f>
        <v>3.0627458044541856E-21</v>
      </c>
      <c r="G18" s="28">
        <f>O143</f>
        <v>-180</v>
      </c>
      <c r="H18" s="20"/>
      <c r="V18">
        <v>0</v>
      </c>
    </row>
    <row r="19" spans="1:24" ht="15.6" x14ac:dyDescent="0.35">
      <c r="A19" s="29" t="s">
        <v>9</v>
      </c>
      <c r="B19" s="30">
        <v>1E-4</v>
      </c>
      <c r="C19" s="21">
        <f t="shared" si="0"/>
        <v>1.7453292519943296E-6</v>
      </c>
      <c r="F19" s="83">
        <f>H142</f>
        <v>9.9997270181817333E-5</v>
      </c>
      <c r="G19" s="30">
        <f>H143</f>
        <v>-9.9997270181817333E-5</v>
      </c>
      <c r="V19">
        <v>0</v>
      </c>
    </row>
    <row r="20" spans="1:24" ht="16.2" thickBot="1" x14ac:dyDescent="0.4">
      <c r="A20" s="31" t="s">
        <v>10</v>
      </c>
      <c r="B20" s="32">
        <v>0</v>
      </c>
      <c r="C20" s="21">
        <f t="shared" si="0"/>
        <v>0</v>
      </c>
      <c r="F20" s="84">
        <f>K142</f>
        <v>3.0628651407932753E-21</v>
      </c>
      <c r="G20" s="32">
        <f>K143</f>
        <v>-180</v>
      </c>
      <c r="V20">
        <v>1</v>
      </c>
    </row>
    <row r="21" spans="1:24" x14ac:dyDescent="0.3">
      <c r="A21" s="1"/>
    </row>
    <row r="22" spans="1:24" ht="15.6" x14ac:dyDescent="0.35">
      <c r="C22" s="1" t="s">
        <v>11</v>
      </c>
      <c r="D22" s="1" t="s">
        <v>15</v>
      </c>
      <c r="E22" s="2" t="s">
        <v>4</v>
      </c>
      <c r="F22" s="2" t="s">
        <v>3</v>
      </c>
      <c r="G22" s="1" t="s">
        <v>12</v>
      </c>
      <c r="H22" s="1" t="s">
        <v>16</v>
      </c>
      <c r="N22" t="s">
        <v>20</v>
      </c>
      <c r="R22" t="s">
        <v>21</v>
      </c>
      <c r="V22" t="s">
        <v>14</v>
      </c>
      <c r="W22" s="14" t="s">
        <v>22</v>
      </c>
      <c r="X22" s="14" t="s">
        <v>63</v>
      </c>
    </row>
    <row r="23" spans="1:24" ht="15.6" x14ac:dyDescent="0.35">
      <c r="A23" t="s">
        <v>0</v>
      </c>
      <c r="C23">
        <v>-90</v>
      </c>
      <c r="D23" s="3">
        <f>RADIANS(C23)</f>
        <v>-1.5707963267948966</v>
      </c>
      <c r="E23">
        <v>0</v>
      </c>
      <c r="F23">
        <v>300</v>
      </c>
      <c r="G23" s="1">
        <f>B15</f>
        <v>0</v>
      </c>
      <c r="H23" s="6">
        <f>RADIANS(G23)</f>
        <v>0</v>
      </c>
      <c r="N23" s="90">
        <f>COS(H23)</f>
        <v>1</v>
      </c>
      <c r="O23" s="71">
        <f>-SIN(H23)*COS(D23)</f>
        <v>0</v>
      </c>
      <c r="P23" s="71">
        <f>SIN(H23)*SIN(D23)</f>
        <v>0</v>
      </c>
      <c r="Q23" s="91">
        <f>E23*COS(H23)</f>
        <v>0</v>
      </c>
      <c r="R23" s="92">
        <f t="array" ref="R23:U26">N23:Q26</f>
        <v>1</v>
      </c>
      <c r="S23" s="93">
        <v>0</v>
      </c>
      <c r="T23" s="93">
        <v>0</v>
      </c>
      <c r="U23" s="94">
        <v>0</v>
      </c>
      <c r="V23" s="18">
        <f>$V$17*R23+$V$18*S23+$V$19*T23+$V$20*U23</f>
        <v>0</v>
      </c>
      <c r="W23" s="21">
        <f>IF(W24=PI()/2,-ATAN2(S24,S23),IF(-W24=PI()/2,ATAN2(S24,S23),ATAN2(T25,S25)))</f>
        <v>-1.5707963267948966</v>
      </c>
      <c r="X23" s="20">
        <f>DEGREES(W23)</f>
        <v>-90</v>
      </c>
    </row>
    <row r="24" spans="1:24" x14ac:dyDescent="0.3">
      <c r="N24" s="90">
        <f>SIN(H23)</f>
        <v>0</v>
      </c>
      <c r="O24" s="71">
        <f>COS(H23)*COS(D23)</f>
        <v>6.1257422745431001E-17</v>
      </c>
      <c r="P24" s="71">
        <f>-COS(H23)*SIN(D23)</f>
        <v>1</v>
      </c>
      <c r="Q24" s="91">
        <f>E23*SIN(H23)</f>
        <v>0</v>
      </c>
      <c r="R24" s="92">
        <v>0</v>
      </c>
      <c r="S24" s="93">
        <v>6.1257422745431001E-17</v>
      </c>
      <c r="T24" s="93">
        <v>1</v>
      </c>
      <c r="U24" s="94">
        <v>0</v>
      </c>
      <c r="V24" s="18">
        <f>$V$17*R24+$V$19*S24+$V$18*T24+$V$20*U24</f>
        <v>0</v>
      </c>
      <c r="W24" s="21">
        <f>ATAN2(SQRT(R23^2+R24^2),-R25)</f>
        <v>0</v>
      </c>
      <c r="X24" s="20">
        <f>DEGREES(W24)</f>
        <v>0</v>
      </c>
    </row>
    <row r="25" spans="1:24" x14ac:dyDescent="0.3">
      <c r="N25" s="90">
        <v>0</v>
      </c>
      <c r="O25" s="71">
        <f>SIN(D23)</f>
        <v>-1</v>
      </c>
      <c r="P25" s="71">
        <f>COS(D23)</f>
        <v>6.1257422745431001E-17</v>
      </c>
      <c r="Q25" s="91">
        <f>F23</f>
        <v>300</v>
      </c>
      <c r="R25" s="92">
        <v>0</v>
      </c>
      <c r="S25" s="93">
        <v>-1</v>
      </c>
      <c r="T25" s="93">
        <v>6.1257422745431001E-17</v>
      </c>
      <c r="U25" s="94">
        <v>300</v>
      </c>
      <c r="V25" s="18">
        <f>$V$17*R25+$V$18*S25+$V$19*T25+$V$20*U25</f>
        <v>300</v>
      </c>
      <c r="W25" s="21">
        <f>IF(ABS(W24)=PI()/2,0,ATAN2(R23,R24))</f>
        <v>0</v>
      </c>
      <c r="X25" s="20">
        <f>DEGREES(W25)</f>
        <v>0</v>
      </c>
    </row>
    <row r="26" spans="1:24" x14ac:dyDescent="0.3">
      <c r="N26" s="90">
        <v>0</v>
      </c>
      <c r="O26" s="71">
        <v>0</v>
      </c>
      <c r="P26" s="71">
        <v>0</v>
      </c>
      <c r="Q26" s="91">
        <v>1</v>
      </c>
      <c r="R26" s="92">
        <v>0</v>
      </c>
      <c r="S26" s="93">
        <v>0</v>
      </c>
      <c r="T26" s="93">
        <v>0</v>
      </c>
      <c r="U26" s="94">
        <v>1</v>
      </c>
      <c r="V26" s="18">
        <f>$V$17*R26+$V$18*S26+$V$19*T26+$V$20*U26</f>
        <v>1</v>
      </c>
      <c r="W26" s="8"/>
    </row>
    <row r="27" spans="1:24" x14ac:dyDescent="0.3">
      <c r="V27" s="24"/>
    </row>
    <row r="28" spans="1:24" ht="15.6" x14ac:dyDescent="0.35">
      <c r="A28" t="s">
        <v>23</v>
      </c>
      <c r="C28">
        <v>0</v>
      </c>
      <c r="D28" s="3">
        <f t="shared" ref="D28" si="1">RADIANS(C28)</f>
        <v>0</v>
      </c>
      <c r="E28">
        <v>300</v>
      </c>
      <c r="F28">
        <v>0</v>
      </c>
      <c r="G28" s="1">
        <f>B16-90</f>
        <v>-86.177999999999997</v>
      </c>
      <c r="H28" s="6">
        <f>RADIANS(G28)</f>
        <v>-1.5040898427836733</v>
      </c>
      <c r="N28" s="88">
        <f>COS(H28)</f>
        <v>6.6657023764909631E-2</v>
      </c>
      <c r="O28" s="63">
        <f>-SIN(H28)*COS(D28)</f>
        <v>0.99777594738638808</v>
      </c>
      <c r="P28" s="63">
        <f>SIN(H28)*SIN(D28)</f>
        <v>0</v>
      </c>
      <c r="Q28" s="89">
        <f>E28*COS(H28)</f>
        <v>19.997107129472891</v>
      </c>
      <c r="R28" s="92">
        <f t="array" ref="R28:U31">MMULT(R23:U26,N28:Q31)</f>
        <v>6.6657023764909631E-2</v>
      </c>
      <c r="S28" s="93">
        <v>0.99777594738638808</v>
      </c>
      <c r="T28" s="93">
        <v>0</v>
      </c>
      <c r="U28" s="94">
        <v>19.997107129472891</v>
      </c>
      <c r="V28" s="18">
        <f>$V$17*R28+$V$18*S28+$V$19*T28+$V$20*U28</f>
        <v>19.997107129472891</v>
      </c>
      <c r="W28" s="21">
        <f>IF(W29=PI()/2,ATAN2(S29,S28),IF(-W29=PI()/2,-ATAN2(S29,S28),ATAN2(T30,S30)))</f>
        <v>-1.5707963267948957</v>
      </c>
      <c r="X28" s="20">
        <f>DEGREES(W28)</f>
        <v>-89.999999999999943</v>
      </c>
    </row>
    <row r="29" spans="1:24" x14ac:dyDescent="0.3">
      <c r="N29" s="88">
        <f>SIN(H28)</f>
        <v>-0.99777594738638808</v>
      </c>
      <c r="O29" s="63">
        <f>COS(H28)*COS(D28)</f>
        <v>6.6657023764909631E-2</v>
      </c>
      <c r="P29" s="63">
        <f>-COS(H28)*SIN(D28)</f>
        <v>0</v>
      </c>
      <c r="Q29" s="89">
        <f>E28*SIN(H28)</f>
        <v>-299.33278421591643</v>
      </c>
      <c r="R29" s="92">
        <v>-6.112118301427089E-17</v>
      </c>
      <c r="S29" s="93">
        <v>4.0832374837193101E-18</v>
      </c>
      <c r="T29" s="93">
        <v>1</v>
      </c>
      <c r="U29" s="94">
        <v>-1.8336354904281269E-14</v>
      </c>
      <c r="V29" s="18">
        <f>$V$17*R29+$V$19*S29+$V$18*T29+$V$20*U29</f>
        <v>-1.8336354904281269E-14</v>
      </c>
      <c r="W29" s="21">
        <f>ATAN2(SQRT(R28^2+R29^2),-R30)</f>
        <v>-1.5040898427836733</v>
      </c>
      <c r="X29" s="20">
        <f>DEGREES(W29)</f>
        <v>-86.177999999999997</v>
      </c>
    </row>
    <row r="30" spans="1:24" x14ac:dyDescent="0.3">
      <c r="N30" s="88">
        <v>0</v>
      </c>
      <c r="O30" s="63">
        <f>SIN(D28)</f>
        <v>0</v>
      </c>
      <c r="P30" s="63">
        <f>COS(D28)</f>
        <v>1</v>
      </c>
      <c r="Q30" s="89">
        <f>F28</f>
        <v>0</v>
      </c>
      <c r="R30" s="92">
        <v>0.99777594738638808</v>
      </c>
      <c r="S30" s="93">
        <v>-6.6657023764909631E-2</v>
      </c>
      <c r="T30" s="93">
        <v>6.1257422745431001E-17</v>
      </c>
      <c r="U30" s="94">
        <v>599.33278421591649</v>
      </c>
      <c r="V30" s="18">
        <f>$V$17*R30+$V$18*S30+$V$19*T30+$V$20*U30</f>
        <v>599.33278421591649</v>
      </c>
      <c r="W30" s="21">
        <f>IF(ABS(W29)=PI()/2,0,ATAN2(R28,R29))</f>
        <v>-9.1695037614996275E-16</v>
      </c>
      <c r="X30" s="20">
        <f>DEGREES(W30)</f>
        <v>-5.2537386576326164E-14</v>
      </c>
    </row>
    <row r="31" spans="1:24" x14ac:dyDescent="0.3">
      <c r="N31" s="88">
        <v>0</v>
      </c>
      <c r="O31" s="63">
        <v>0</v>
      </c>
      <c r="P31" s="63">
        <v>0</v>
      </c>
      <c r="Q31" s="89">
        <v>1</v>
      </c>
      <c r="R31" s="92">
        <v>0</v>
      </c>
      <c r="S31" s="93">
        <v>0</v>
      </c>
      <c r="T31" s="93">
        <v>0</v>
      </c>
      <c r="U31" s="94">
        <v>1</v>
      </c>
      <c r="V31" s="18">
        <f>$V$17*R31+$V$18*S31+$V$19*T31+$V$20*U31</f>
        <v>1</v>
      </c>
      <c r="W31" s="8"/>
    </row>
    <row r="32" spans="1:24" x14ac:dyDescent="0.3">
      <c r="V32" s="24"/>
    </row>
    <row r="33" spans="1:26" ht="15.6" x14ac:dyDescent="0.35">
      <c r="A33" t="s">
        <v>69</v>
      </c>
      <c r="C33">
        <v>-90</v>
      </c>
      <c r="D33" s="3">
        <f>RADIANS(C33)</f>
        <v>-1.5707963267948966</v>
      </c>
      <c r="E33">
        <v>0</v>
      </c>
      <c r="F33">
        <v>0</v>
      </c>
      <c r="G33" s="1">
        <f>B17</f>
        <v>-3.9750000000000001</v>
      </c>
      <c r="H33" s="6">
        <f>RADIANS(G33)</f>
        <v>-6.9376837766774599E-2</v>
      </c>
      <c r="N33" s="90">
        <f>COS(H33)</f>
        <v>0.99759439230133695</v>
      </c>
      <c r="O33" s="71">
        <f>-SIN(H33)*COS(D33)</f>
        <v>4.246437912005585E-18</v>
      </c>
      <c r="P33" s="71">
        <f>SIN(H33)*SIN(D33)</f>
        <v>6.9321197688198749E-2</v>
      </c>
      <c r="Q33" s="91">
        <f>E33*COS(H33)</f>
        <v>0</v>
      </c>
      <c r="R33" s="64">
        <f t="array" ref="R33:U36">MMULT(R28:U31,N33:Q36)</f>
        <v>-2.6703505819307971E-3</v>
      </c>
      <c r="S33" s="65">
        <v>6.125720433867714E-17</v>
      </c>
      <c r="T33" s="65">
        <v>0.99999643460752885</v>
      </c>
      <c r="U33" s="66">
        <v>19.997107129472891</v>
      </c>
      <c r="V33" s="18">
        <f>$V$17*R33+$V$18*S33+$V$19*T33+$V$20*U33</f>
        <v>19.997107129472891</v>
      </c>
      <c r="W33" s="21">
        <f>IF(W34=PI()/2,ATAN2(S34,S33),IF(-W34=PI()/2,-ATAN2(S34,S33),ATAN2(T35,S35)))</f>
        <v>-2.287858544280776E-14</v>
      </c>
      <c r="X33" s="20">
        <f>DEGREES(W33)</f>
        <v>-1.3108463871023282E-12</v>
      </c>
    </row>
    <row r="34" spans="1:26" x14ac:dyDescent="0.3">
      <c r="N34" s="90">
        <f>SIN(H33)</f>
        <v>-6.9321197688198749E-2</v>
      </c>
      <c r="O34" s="71">
        <f>COS(H33)*COS(D33)</f>
        <v>6.111006141767433E-17</v>
      </c>
      <c r="P34" s="71">
        <f>-COS(H33)*SIN(D33)</f>
        <v>0.99759439230133695</v>
      </c>
      <c r="Q34" s="91">
        <f>E33*SIN(H33)</f>
        <v>0</v>
      </c>
      <c r="R34" s="64">
        <v>-6.125720433867714E-17</v>
      </c>
      <c r="S34" s="65">
        <v>-1</v>
      </c>
      <c r="T34" s="65">
        <v>6.1093843950955162E-17</v>
      </c>
      <c r="U34" s="66">
        <v>-1.8336354904281269E-14</v>
      </c>
      <c r="V34" s="18">
        <f>$V$17*R34+$V$19*S34+$V$18*T34+$V$20*U34</f>
        <v>-1.8336354904281269E-14</v>
      </c>
      <c r="W34" s="21">
        <f>ATAN2(SQRT(R33^2+R34^2),-R35)</f>
        <v>-1.5681259730393453</v>
      </c>
      <c r="X34" s="20">
        <f>DEGREES(W34)</f>
        <v>-89.847000000000008</v>
      </c>
    </row>
    <row r="35" spans="1:26" x14ac:dyDescent="0.3">
      <c r="N35" s="90">
        <v>0</v>
      </c>
      <c r="O35" s="71">
        <f>SIN(D33)</f>
        <v>-1</v>
      </c>
      <c r="P35" s="71">
        <f>COS(D33)</f>
        <v>6.1257422745431001E-17</v>
      </c>
      <c r="Q35" s="91">
        <f>F33</f>
        <v>0</v>
      </c>
      <c r="R35" s="64">
        <v>0.99999643460752885</v>
      </c>
      <c r="S35" s="65">
        <v>-6.1093843950955162E-17</v>
      </c>
      <c r="T35" s="65">
        <v>2.6703505819307971E-3</v>
      </c>
      <c r="U35" s="66">
        <v>599.33278421591649</v>
      </c>
      <c r="V35" s="18">
        <f>$V$17*R35+$V$18*S35+$V$19*T35+$V$20*U35</f>
        <v>599.33278421591649</v>
      </c>
      <c r="W35" s="21">
        <f>IF(ABS(W34)=PI()/2,0,ATAN2(R33,R34))</f>
        <v>-3.14159265358977</v>
      </c>
      <c r="X35" s="20">
        <f>DEGREES(W35)</f>
        <v>-179.99999999999866</v>
      </c>
    </row>
    <row r="36" spans="1:26" x14ac:dyDescent="0.3">
      <c r="N36" s="90">
        <v>0</v>
      </c>
      <c r="O36" s="71">
        <v>0</v>
      </c>
      <c r="P36" s="71">
        <v>0</v>
      </c>
      <c r="Q36" s="91">
        <v>1</v>
      </c>
      <c r="R36" s="64">
        <v>0</v>
      </c>
      <c r="S36" s="65">
        <v>0</v>
      </c>
      <c r="T36" s="65">
        <v>0</v>
      </c>
      <c r="U36" s="66">
        <v>1</v>
      </c>
      <c r="V36" s="18">
        <f>$V$17*R36+$V$18*S36+$V$19*T36+$V$20*U36</f>
        <v>1</v>
      </c>
      <c r="W36" s="21"/>
      <c r="X36" s="20"/>
    </row>
    <row r="37" spans="1:26" x14ac:dyDescent="0.3">
      <c r="V37" s="24"/>
    </row>
    <row r="38" spans="1:26" ht="15.6" x14ac:dyDescent="0.35">
      <c r="A38" t="s">
        <v>70</v>
      </c>
      <c r="C38">
        <v>90</v>
      </c>
      <c r="D38" s="3">
        <f>RADIANS(C38)</f>
        <v>1.5707963267948966</v>
      </c>
      <c r="E38">
        <v>0</v>
      </c>
      <c r="F38">
        <v>200</v>
      </c>
      <c r="G38" s="1">
        <f>B18</f>
        <v>0</v>
      </c>
      <c r="H38" s="6">
        <f>RADIANS(G38)</f>
        <v>0</v>
      </c>
      <c r="N38" s="11">
        <f>COS(H38)</f>
        <v>1</v>
      </c>
      <c r="O38" s="12">
        <f>-SIN(H38)*COS(D38)</f>
        <v>0</v>
      </c>
      <c r="P38" s="12">
        <f>SIN(H38)*SIN(D38)</f>
        <v>0</v>
      </c>
      <c r="Q38" s="13">
        <f>E38*COS(H38)</f>
        <v>0</v>
      </c>
      <c r="R38" s="64">
        <f t="array" ref="R38:U41">MMULT(R33:U36,N38:Q41)</f>
        <v>-2.6703505819307971E-3</v>
      </c>
      <c r="S38" s="65">
        <v>0.99999643460752885</v>
      </c>
      <c r="T38" s="65">
        <v>0</v>
      </c>
      <c r="U38" s="66">
        <v>219.99639405097864</v>
      </c>
      <c r="V38" s="18">
        <f>$V$17*R38+$V$18*S38+$V$19*T38+$V$20*U38</f>
        <v>219.99639405097864</v>
      </c>
      <c r="W38" s="21">
        <f>IF(W39=PI()/2,ATAN2(S39,S38),IF(-W39=PI()/2,-ATAN2(S39,S38),ATAN2(T40,S40)))</f>
        <v>1.5707963267948737</v>
      </c>
      <c r="X38" s="20">
        <f>DEGREES(W38)</f>
        <v>89.999999999998693</v>
      </c>
    </row>
    <row r="39" spans="1:26" x14ac:dyDescent="0.3">
      <c r="N39" s="11">
        <f>SIN(H38)</f>
        <v>0</v>
      </c>
      <c r="O39" s="12">
        <f>COS(H38)*COS(D38)</f>
        <v>6.1257422745431001E-17</v>
      </c>
      <c r="P39" s="12">
        <f>-COS(H38)*SIN(D38)</f>
        <v>-1</v>
      </c>
      <c r="Q39" s="13">
        <f>E38*SIN(H38)</f>
        <v>0</v>
      </c>
      <c r="R39" s="64">
        <v>-6.125720433867714E-17</v>
      </c>
      <c r="S39" s="65">
        <v>-1.6357879447583803E-19</v>
      </c>
      <c r="T39" s="65">
        <v>1</v>
      </c>
      <c r="U39" s="66">
        <v>-6.1175861140902367E-15</v>
      </c>
      <c r="V39" s="18">
        <f>$V$17*R39+$V$19*S39+$V$18*T39+$V$20*U39</f>
        <v>-6.1175861140902367E-15</v>
      </c>
      <c r="W39" s="21">
        <f>ATAN2(SQRT(R38^2+R39^2),-R40)</f>
        <v>-1.5681259730393453</v>
      </c>
      <c r="X39" s="20">
        <f>DEGREES(W39)</f>
        <v>-89.847000000000008</v>
      </c>
    </row>
    <row r="40" spans="1:26" x14ac:dyDescent="0.3">
      <c r="N40" s="11">
        <v>0</v>
      </c>
      <c r="O40" s="12">
        <f>SIN(D38)</f>
        <v>1</v>
      </c>
      <c r="P40" s="12">
        <f>COS(D38)</f>
        <v>6.1257422745431001E-17</v>
      </c>
      <c r="Q40" s="13">
        <f>F38</f>
        <v>200</v>
      </c>
      <c r="R40" s="64">
        <v>0.99999643460752885</v>
      </c>
      <c r="S40" s="65">
        <v>2.6703505819307971E-3</v>
      </c>
      <c r="T40" s="65">
        <v>6.1257422745431001E-17</v>
      </c>
      <c r="U40" s="66">
        <v>599.86685433230264</v>
      </c>
      <c r="V40" s="18">
        <f>$V$17*R40+$V$18*S40+$V$19*T40+$V$20*U40</f>
        <v>599.86685433230264</v>
      </c>
      <c r="W40" s="21">
        <f>IF(ABS(W39)=PI()/2,0,ATAN2(R38,R39))</f>
        <v>-3.14159265358977</v>
      </c>
      <c r="X40" s="20">
        <f>DEGREES(W40)</f>
        <v>-179.99999999999866</v>
      </c>
    </row>
    <row r="41" spans="1:26" x14ac:dyDescent="0.3">
      <c r="N41" s="11">
        <v>0</v>
      </c>
      <c r="O41" s="12">
        <v>0</v>
      </c>
      <c r="P41" s="12">
        <v>0</v>
      </c>
      <c r="Q41" s="13">
        <v>1</v>
      </c>
      <c r="R41" s="64">
        <v>0</v>
      </c>
      <c r="S41" s="65">
        <v>0</v>
      </c>
      <c r="T41" s="65">
        <v>0</v>
      </c>
      <c r="U41" s="66">
        <v>1</v>
      </c>
      <c r="V41" s="10">
        <f>$V$17*R41+$V$18*S41+$V$19*T41+$V$20*U41</f>
        <v>1</v>
      </c>
      <c r="W41" s="8"/>
      <c r="X41" s="20"/>
    </row>
    <row r="43" spans="1:26" ht="15.6" x14ac:dyDescent="0.35">
      <c r="A43" t="s">
        <v>24</v>
      </c>
      <c r="C43">
        <v>-90</v>
      </c>
      <c r="D43" s="3">
        <f>RADIANS(C43)</f>
        <v>-1.5707963267948966</v>
      </c>
      <c r="E43">
        <v>0</v>
      </c>
      <c r="F43">
        <v>0</v>
      </c>
      <c r="G43" s="103">
        <f>B19</f>
        <v>1E-4</v>
      </c>
      <c r="H43" s="6">
        <f>RADIANS(G43)</f>
        <v>1.7453292519943296E-6</v>
      </c>
      <c r="N43" s="11">
        <f>COS(H43)</f>
        <v>0.99999999999847689</v>
      </c>
      <c r="O43" s="12">
        <f>-SIN(H43)*COS(D43)</f>
        <v>-1.0691437181932925E-22</v>
      </c>
      <c r="P43" s="12">
        <f>SIN(H43)*SIN(D43)</f>
        <v>-1.7453292519934436E-6</v>
      </c>
      <c r="Q43" s="13">
        <f>E43*COS(H43)</f>
        <v>0</v>
      </c>
      <c r="R43" s="64">
        <f t="array" ref="R43:U46">MMULT(R38:U41,N43:Q46)</f>
        <v>-2.6686052588975203E-3</v>
      </c>
      <c r="S43" s="65">
        <v>6.1257204624082689E-17</v>
      </c>
      <c r="T43" s="65">
        <v>0.99999643926664672</v>
      </c>
      <c r="U43" s="66">
        <v>219.99639405097864</v>
      </c>
      <c r="V43" s="18">
        <f>$V$17*R43+$V$18*S43+$V$19*T43+$V$20*U43</f>
        <v>219.99639405097864</v>
      </c>
      <c r="W43" s="21">
        <f>IF(W44=PI()/2,ATAN2(S44,S43),IF(-W44=PI()/2,-ATAN2(S44,S43),ATAN2(T45,S45)))</f>
        <v>-2.2893588574499682E-14</v>
      </c>
      <c r="X43" s="20">
        <f>DEGREES(W43)</f>
        <v>-1.3117060032277545E-12</v>
      </c>
    </row>
    <row r="44" spans="1:26" x14ac:dyDescent="0.3">
      <c r="N44" s="11">
        <f>SIN(H43)</f>
        <v>1.7453292519934436E-6</v>
      </c>
      <c r="O44" s="12">
        <f>COS(H43)*COS(D43)</f>
        <v>6.1257422745337693E-17</v>
      </c>
      <c r="P44" s="12">
        <f>-COS(H43)*SIN(D43)</f>
        <v>0.99999999999847689</v>
      </c>
      <c r="Q44" s="13">
        <f>E43*SIN(H43)</f>
        <v>0</v>
      </c>
      <c r="R44" s="64">
        <v>-6.1257204624082689E-17</v>
      </c>
      <c r="S44" s="65">
        <v>-1</v>
      </c>
      <c r="T44" s="65">
        <v>6.1093950864946036E-17</v>
      </c>
      <c r="U44" s="66">
        <v>-6.1175861140902367E-15</v>
      </c>
      <c r="V44" s="18">
        <f>$V$17*R44+$V$19*S44+$V$18*T44+$V$20*U44</f>
        <v>-6.1175861140902367E-15</v>
      </c>
      <c r="W44" s="21">
        <f>ATAN2(SQRT(R43^2+R44^2),-R45)</f>
        <v>-1.5681277183685973</v>
      </c>
      <c r="X44" s="20">
        <f>DEGREES(W44)</f>
        <v>-89.847100000000012</v>
      </c>
    </row>
    <row r="45" spans="1:26" x14ac:dyDescent="0.3">
      <c r="N45" s="11">
        <v>0</v>
      </c>
      <c r="O45" s="12">
        <f>SIN(D43)</f>
        <v>-1</v>
      </c>
      <c r="P45" s="12">
        <f>COS(D43)</f>
        <v>6.1257422745431001E-17</v>
      </c>
      <c r="Q45" s="13">
        <f>F43</f>
        <v>0</v>
      </c>
      <c r="R45" s="64">
        <v>0.99999643926664672</v>
      </c>
      <c r="S45" s="65">
        <v>-6.1093950864946036E-17</v>
      </c>
      <c r="T45" s="65">
        <v>2.6686052588975203E-3</v>
      </c>
      <c r="U45" s="66">
        <v>599.86685433230264</v>
      </c>
      <c r="V45" s="18">
        <f>$V$17*R45+$V$18*S45+$V$19*T45+$V$20*U45</f>
        <v>599.86685433230264</v>
      </c>
      <c r="W45" s="21">
        <f>IF(ABS(W44)=PI()/2,0,ATAN2(R43,R44))</f>
        <v>-3.14159265358977</v>
      </c>
      <c r="X45" s="20">
        <f>DEGREES(W45)</f>
        <v>-179.99999999999866</v>
      </c>
    </row>
    <row r="46" spans="1:26" x14ac:dyDescent="0.3">
      <c r="N46" s="11">
        <v>0</v>
      </c>
      <c r="O46" s="12">
        <v>0</v>
      </c>
      <c r="P46" s="12">
        <v>0</v>
      </c>
      <c r="Q46" s="13">
        <v>1</v>
      </c>
      <c r="R46" s="64">
        <v>0</v>
      </c>
      <c r="S46" s="65">
        <v>0</v>
      </c>
      <c r="T46" s="65">
        <v>0</v>
      </c>
      <c r="U46" s="66">
        <v>1</v>
      </c>
      <c r="V46" s="10">
        <f>$V$17*R46+$V$18*S46+$V$19*T46+$V$20*U46</f>
        <v>1</v>
      </c>
      <c r="W46" s="8"/>
      <c r="X46" s="20"/>
    </row>
    <row r="48" spans="1:26" ht="15.6" x14ac:dyDescent="0.35">
      <c r="A48" t="s">
        <v>25</v>
      </c>
      <c r="C48">
        <v>0</v>
      </c>
      <c r="D48" s="3">
        <f>RADIANS(C48)</f>
        <v>0</v>
      </c>
      <c r="E48">
        <v>0</v>
      </c>
      <c r="F48">
        <v>50</v>
      </c>
      <c r="G48" s="102">
        <f>B20</f>
        <v>0</v>
      </c>
      <c r="H48" s="6">
        <f>RADIANS(G48)</f>
        <v>0</v>
      </c>
      <c r="N48" s="11">
        <f>COS(H48)</f>
        <v>1</v>
      </c>
      <c r="O48" s="12">
        <f>-SIN(H48)*COS(D48)</f>
        <v>0</v>
      </c>
      <c r="P48" s="12">
        <f>SIN(H48)*SIN(D48)</f>
        <v>0</v>
      </c>
      <c r="Q48" s="13">
        <f>E48*COS(H48)</f>
        <v>0</v>
      </c>
      <c r="R48" s="100">
        <f t="array" ref="R48:U51">MMULT(R43:U46,N48:Q51)</f>
        <v>-2.6686052588975203E-3</v>
      </c>
      <c r="S48" s="101">
        <v>6.1257204624082689E-17</v>
      </c>
      <c r="T48" s="101">
        <v>0.99999643926664672</v>
      </c>
      <c r="U48" s="94">
        <v>269.99621601431096</v>
      </c>
      <c r="V48" s="18">
        <f>$V$17*R48+$V$18*S48+$V$19*T48+$V$20*U48</f>
        <v>269.99621601431096</v>
      </c>
      <c r="W48" s="95">
        <f>IF(W49=PI()/2,ATAN2(S49,S48),IF(-W49=PI()/2,-ATAN2(S49,S48),ATAN2(T50,S50)))</f>
        <v>-2.2893588574499682E-14</v>
      </c>
      <c r="X48" s="20">
        <f>DEGREES(W48)</f>
        <v>-1.3117060032277545E-12</v>
      </c>
      <c r="Y48" s="1" t="s">
        <v>71</v>
      </c>
      <c r="Z48" t="s">
        <v>72</v>
      </c>
    </row>
    <row r="49" spans="1:26" x14ac:dyDescent="0.3">
      <c r="N49" s="11">
        <f>SIN(H48)</f>
        <v>0</v>
      </c>
      <c r="O49" s="12">
        <f>COS(H48)*COS(D48)</f>
        <v>1</v>
      </c>
      <c r="P49" s="12">
        <f>-COS(H48)*SIN(D48)</f>
        <v>0</v>
      </c>
      <c r="Q49" s="13">
        <f>E48*SIN(H48)</f>
        <v>0</v>
      </c>
      <c r="R49" s="100">
        <v>-6.1257204624082689E-17</v>
      </c>
      <c r="S49" s="101">
        <v>-1</v>
      </c>
      <c r="T49" s="101">
        <v>6.1093950864946036E-17</v>
      </c>
      <c r="U49" s="94">
        <v>-3.0628885708429348E-15</v>
      </c>
      <c r="V49" s="18">
        <f>$V$17*R49+$V$19*S49+$V$18*T49+$V$20*U49</f>
        <v>-3.0628885708429348E-15</v>
      </c>
      <c r="W49" s="95">
        <f>ATAN2(SQRT(R48^2+R49^2),-R50)</f>
        <v>-1.5681277183685973</v>
      </c>
      <c r="X49" s="20">
        <f>DEGREES(W49)</f>
        <v>-89.847100000000012</v>
      </c>
      <c r="Y49" s="1" t="s">
        <v>73</v>
      </c>
      <c r="Z49" t="s">
        <v>74</v>
      </c>
    </row>
    <row r="50" spans="1:26" x14ac:dyDescent="0.3">
      <c r="N50" s="11">
        <v>0</v>
      </c>
      <c r="O50" s="12">
        <f>SIN(D48)</f>
        <v>0</v>
      </c>
      <c r="P50" s="12">
        <f>COS(D48)</f>
        <v>1</v>
      </c>
      <c r="Q50" s="13">
        <f>F48</f>
        <v>50</v>
      </c>
      <c r="R50" s="100">
        <v>0.99999643926664672</v>
      </c>
      <c r="S50" s="101">
        <v>-6.1093950864946036E-17</v>
      </c>
      <c r="T50" s="101">
        <v>2.6686052588975203E-3</v>
      </c>
      <c r="U50" s="94">
        <v>600.00028459524754</v>
      </c>
      <c r="V50" s="18">
        <f>$V$17*R50+$V$18*S50+$V$19*T50+$V$20*U50</f>
        <v>600.00028459524754</v>
      </c>
      <c r="W50" s="95">
        <f>IF(ABS(W49)=PI()/2,0,ATAN2(R48,R49))</f>
        <v>-3.14159265358977</v>
      </c>
      <c r="X50" s="20">
        <f>DEGREES(W50)</f>
        <v>-179.99999999999866</v>
      </c>
      <c r="Y50" s="1" t="s">
        <v>76</v>
      </c>
      <c r="Z50" t="s">
        <v>75</v>
      </c>
    </row>
    <row r="51" spans="1:26" x14ac:dyDescent="0.3">
      <c r="N51" s="11">
        <v>0</v>
      </c>
      <c r="O51" s="12">
        <v>0</v>
      </c>
      <c r="P51" s="12">
        <v>0</v>
      </c>
      <c r="Q51" s="13">
        <v>1</v>
      </c>
      <c r="R51" s="100">
        <v>0</v>
      </c>
      <c r="S51" s="101">
        <v>0</v>
      </c>
      <c r="T51" s="101">
        <v>0</v>
      </c>
      <c r="U51" s="94">
        <v>1</v>
      </c>
      <c r="V51" s="18">
        <f>$V$17*R51+$V$18*S51+$V$19*T51+$V$20*U51</f>
        <v>1</v>
      </c>
      <c r="W51" s="8"/>
    </row>
    <row r="52" spans="1:26" x14ac:dyDescent="0.3">
      <c r="N52" s="12"/>
      <c r="O52" s="12"/>
      <c r="P52" s="12"/>
      <c r="Q52" s="12"/>
      <c r="R52" s="93"/>
      <c r="S52" s="93"/>
      <c r="T52" s="93"/>
      <c r="U52" s="93"/>
      <c r="V52" s="18"/>
      <c r="W52" s="8"/>
    </row>
    <row r="53" spans="1:26" x14ac:dyDescent="0.3">
      <c r="A53" s="15" t="s">
        <v>26</v>
      </c>
    </row>
    <row r="54" spans="1:26" x14ac:dyDescent="0.3">
      <c r="A54" s="15"/>
    </row>
    <row r="55" spans="1:26" x14ac:dyDescent="0.3">
      <c r="C55" t="s">
        <v>13</v>
      </c>
      <c r="D55" t="s">
        <v>64</v>
      </c>
      <c r="G55" t="s">
        <v>62</v>
      </c>
    </row>
    <row r="56" spans="1:26" x14ac:dyDescent="0.3">
      <c r="A56" t="s">
        <v>27</v>
      </c>
      <c r="C56" s="7">
        <f t="array" ref="C56:C59">V48:V51</f>
        <v>269.99621601431096</v>
      </c>
      <c r="D56" s="21">
        <f t="array" ref="D56:D58">W48:W50</f>
        <v>-2.2893588574499682E-14</v>
      </c>
      <c r="E56" s="20">
        <f>DEGREES(D56)</f>
        <v>-1.3117060032277545E-12</v>
      </c>
      <c r="F56" s="96">
        <f>D56+PI()</f>
        <v>3.14159265358977</v>
      </c>
      <c r="G56" s="21">
        <f>IF(F56&gt;PI(),F56-2*PI(),F56)</f>
        <v>3.14159265358977</v>
      </c>
      <c r="H56" s="20">
        <f>DEGREES(G56)</f>
        <v>179.99999999999866</v>
      </c>
    </row>
    <row r="57" spans="1:26" x14ac:dyDescent="0.3">
      <c r="C57" s="7">
        <v>-3.0628885708429348E-15</v>
      </c>
      <c r="D57" s="21">
        <v>-1.5681277183685973</v>
      </c>
      <c r="E57" s="20">
        <f>DEGREES(D57)</f>
        <v>-89.847100000000012</v>
      </c>
      <c r="F57" s="96">
        <f>D57+PI()/2</f>
        <v>2.6686084262992349E-3</v>
      </c>
      <c r="G57" s="21">
        <f>IF(F57&gt;PI(),F57-2*PI(),F57)</f>
        <v>2.6686084262992349E-3</v>
      </c>
      <c r="H57" s="20">
        <f>DEGREES(G57)</f>
        <v>0.15289999999999457</v>
      </c>
    </row>
    <row r="58" spans="1:26" x14ac:dyDescent="0.3">
      <c r="C58" s="7">
        <v>600.00028459524754</v>
      </c>
      <c r="D58" s="21">
        <v>-3.14159265358977</v>
      </c>
      <c r="E58" s="20">
        <f>DEGREES(D58)</f>
        <v>-179.99999999999866</v>
      </c>
      <c r="F58" s="96">
        <f>D58</f>
        <v>-3.14159265358977</v>
      </c>
      <c r="G58" s="21">
        <f>IF(F58&gt;PI(),F58-2*PI(),F58)</f>
        <v>-3.14159265358977</v>
      </c>
      <c r="H58" s="20">
        <f>DEGREES(G58)</f>
        <v>-179.99999999999866</v>
      </c>
      <c r="P58" s="95"/>
    </row>
    <row r="59" spans="1:26" x14ac:dyDescent="0.3">
      <c r="C59" s="7">
        <v>1</v>
      </c>
    </row>
    <row r="60" spans="1:26" x14ac:dyDescent="0.3">
      <c r="C60" s="7"/>
      <c r="O60" s="7"/>
    </row>
    <row r="61" spans="1:26" x14ac:dyDescent="0.3">
      <c r="A61" t="s">
        <v>66</v>
      </c>
      <c r="F61" t="s">
        <v>64</v>
      </c>
      <c r="I61" t="s">
        <v>62</v>
      </c>
    </row>
    <row r="62" spans="1:26" x14ac:dyDescent="0.3">
      <c r="B62" s="113">
        <f>COS(D58)*COS(D57)</f>
        <v>-2.6686052588975342E-3</v>
      </c>
      <c r="C62" s="113">
        <f>SIN(D56)*SIN(D57)*COS(D58)-COS(D56)*SIN(D58)</f>
        <v>3.2164670115885147E-16</v>
      </c>
      <c r="D62" s="113">
        <f>COS(D56)*SIN(D57)*COS(D58)+SIN(D56)*SIN(D58)</f>
        <v>0.99999643926664672</v>
      </c>
      <c r="E62" s="98">
        <f>C56</f>
        <v>269.99621601431096</v>
      </c>
      <c r="F62" s="95">
        <f>IF(F63=PI()/2,ATAN2(C63,C62),IF(-F63=PI()/2,-ATAN2(C63,C62),ATAN2(D64,C64)))</f>
        <v>-2.2893588574499682E-14</v>
      </c>
      <c r="G62" s="7">
        <f>DEGREES(F62)</f>
        <v>-1.3117060032277545E-12</v>
      </c>
      <c r="H62" s="96">
        <f>F62+PI()</f>
        <v>3.14159265358977</v>
      </c>
      <c r="I62" s="21">
        <f>IF(H62&gt;PI(),H62-2*PI(),H62)</f>
        <v>3.14159265358977</v>
      </c>
      <c r="J62" s="20">
        <f>DEGREES(I62)</f>
        <v>179.99999999999866</v>
      </c>
    </row>
    <row r="63" spans="1:26" x14ac:dyDescent="0.3">
      <c r="B63" s="113">
        <f>COS(D57)*SIN(D58)</f>
        <v>-6.1952081403897378E-17</v>
      </c>
      <c r="C63" s="113">
        <f>SIN(D56)*SIN(D57)*SIN(D58)+COS(D56)*COS(D58)</f>
        <v>-1</v>
      </c>
      <c r="D63" s="113">
        <f>COS(D56)*SIN(D57)*SIN(D58)-SIN(D56)*COS(D58)</f>
        <v>3.2148252022214973E-16</v>
      </c>
      <c r="E63" s="98">
        <f>C57</f>
        <v>-3.0628885708429348E-15</v>
      </c>
      <c r="F63" s="95">
        <f>ATAN2(SQRT(B62^2+B63^2),-B64)</f>
        <v>-1.5681277183685973</v>
      </c>
      <c r="G63" s="7">
        <f>DEGREES(F63)</f>
        <v>-89.847100000000012</v>
      </c>
      <c r="H63" s="96">
        <f>F63+PI()/2</f>
        <v>2.6686084262992349E-3</v>
      </c>
      <c r="I63" s="21">
        <f>IF(H63&gt;PI(),H63-2*PI(),H63)</f>
        <v>2.6686084262992349E-3</v>
      </c>
      <c r="J63" s="20">
        <f>DEGREES(I63)</f>
        <v>0.15289999999999457</v>
      </c>
    </row>
    <row r="64" spans="1:26" x14ac:dyDescent="0.3">
      <c r="B64" s="113">
        <f>-SIN(D57)</f>
        <v>0.99999643926664672</v>
      </c>
      <c r="C64" s="113">
        <f>SIN(D56)*COS(D57)</f>
        <v>-6.1093950864946356E-17</v>
      </c>
      <c r="D64" s="113">
        <f>COS(D56)*COS(D57)</f>
        <v>2.6686052588975342E-3</v>
      </c>
      <c r="E64" s="98">
        <f>C58</f>
        <v>600.00028459524754</v>
      </c>
      <c r="F64" s="95">
        <f>IF(ABS(F63)=PI()/2,0,ATAN2(B62,B63))</f>
        <v>-3.14159265358977</v>
      </c>
      <c r="G64" s="7">
        <f>DEGREES(F64)</f>
        <v>-179.99999999999866</v>
      </c>
      <c r="H64" s="96">
        <f>F64</f>
        <v>-3.14159265358977</v>
      </c>
      <c r="I64" s="21">
        <f>IF(H64&gt;PI(),H64-2*PI(),H64)</f>
        <v>-3.14159265358977</v>
      </c>
      <c r="J64" s="20">
        <f>DEGREES(I64)</f>
        <v>-179.99999999999866</v>
      </c>
    </row>
    <row r="65" spans="1:12" x14ac:dyDescent="0.3">
      <c r="B65" s="98">
        <v>0</v>
      </c>
      <c r="C65" s="98">
        <v>0</v>
      </c>
      <c r="D65" s="98">
        <v>0</v>
      </c>
      <c r="E65" s="98">
        <v>1</v>
      </c>
    </row>
    <row r="66" spans="1:12" x14ac:dyDescent="0.3">
      <c r="A66" s="15" t="s">
        <v>29</v>
      </c>
    </row>
    <row r="67" spans="1:12" ht="15.6" x14ac:dyDescent="0.35">
      <c r="A67" s="9" t="s">
        <v>36</v>
      </c>
    </row>
    <row r="69" spans="1:12" ht="15.6" x14ac:dyDescent="0.35">
      <c r="A69" t="s">
        <v>32</v>
      </c>
      <c r="B69" s="16"/>
      <c r="F69">
        <v>0</v>
      </c>
      <c r="I69" s="7">
        <f t="array" ref="I69:L72">MMULT(B62:E65,F69:F72)</f>
        <v>219.99639405097861</v>
      </c>
      <c r="J69" s="7">
        <v>219.99639405097861</v>
      </c>
      <c r="K69" s="7">
        <v>219.99639405097861</v>
      </c>
      <c r="L69" s="7">
        <v>219.99639405097861</v>
      </c>
    </row>
    <row r="70" spans="1:12" x14ac:dyDescent="0.3">
      <c r="F70">
        <v>0</v>
      </c>
      <c r="I70" s="7">
        <v>-1.9137014581950423E-14</v>
      </c>
      <c r="J70" s="7">
        <v>-1.9137014581950423E-14</v>
      </c>
      <c r="K70" s="7">
        <v>-1.9137014581950423E-14</v>
      </c>
      <c r="L70" s="7">
        <v>-1.9137014581950423E-14</v>
      </c>
    </row>
    <row r="71" spans="1:12" x14ac:dyDescent="0.3">
      <c r="F71">
        <f>-F48</f>
        <v>-50</v>
      </c>
      <c r="I71" s="7">
        <v>599.86685433230264</v>
      </c>
      <c r="J71" s="7">
        <v>599.86685433230264</v>
      </c>
      <c r="K71" s="7">
        <v>599.86685433230264</v>
      </c>
      <c r="L71" s="7">
        <v>599.86685433230264</v>
      </c>
    </row>
    <row r="72" spans="1:12" x14ac:dyDescent="0.3">
      <c r="F72">
        <v>1</v>
      </c>
      <c r="I72" s="7">
        <v>1</v>
      </c>
      <c r="J72" s="7">
        <v>1</v>
      </c>
      <c r="K72" s="7">
        <v>1</v>
      </c>
      <c r="L72" s="7">
        <v>1</v>
      </c>
    </row>
    <row r="73" spans="1:12" ht="15.6" x14ac:dyDescent="0.35">
      <c r="A73" t="s">
        <v>35</v>
      </c>
    </row>
    <row r="74" spans="1:12" ht="15.6" x14ac:dyDescent="0.35">
      <c r="A74" t="s">
        <v>33</v>
      </c>
      <c r="B74" s="17" t="s">
        <v>34</v>
      </c>
      <c r="C74" s="5" t="s">
        <v>31</v>
      </c>
    </row>
    <row r="76" spans="1:12" x14ac:dyDescent="0.3">
      <c r="A76" s="5"/>
      <c r="B76" s="8"/>
      <c r="C76" s="8"/>
      <c r="D76" s="8"/>
      <c r="E76" s="8"/>
    </row>
    <row r="77" spans="1:12" x14ac:dyDescent="0.3">
      <c r="B77" s="8"/>
      <c r="C77" s="8"/>
      <c r="D77" s="8"/>
      <c r="E77" s="8"/>
    </row>
    <row r="78" spans="1:12" x14ac:dyDescent="0.3">
      <c r="B78" s="8"/>
      <c r="C78" s="8"/>
      <c r="D78" s="8"/>
      <c r="E78" s="8"/>
    </row>
    <row r="79" spans="1:12" x14ac:dyDescent="0.3">
      <c r="B79" s="8"/>
      <c r="C79" s="8"/>
      <c r="D79" s="8"/>
      <c r="E79" s="8"/>
    </row>
    <row r="80" spans="1:12" ht="15.6" x14ac:dyDescent="0.35">
      <c r="A80" s="15" t="s">
        <v>37</v>
      </c>
      <c r="B80" s="8"/>
      <c r="C80" s="8"/>
      <c r="D80" s="8"/>
      <c r="E80" s="8"/>
    </row>
    <row r="81" spans="1:12" x14ac:dyDescent="0.3">
      <c r="A81" s="9" t="s">
        <v>39</v>
      </c>
    </row>
    <row r="82" spans="1:12" x14ac:dyDescent="0.3">
      <c r="A82" s="9"/>
    </row>
    <row r="83" spans="1:12" x14ac:dyDescent="0.3">
      <c r="B83" s="62">
        <f t="array" ref="B83:B86">L69:L72</f>
        <v>219.99639405097861</v>
      </c>
      <c r="E83" s="5" t="s">
        <v>34</v>
      </c>
      <c r="H83" s="21">
        <f>ATAN2(B83,B84)</f>
        <v>-8.6987855707834476E-17</v>
      </c>
      <c r="I83" s="23">
        <f>DEGREES(H83)</f>
        <v>-4.9840370009519036E-15</v>
      </c>
    </row>
    <row r="84" spans="1:12" x14ac:dyDescent="0.3">
      <c r="A84" t="s">
        <v>30</v>
      </c>
      <c r="B84" s="62">
        <v>-1.9137014581950423E-14</v>
      </c>
      <c r="H84" s="21">
        <f>ATAN2(-B83,-B84)</f>
        <v>3.1415926535897931</v>
      </c>
      <c r="I84" s="23">
        <f>DEGREES(H84)</f>
        <v>180</v>
      </c>
    </row>
    <row r="85" spans="1:12" x14ac:dyDescent="0.3">
      <c r="B85" s="62">
        <v>599.86685433230264</v>
      </c>
      <c r="E85" t="s">
        <v>40</v>
      </c>
      <c r="G85" s="21">
        <f>IF(B87=1,H83,H84)</f>
        <v>-8.6987855707834476E-17</v>
      </c>
      <c r="H85" s="23">
        <f>DEGREES(G85)</f>
        <v>-4.9840370009519036E-15</v>
      </c>
      <c r="I85" s="15" t="str">
        <f>IF(ABS(H85-B15)&lt; 0.001,"OK","NOT OK!")</f>
        <v>OK</v>
      </c>
    </row>
    <row r="86" spans="1:12" x14ac:dyDescent="0.3">
      <c r="B86">
        <v>1</v>
      </c>
      <c r="E86" t="s">
        <v>41</v>
      </c>
      <c r="G86" s="21">
        <f>IF(B87=-1,H83,H84)</f>
        <v>3.1415926535897931</v>
      </c>
      <c r="H86" s="23">
        <f>DEGREES(G86)</f>
        <v>180</v>
      </c>
      <c r="I86" s="15" t="str">
        <f>IF(ABS(H86-B15)&lt; 0.001,"OK","NOT OK!")</f>
        <v>NOT OK!</v>
      </c>
    </row>
    <row r="87" spans="1:12" x14ac:dyDescent="0.3">
      <c r="A87" t="s">
        <v>43</v>
      </c>
      <c r="B87">
        <f>SIGN(B83)</f>
        <v>1</v>
      </c>
    </row>
    <row r="89" spans="1:12" ht="16.2" x14ac:dyDescent="0.35">
      <c r="A89" s="15" t="s">
        <v>44</v>
      </c>
    </row>
    <row r="91" spans="1:12" x14ac:dyDescent="0.3">
      <c r="A91" s="9" t="s">
        <v>58</v>
      </c>
    </row>
    <row r="96" spans="1:12" x14ac:dyDescent="0.3">
      <c r="J96" t="s">
        <v>45</v>
      </c>
      <c r="K96">
        <v>0</v>
      </c>
      <c r="L96">
        <f>E112*B87</f>
        <v>219.99639405097861</v>
      </c>
    </row>
    <row r="97" spans="1:14" x14ac:dyDescent="0.3">
      <c r="K97">
        <v>0</v>
      </c>
      <c r="L97" s="4">
        <f>E110</f>
        <v>299.86685433230264</v>
      </c>
    </row>
    <row r="109" spans="1:14" x14ac:dyDescent="0.3">
      <c r="A109" s="15"/>
    </row>
    <row r="110" spans="1:14" x14ac:dyDescent="0.3">
      <c r="E110" s="19">
        <f>B85-F23</f>
        <v>299.86685433230264</v>
      </c>
      <c r="M110" s="95">
        <f>ACOS((E117*E117-E116*E116-E115*E115)/(-2*E116*E115))</f>
        <v>0.56624624237622934</v>
      </c>
      <c r="N110" s="20">
        <f>DEGREES(M110)</f>
        <v>32.443519853299811</v>
      </c>
    </row>
    <row r="112" spans="1:14" x14ac:dyDescent="0.3">
      <c r="E112" s="4">
        <f>SQRT(B83*B83+B84*B84)</f>
        <v>219.99639405097861</v>
      </c>
      <c r="I112" s="19"/>
      <c r="J112" s="19"/>
      <c r="M112" s="114">
        <f>ACOS((E115*E115-E116*E116-E117*E117)/(-2*E116*E117))</f>
        <v>1.6401731645616713</v>
      </c>
      <c r="N112" s="22">
        <f>DEGREES(M112)</f>
        <v>93.975000000000009</v>
      </c>
    </row>
    <row r="113" spans="1:19" x14ac:dyDescent="0.3">
      <c r="E113" s="4"/>
      <c r="I113" s="19"/>
      <c r="J113" s="19"/>
      <c r="M113" s="21"/>
      <c r="N113" s="22"/>
    </row>
    <row r="114" spans="1:19" ht="16.2" thickBot="1" x14ac:dyDescent="0.35">
      <c r="M114" s="35" t="s">
        <v>48</v>
      </c>
      <c r="Q114" s="35" t="s">
        <v>49</v>
      </c>
    </row>
    <row r="115" spans="1:19" x14ac:dyDescent="0.3">
      <c r="B115" t="s">
        <v>56</v>
      </c>
      <c r="E115" s="7">
        <f>SQRT(E112*E112+E110*E110)</f>
        <v>371.91201072644031</v>
      </c>
      <c r="L115" t="s">
        <v>68</v>
      </c>
      <c r="M115" s="36">
        <f>IF(B87=1,1,-1)</f>
        <v>1</v>
      </c>
      <c r="N115" s="37"/>
      <c r="O115" s="37"/>
      <c r="P115" s="37"/>
      <c r="Q115" s="37">
        <f>IF(B87=1,-1,1)</f>
        <v>-1</v>
      </c>
      <c r="R115" s="37"/>
      <c r="S115" s="38"/>
    </row>
    <row r="116" spans="1:19" x14ac:dyDescent="0.3">
      <c r="B116" t="s">
        <v>54</v>
      </c>
      <c r="E116" s="7">
        <f>E28</f>
        <v>300</v>
      </c>
      <c r="F116" s="5"/>
      <c r="L116" s="9" t="s">
        <v>57</v>
      </c>
      <c r="M116" s="118">
        <f>ATAN2(M115*E112,E110)</f>
        <v>0.93784360040744397</v>
      </c>
      <c r="N116" s="39">
        <f>DEGREES(M116)</f>
        <v>53.734480146700193</v>
      </c>
      <c r="O116" s="40"/>
      <c r="P116" s="40"/>
      <c r="Q116" s="41">
        <f>ATAN2(Q115*E112,E110)</f>
        <v>2.2037490531823494</v>
      </c>
      <c r="R116" s="39">
        <f>DEGREES(Q116)</f>
        <v>126.26551985329982</v>
      </c>
      <c r="S116" s="42"/>
    </row>
    <row r="117" spans="1:19" x14ac:dyDescent="0.3">
      <c r="B117" t="s">
        <v>55</v>
      </c>
      <c r="E117" s="7">
        <f>F38</f>
        <v>200</v>
      </c>
      <c r="M117" s="43"/>
      <c r="N117" s="40"/>
      <c r="O117" s="40"/>
      <c r="P117" s="40"/>
      <c r="Q117" s="40"/>
      <c r="R117" s="40"/>
      <c r="S117" s="42"/>
    </row>
    <row r="118" spans="1:19" x14ac:dyDescent="0.3">
      <c r="G118" s="1"/>
      <c r="K118" s="120"/>
      <c r="M118" s="43"/>
      <c r="N118" s="40"/>
      <c r="O118" s="40"/>
      <c r="P118" s="40"/>
      <c r="Q118" s="40"/>
      <c r="R118" s="40"/>
      <c r="S118" s="42"/>
    </row>
    <row r="119" spans="1:19" x14ac:dyDescent="0.3">
      <c r="F119" s="5"/>
      <c r="G119" s="1"/>
      <c r="M119" s="43"/>
      <c r="N119" s="40"/>
      <c r="O119" s="40"/>
      <c r="P119" s="40"/>
      <c r="Q119" s="40"/>
      <c r="R119" s="40"/>
      <c r="S119" s="42"/>
    </row>
    <row r="120" spans="1:19" x14ac:dyDescent="0.3">
      <c r="E120" t="s">
        <v>46</v>
      </c>
      <c r="G120" s="1"/>
      <c r="M120" s="119">
        <f>PI()/2-(M116+M110)</f>
        <v>6.6706484011223255E-2</v>
      </c>
      <c r="N120" s="45">
        <f>DEGREES(M120)</f>
        <v>3.8219999999999987</v>
      </c>
      <c r="O120" s="46" t="str">
        <f>IF(ABS(N120-B16)&lt; 0.001,"OK","NOT OK!")</f>
        <v>OK</v>
      </c>
      <c r="P120" s="40"/>
      <c r="Q120" s="47">
        <f>PI()/2-(Q116+M110)</f>
        <v>-1.1991989687636821</v>
      </c>
      <c r="R120" s="45">
        <f>DEGREES(Q120)</f>
        <v>-68.709039706599626</v>
      </c>
      <c r="S120" s="48" t="str">
        <f>IF(ABS(R120-H16)&lt; 0.001,"OK","NOT OK!")</f>
        <v>OK</v>
      </c>
    </row>
    <row r="121" spans="1:19" x14ac:dyDescent="0.3">
      <c r="G121" s="1"/>
      <c r="M121" s="44">
        <f>PI()/2-M112</f>
        <v>-6.9376837766774724E-2</v>
      </c>
      <c r="N121" s="45">
        <f>DEGREES(M121)</f>
        <v>-3.9750000000000072</v>
      </c>
      <c r="O121" s="46" t="str">
        <f>IF(ABS(N121-B17)&lt; 0.001,"OK","NOT OK!")</f>
        <v>OK</v>
      </c>
      <c r="P121" s="40"/>
      <c r="Q121" s="47">
        <f>PI()/2-M112</f>
        <v>-6.9376837766774724E-2</v>
      </c>
      <c r="R121" s="45">
        <f>DEGREES(Q121)</f>
        <v>-3.9750000000000072</v>
      </c>
      <c r="S121" s="48" t="str">
        <f>IF(ABS(R121-H17)&lt; 0.001,"OK","NOT OK!")</f>
        <v>OK</v>
      </c>
    </row>
    <row r="122" spans="1:19" x14ac:dyDescent="0.3">
      <c r="M122" s="43"/>
      <c r="N122" s="40"/>
      <c r="O122" s="40"/>
      <c r="P122" s="40"/>
      <c r="Q122" s="40"/>
      <c r="R122" s="40"/>
      <c r="S122" s="42"/>
    </row>
    <row r="123" spans="1:19" x14ac:dyDescent="0.3">
      <c r="M123" s="49"/>
      <c r="N123" s="50"/>
      <c r="O123" s="40"/>
      <c r="P123" s="40"/>
      <c r="Q123" s="40"/>
      <c r="R123" s="40"/>
      <c r="S123" s="42"/>
    </row>
    <row r="124" spans="1:19" x14ac:dyDescent="0.3">
      <c r="F124" s="9"/>
      <c r="G124" s="1"/>
      <c r="M124" s="43"/>
      <c r="N124" s="40"/>
      <c r="O124" s="40"/>
      <c r="P124" s="40"/>
      <c r="Q124" s="40"/>
      <c r="R124" s="40"/>
      <c r="S124" s="42"/>
    </row>
    <row r="125" spans="1:19" x14ac:dyDescent="0.3">
      <c r="M125" s="43"/>
      <c r="N125" s="40"/>
      <c r="O125" s="40"/>
      <c r="P125" s="40"/>
      <c r="Q125" s="40"/>
      <c r="R125" s="40"/>
      <c r="S125" s="42"/>
    </row>
    <row r="126" spans="1:19" x14ac:dyDescent="0.3">
      <c r="E126" t="s">
        <v>47</v>
      </c>
      <c r="M126" s="44">
        <f>PI()/2-(M116-M110)</f>
        <v>1.1991989687636819</v>
      </c>
      <c r="N126" s="45">
        <f>DEGREES(M126)</f>
        <v>68.709039706599611</v>
      </c>
      <c r="O126" s="46" t="str">
        <f>IF(ABS(N126-B16)&lt; 0.001,"OK","NOT OK!")</f>
        <v>NOT OK!</v>
      </c>
      <c r="P126" s="40"/>
      <c r="Q126" s="47">
        <f>PI()/2-(Q116-M110)</f>
        <v>-6.6706484011223477E-2</v>
      </c>
      <c r="R126" s="45">
        <f>DEGREES(Q126)</f>
        <v>-3.8220000000000116</v>
      </c>
      <c r="S126" s="48" t="str">
        <f>IF(ABS(R126-H16)&lt; 0.001,"OK","NOT OK!")</f>
        <v>NOT OK!</v>
      </c>
    </row>
    <row r="127" spans="1:19" ht="15" thickBot="1" x14ac:dyDescent="0.35">
      <c r="A127" s="15"/>
      <c r="M127" s="51">
        <f>(M112- PI()*3/2)</f>
        <v>-3.0722158158230184</v>
      </c>
      <c r="N127" s="52">
        <f>DEGREES(M127)</f>
        <v>-176.02500000000001</v>
      </c>
      <c r="O127" s="53" t="str">
        <f>IF(ABS(N127-B17)&lt; 0.001,"OK","NOT OK!")</f>
        <v>NOT OK!</v>
      </c>
      <c r="P127" s="54"/>
      <c r="Q127" s="55">
        <f>(M112- PI()*3/2)</f>
        <v>-3.0722158158230184</v>
      </c>
      <c r="R127" s="52">
        <f>DEGREES(Q127)</f>
        <v>-176.02500000000001</v>
      </c>
      <c r="S127" s="56" t="str">
        <f>IF(ABS(R127-H17)&lt; 0.001,"OK","NOT OK!")</f>
        <v>NOT OK!</v>
      </c>
    </row>
    <row r="129" spans="1:21" ht="16.2" x14ac:dyDescent="0.35">
      <c r="A129" s="15" t="s">
        <v>53</v>
      </c>
    </row>
    <row r="130" spans="1:21" x14ac:dyDescent="0.3">
      <c r="E130" s="60"/>
      <c r="F130" s="60"/>
      <c r="G130" s="60"/>
      <c r="J130" t="s">
        <v>51</v>
      </c>
      <c r="M130" t="s">
        <v>52</v>
      </c>
    </row>
    <row r="131" spans="1:21" x14ac:dyDescent="0.3">
      <c r="E131" s="60"/>
      <c r="F131" s="60"/>
      <c r="G131" s="60"/>
      <c r="H131" s="60"/>
      <c r="I131" s="60"/>
      <c r="J131" s="61">
        <f t="array" ref="J131:L133">MMULT(MMULT(N38:P40,N43:P45),N48:P50)</f>
        <v>0.99999999999847689</v>
      </c>
      <c r="K131" s="61">
        <v>-1.0691437181932925E-22</v>
      </c>
      <c r="L131" s="61">
        <v>-1.7453292519934436E-6</v>
      </c>
      <c r="M131" s="76">
        <f>COS(C18)*COS(C19)*COS(C20)-SIN(C18)*SIN(C20)</f>
        <v>0.99999999999847689</v>
      </c>
      <c r="N131" s="76">
        <f>-COS(C18)*COS(C19)*SIN(C20)-SIN(C18)*COS(C20)</f>
        <v>0</v>
      </c>
      <c r="O131" s="76">
        <f>-COS(C18)*SIN(C19)</f>
        <v>-1.7453292519934436E-6</v>
      </c>
    </row>
    <row r="132" spans="1:21" x14ac:dyDescent="0.3">
      <c r="E132" s="60"/>
      <c r="F132" s="60"/>
      <c r="G132" s="60"/>
      <c r="H132" s="60"/>
      <c r="I132" s="60"/>
      <c r="J132" s="61">
        <v>1.0691437181932925E-22</v>
      </c>
      <c r="K132" s="61">
        <v>1</v>
      </c>
      <c r="L132" s="61">
        <v>-9.3307453945672803E-29</v>
      </c>
      <c r="M132" s="76">
        <f>SIN(C18)*COS(C19)*COS(C20)+COS(C18)*SIN(C20)</f>
        <v>0</v>
      </c>
      <c r="N132" s="76">
        <f>-SIN(C18)*COS(C19)*SIN(C20)+COS(C18)*COS(C20)</f>
        <v>1</v>
      </c>
      <c r="O132" s="76">
        <f>-SIN(C18)*SIN(C19)</f>
        <v>0</v>
      </c>
    </row>
    <row r="133" spans="1:21" x14ac:dyDescent="0.3">
      <c r="J133" s="61">
        <v>1.7453292519934436E-6</v>
      </c>
      <c r="K133" s="61">
        <v>-9.3307453945672803E-29</v>
      </c>
      <c r="L133" s="61">
        <v>0.99999999999847689</v>
      </c>
      <c r="M133" s="76">
        <f>SIN(C19)*COS(C20)</f>
        <v>1.7453292519934436E-6</v>
      </c>
      <c r="N133" s="76">
        <f>-SIN(C19)*SIN(C20)</f>
        <v>0</v>
      </c>
      <c r="O133" s="76">
        <f>COS(C19)</f>
        <v>0.99999999999847689</v>
      </c>
    </row>
    <row r="135" spans="1:21" ht="15" thickBot="1" x14ac:dyDescent="0.35"/>
    <row r="136" spans="1:21" x14ac:dyDescent="0.3">
      <c r="B136" s="67">
        <f t="array" ref="B136:D138">MMULT(MMULT(N23:P25,N28:P30),N33:P35)</f>
        <v>-2.6703505819307971E-3</v>
      </c>
      <c r="C136" s="68">
        <v>6.125720433867714E-17</v>
      </c>
      <c r="D136" s="69">
        <v>0.99999643460752885</v>
      </c>
      <c r="H136" s="67">
        <f t="array" ref="H136:J138">TRANSPOSE(B136:D138)</f>
        <v>-2.6703505819307971E-3</v>
      </c>
      <c r="I136" s="68">
        <v>-6.125720433867714E-17</v>
      </c>
      <c r="J136" s="69">
        <v>0.99999643460752885</v>
      </c>
      <c r="M136" s="67">
        <f t="array" ref="M136:O138">R48:T50</f>
        <v>-2.6686052588975203E-3</v>
      </c>
      <c r="N136" s="68">
        <v>6.1257204624082689E-17</v>
      </c>
      <c r="O136" s="69">
        <v>0.99999643926664672</v>
      </c>
      <c r="S136" s="104">
        <f t="array" ref="S136:U138">MMULT(H136:J138,M136:O138)</f>
        <v>0.999999999998477</v>
      </c>
      <c r="T136" s="105">
        <v>-1.0691437181899649E-22</v>
      </c>
      <c r="U136" s="106">
        <v>-1.7453292519933362E-6</v>
      </c>
    </row>
    <row r="137" spans="1:21" x14ac:dyDescent="0.3">
      <c r="B137" s="70">
        <v>-6.125720433867714E-17</v>
      </c>
      <c r="C137" s="71">
        <v>-1</v>
      </c>
      <c r="D137" s="72">
        <v>6.1093843950955162E-17</v>
      </c>
      <c r="H137" s="70">
        <v>6.125720433867714E-17</v>
      </c>
      <c r="I137" s="71">
        <v>-1</v>
      </c>
      <c r="J137" s="72">
        <v>-6.1093843950955162E-17</v>
      </c>
      <c r="M137" s="70">
        <v>-6.1257204624082689E-17</v>
      </c>
      <c r="N137" s="71">
        <v>-1</v>
      </c>
      <c r="O137" s="72">
        <v>6.1093950864946036E-17</v>
      </c>
      <c r="S137" s="107">
        <v>1.0691437180667054E-22</v>
      </c>
      <c r="T137" s="108">
        <v>1</v>
      </c>
      <c r="U137" s="109">
        <v>-9.3296572441487015E-29</v>
      </c>
    </row>
    <row r="138" spans="1:21" ht="15" thickBot="1" x14ac:dyDescent="0.35">
      <c r="B138" s="73">
        <v>0.99999643460752885</v>
      </c>
      <c r="C138" s="74">
        <v>-6.1093843950955162E-17</v>
      </c>
      <c r="D138" s="75">
        <v>2.6703505819307971E-3</v>
      </c>
      <c r="H138" s="73">
        <v>0.99999643460752885</v>
      </c>
      <c r="I138" s="74">
        <v>6.1093843950955162E-17</v>
      </c>
      <c r="J138" s="75">
        <v>2.6703505819307971E-3</v>
      </c>
      <c r="M138" s="73">
        <v>0.99999643926664672</v>
      </c>
      <c r="N138" s="74">
        <v>-6.1093950864946036E-17</v>
      </c>
      <c r="O138" s="75">
        <v>2.6686052588975203E-3</v>
      </c>
      <c r="S138" s="110">
        <v>1.7453292519933362E-6</v>
      </c>
      <c r="T138" s="111">
        <v>-9.3300207634257046E-29</v>
      </c>
      <c r="U138" s="112">
        <v>0.999999999998477</v>
      </c>
    </row>
    <row r="142" spans="1:21" x14ac:dyDescent="0.3">
      <c r="D142" s="78">
        <f>U138</f>
        <v>0.999999999998477</v>
      </c>
      <c r="E142" s="5"/>
      <c r="G142" s="85">
        <f>IF(ABS(D142)=1,0,ACOS(D142))</f>
        <v>1.7452816076790612E-6</v>
      </c>
      <c r="H142" s="86">
        <f>DEGREES(G142)</f>
        <v>9.9997270181817333E-5</v>
      </c>
      <c r="J142" s="85">
        <f>IF(SIN(G142)=0,ATAN2(D146,-D144),ATAN2(D146/SIN(G142),-D144/SIN(G142)))</f>
        <v>5.3457081251402342E-23</v>
      </c>
      <c r="K142" s="86">
        <f>DEGREES(J142)</f>
        <v>3.0628651407932753E-21</v>
      </c>
      <c r="N142" s="2">
        <f>IF(SIN(G142)=0,-ATAN2(-D150,D148),-ATAN2(-D150/SIN(G142),D148/SIN(G142)))</f>
        <v>5.3454998439367945E-23</v>
      </c>
      <c r="O142" s="86">
        <f>DEGREES(N142)</f>
        <v>3.0627458044541856E-21</v>
      </c>
    </row>
    <row r="143" spans="1:21" x14ac:dyDescent="0.3">
      <c r="G143" s="85">
        <f>IF(ABS(D142)=1,0,-ACOS(D142))</f>
        <v>-1.7452816076790612E-6</v>
      </c>
      <c r="H143" s="86">
        <f>DEGREES(G143)</f>
        <v>-9.9997270181817333E-5</v>
      </c>
      <c r="J143" s="85">
        <f>IF(SIN(G143)=0,ATAN2(D146,-D144),ATAN2(D146/SIN(G143),-D144/SIN(G143)))</f>
        <v>-3.1415926535897931</v>
      </c>
      <c r="K143" s="86">
        <f>DEGREES(J143)</f>
        <v>-180</v>
      </c>
      <c r="N143" s="2">
        <f>IF(SIN(G143)=0,-ATAN2(-D150,D148),-ATAN2(-D150/SIN(G143),D148/SIN(G143)))</f>
        <v>-3.1415926535897931</v>
      </c>
      <c r="O143" s="86">
        <f>DEGREES(N143)</f>
        <v>-180</v>
      </c>
    </row>
    <row r="144" spans="1:21" x14ac:dyDescent="0.3">
      <c r="D144" s="77">
        <f>T138</f>
        <v>-9.3300207634257046E-29</v>
      </c>
      <c r="G144" s="2"/>
      <c r="H144" s="2"/>
      <c r="I144" s="2"/>
      <c r="J144" s="99"/>
      <c r="K144" s="86"/>
      <c r="L144" s="2"/>
      <c r="M144" s="2"/>
      <c r="N144" s="97"/>
      <c r="O144" s="86"/>
    </row>
    <row r="145" spans="4:15" x14ac:dyDescent="0.3">
      <c r="G145" s="2"/>
      <c r="H145" s="2"/>
      <c r="I145" s="2"/>
      <c r="J145" s="85"/>
      <c r="K145" s="86"/>
      <c r="L145" s="2"/>
      <c r="M145" s="2"/>
      <c r="N145" s="97"/>
      <c r="O145" s="86"/>
    </row>
    <row r="146" spans="4:15" x14ac:dyDescent="0.3">
      <c r="D146" s="60">
        <f>S138</f>
        <v>1.7453292519933362E-6</v>
      </c>
      <c r="I146" s="2"/>
      <c r="J146" s="2"/>
      <c r="K146" s="86"/>
      <c r="L146" s="2"/>
      <c r="M146" s="2"/>
      <c r="N146" s="87"/>
      <c r="O146" s="86"/>
    </row>
    <row r="147" spans="4:15" x14ac:dyDescent="0.3">
      <c r="I147" s="2"/>
      <c r="J147" s="2"/>
      <c r="K147" s="86"/>
      <c r="L147" s="2"/>
      <c r="M147" s="2"/>
      <c r="N147" s="2"/>
      <c r="O147" s="2"/>
    </row>
    <row r="148" spans="4:15" x14ac:dyDescent="0.3">
      <c r="D148" s="60">
        <f>U137</f>
        <v>-9.3296572441487015E-29</v>
      </c>
      <c r="G148" s="2"/>
      <c r="H148" s="2"/>
      <c r="I148" s="2"/>
      <c r="J148" s="2"/>
      <c r="K148" s="2"/>
      <c r="L148" s="2"/>
      <c r="M148" s="2"/>
      <c r="N148" s="2"/>
      <c r="O148" s="2"/>
    </row>
    <row r="149" spans="4:15" x14ac:dyDescent="0.3">
      <c r="G149" s="2"/>
      <c r="H149" s="2"/>
      <c r="I149" s="2"/>
      <c r="J149" s="2"/>
      <c r="K149" s="2"/>
      <c r="L149" s="2"/>
      <c r="M149" s="2"/>
      <c r="N149" s="2"/>
      <c r="O149" s="2"/>
    </row>
    <row r="150" spans="4:15" x14ac:dyDescent="0.3">
      <c r="D150" s="78">
        <f>U136</f>
        <v>-1.7453292519933362E-6</v>
      </c>
      <c r="I150" s="2"/>
      <c r="J150" s="2"/>
      <c r="K150" s="86"/>
      <c r="L150" s="2"/>
      <c r="M150" s="2"/>
      <c r="N150" s="87"/>
      <c r="O150" s="86"/>
    </row>
    <row r="151" spans="4:15" x14ac:dyDescent="0.3">
      <c r="I151" s="2"/>
      <c r="J151" s="2"/>
      <c r="K151" s="86"/>
      <c r="L151" s="2"/>
      <c r="M151" s="2"/>
      <c r="N151" s="2"/>
      <c r="O151" s="2"/>
    </row>
    <row r="152" spans="4:15" x14ac:dyDescent="0.3">
      <c r="D152" t="s">
        <v>59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1"/>
  <sheetViews>
    <sheetView topLeftCell="A49" zoomScale="85" zoomScaleNormal="85" workbookViewId="0">
      <selection activeCell="L45" sqref="L45:M47"/>
    </sheetView>
  </sheetViews>
  <sheetFormatPr baseColWidth="10" defaultColWidth="8.88671875" defaultRowHeight="14.4" x14ac:dyDescent="0.3"/>
  <sheetData>
    <row r="1" spans="1:12" x14ac:dyDescent="0.3">
      <c r="A1" t="s">
        <v>1</v>
      </c>
      <c r="L1" t="s">
        <v>2</v>
      </c>
    </row>
    <row r="17" spans="12:12" x14ac:dyDescent="0.3">
      <c r="L17" t="s">
        <v>18</v>
      </c>
    </row>
    <row r="45" spans="1:13" x14ac:dyDescent="0.3">
      <c r="L45" s="1" t="s">
        <v>71</v>
      </c>
      <c r="M45" t="s">
        <v>72</v>
      </c>
    </row>
    <row r="46" spans="1:13" x14ac:dyDescent="0.3">
      <c r="A46" t="s">
        <v>65</v>
      </c>
      <c r="L46" s="1" t="s">
        <v>73</v>
      </c>
      <c r="M46" t="s">
        <v>74</v>
      </c>
    </row>
    <row r="47" spans="1:13" x14ac:dyDescent="0.3">
      <c r="L47" s="1" t="s">
        <v>76</v>
      </c>
      <c r="M47" t="s">
        <v>75</v>
      </c>
    </row>
    <row r="81" spans="1:1" x14ac:dyDescent="0.3">
      <c r="A81" t="s">
        <v>67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Kinematik</vt:lpstr>
      <vt:lpstr>Theorie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2016-08-08T23:45:22Z</dcterms:modified>
</cp:coreProperties>
</file>