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M136" i="1" l="1" a="1"/>
  <c r="G48" i="1" l="1"/>
  <c r="G43" i="1"/>
  <c r="F71" i="1" l="1"/>
  <c r="E117" i="1" l="1"/>
  <c r="E116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H48" i="1"/>
  <c r="Q49" i="1" s="1"/>
  <c r="C16" i="1"/>
  <c r="C17" i="1"/>
  <c r="C18" i="1"/>
  <c r="C19" i="1"/>
  <c r="C20" i="1"/>
  <c r="C15" i="1"/>
  <c r="N133" i="1" l="1"/>
  <c r="M133" i="1"/>
  <c r="O133" i="1"/>
  <c r="M131" i="1"/>
  <c r="N132" i="1"/>
  <c r="N131" i="1"/>
  <c r="O132" i="1"/>
  <c r="O131" i="1"/>
  <c r="M132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3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1" i="1" l="1" a="1"/>
  <c r="R23" i="1" a="1"/>
  <c r="U23" i="1" s="1"/>
  <c r="Q29" i="1"/>
  <c r="P29" i="1"/>
  <c r="Q28" i="1"/>
  <c r="O29" i="1"/>
  <c r="P28" i="1"/>
  <c r="N28" i="1"/>
  <c r="N29" i="1"/>
  <c r="L132" i="1" l="1"/>
  <c r="J133" i="1"/>
  <c r="J131" i="1"/>
  <c r="L131" i="1"/>
  <c r="K133" i="1"/>
  <c r="L133" i="1"/>
  <c r="K132" i="1"/>
  <c r="K131" i="1"/>
  <c r="J132" i="1"/>
  <c r="B136" i="1" a="1"/>
  <c r="C138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36" i="1" l="1"/>
  <c r="C136" i="1"/>
  <c r="C137" i="1"/>
  <c r="D136" i="1"/>
  <c r="B138" i="1"/>
  <c r="D138" i="1"/>
  <c r="D137" i="1"/>
  <c r="B137" i="1"/>
  <c r="V23" i="1"/>
  <c r="V25" i="1"/>
  <c r="V26" i="1"/>
  <c r="W24" i="1"/>
  <c r="V24" i="1"/>
  <c r="R28" i="1" a="1"/>
  <c r="H136" i="1" l="1" a="1"/>
  <c r="I138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38" i="1" l="1"/>
  <c r="I136" i="1"/>
  <c r="J137" i="1"/>
  <c r="J136" i="1"/>
  <c r="H137" i="1"/>
  <c r="H136" i="1"/>
  <c r="J138" i="1"/>
  <c r="I137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V50" i="1" l="1"/>
  <c r="G10" i="1" s="1"/>
  <c r="V48" i="1"/>
  <c r="G8" i="1" s="1"/>
  <c r="W49" i="1"/>
  <c r="W50" i="1" s="1"/>
  <c r="V49" i="1"/>
  <c r="G9" i="1" s="1"/>
  <c r="V51" i="1"/>
  <c r="W48" i="1" l="1"/>
  <c r="X48" i="1" s="1"/>
  <c r="X49" i="1"/>
  <c r="X50" i="1"/>
  <c r="D56" i="1" a="1"/>
  <c r="D57" i="1" s="1"/>
  <c r="B64" i="1" s="1"/>
  <c r="M138" i="1" s="1"/>
  <c r="C56" i="1" a="1"/>
  <c r="C58" i="1" s="1"/>
  <c r="H9" i="1"/>
  <c r="D58" i="1" l="1"/>
  <c r="E64" i="1"/>
  <c r="H10" i="1"/>
  <c r="H8" i="1"/>
  <c r="D56" i="1"/>
  <c r="E57" i="1"/>
  <c r="F57" i="1"/>
  <c r="G57" i="1" s="1"/>
  <c r="H57" i="1" s="1"/>
  <c r="C59" i="1"/>
  <c r="C56" i="1"/>
  <c r="C57" i="1"/>
  <c r="D64" i="1" l="1"/>
  <c r="O138" i="1" s="1"/>
  <c r="C64" i="1"/>
  <c r="N138" i="1" s="1"/>
  <c r="B63" i="1"/>
  <c r="M137" i="1" s="1"/>
  <c r="B62" i="1"/>
  <c r="M136" i="1" s="1"/>
  <c r="F58" i="1"/>
  <c r="G58" i="1" s="1"/>
  <c r="H58" i="1" s="1"/>
  <c r="D62" i="1"/>
  <c r="O136" i="1" s="1"/>
  <c r="D63" i="1"/>
  <c r="O137" i="1" s="1"/>
  <c r="C63" i="1"/>
  <c r="N137" i="1" s="1"/>
  <c r="C62" i="1"/>
  <c r="N136" i="1" s="1"/>
  <c r="E63" i="1"/>
  <c r="E62" i="1"/>
  <c r="F56" i="1"/>
  <c r="G56" i="1" s="1"/>
  <c r="H56" i="1" s="1"/>
  <c r="E56" i="1"/>
  <c r="E58" i="1"/>
  <c r="S136" i="1" l="1" a="1"/>
  <c r="F63" i="1"/>
  <c r="H63" i="1" s="1"/>
  <c r="I69" i="1" a="1"/>
  <c r="K70" i="1" s="1"/>
  <c r="T136" i="1" l="1"/>
  <c r="U136" i="1"/>
  <c r="D150" i="1" s="1"/>
  <c r="T137" i="1"/>
  <c r="T138" i="1"/>
  <c r="D144" i="1" s="1"/>
  <c r="U137" i="1"/>
  <c r="D148" i="1" s="1"/>
  <c r="S137" i="1"/>
  <c r="S138" i="1"/>
  <c r="D146" i="1" s="1"/>
  <c r="U138" i="1"/>
  <c r="D142" i="1" s="1"/>
  <c r="S136" i="1"/>
  <c r="F64" i="1"/>
  <c r="G64" i="1" s="1"/>
  <c r="G63" i="1"/>
  <c r="F62" i="1"/>
  <c r="H62" i="1" s="1"/>
  <c r="I71" i="1"/>
  <c r="K71" i="1"/>
  <c r="J70" i="1"/>
  <c r="I70" i="1"/>
  <c r="L72" i="1"/>
  <c r="I72" i="1"/>
  <c r="L70" i="1"/>
  <c r="I69" i="1"/>
  <c r="L69" i="1"/>
  <c r="K69" i="1"/>
  <c r="K72" i="1"/>
  <c r="J71" i="1"/>
  <c r="J69" i="1"/>
  <c r="J72" i="1"/>
  <c r="L71" i="1"/>
  <c r="I63" i="1"/>
  <c r="J63" i="1" s="1"/>
  <c r="G142" i="1" l="1"/>
  <c r="G143" i="1"/>
  <c r="G62" i="1"/>
  <c r="H64" i="1"/>
  <c r="I64" i="1" s="1"/>
  <c r="J64" i="1" s="1"/>
  <c r="B83" i="1" a="1"/>
  <c r="B85" i="1" s="1"/>
  <c r="E110" i="1" s="1"/>
  <c r="I62" i="1"/>
  <c r="J62" i="1" s="1"/>
  <c r="J143" i="1" l="1"/>
  <c r="K143" i="1" s="1"/>
  <c r="G20" i="1" s="1"/>
  <c r="N143" i="1"/>
  <c r="O143" i="1" s="1"/>
  <c r="G18" i="1" s="1"/>
  <c r="H143" i="1"/>
  <c r="G19" i="1" s="1"/>
  <c r="J142" i="1"/>
  <c r="K142" i="1" s="1"/>
  <c r="F20" i="1" s="1"/>
  <c r="H142" i="1"/>
  <c r="F19" i="1" s="1"/>
  <c r="N142" i="1"/>
  <c r="O142" i="1" s="1"/>
  <c r="F18" i="1" s="1"/>
  <c r="B83" i="1"/>
  <c r="G4" i="1" s="1"/>
  <c r="B84" i="1"/>
  <c r="G5" i="1" s="1"/>
  <c r="B86" i="1"/>
  <c r="L97" i="1"/>
  <c r="G6" i="1"/>
  <c r="B87" i="1" l="1"/>
  <c r="Q115" i="1" s="1"/>
  <c r="H83" i="1"/>
  <c r="I83" i="1" s="1"/>
  <c r="E112" i="1"/>
  <c r="E115" i="1" s="1"/>
  <c r="H84" i="1"/>
  <c r="I84" i="1" s="1"/>
  <c r="Q116" i="1" l="1"/>
  <c r="R116" i="1" s="1"/>
  <c r="M115" i="1"/>
  <c r="L96" i="1"/>
  <c r="G85" i="1"/>
  <c r="H85" i="1" s="1"/>
  <c r="I85" i="1" s="1"/>
  <c r="G86" i="1"/>
  <c r="H86" i="1" s="1"/>
  <c r="I15" i="1" s="1"/>
  <c r="M112" i="1"/>
  <c r="M116" i="1" l="1"/>
  <c r="N116" i="1" s="1"/>
  <c r="E15" i="1"/>
  <c r="M110" i="1"/>
  <c r="Q120" i="1" s="1"/>
  <c r="R120" i="1" s="1"/>
  <c r="H16" i="1" s="1"/>
  <c r="S120" i="1" s="1"/>
  <c r="I86" i="1"/>
  <c r="N112" i="1"/>
  <c r="Q121" i="1"/>
  <c r="R121" i="1" s="1"/>
  <c r="Q127" i="1"/>
  <c r="R127" i="1" s="1"/>
  <c r="I17" i="1" s="1"/>
  <c r="M121" i="1"/>
  <c r="N121" i="1" s="1"/>
  <c r="M127" i="1"/>
  <c r="N127" i="1" s="1"/>
  <c r="Q126" i="1" l="1"/>
  <c r="R126" i="1" s="1"/>
  <c r="I16" i="1" s="1"/>
  <c r="N110" i="1"/>
  <c r="M120" i="1"/>
  <c r="N120" i="1" s="1"/>
  <c r="D16" i="1" s="1"/>
  <c r="M126" i="1"/>
  <c r="N126" i="1" s="1"/>
  <c r="E16" i="1" s="1"/>
  <c r="H17" i="1"/>
  <c r="S127" i="1" s="1"/>
  <c r="O127" i="1"/>
  <c r="E17" i="1"/>
  <c r="O121" i="1"/>
  <c r="D17" i="1"/>
  <c r="S126" i="1" l="1"/>
  <c r="O126" i="1"/>
  <c r="O120" i="1"/>
  <c r="S121" i="1"/>
</calcChain>
</file>

<file path=xl/sharedStrings.xml><?xml version="1.0" encoding="utf-8"?>
<sst xmlns="http://schemas.openxmlformats.org/spreadsheetml/2006/main" count="88" uniqueCount="77">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</sst>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4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quotePrefix="1" applyNumberFormat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2" fontId="0" fillId="0" borderId="3" xfId="0" applyNumberFormat="1" applyBorder="1"/>
    <xf numFmtId="172" fontId="0" fillId="0" borderId="11" xfId="0" applyNumberFormat="1" applyBorder="1"/>
    <xf numFmtId="172" fontId="0" fillId="0" borderId="4" xfId="0" applyNumberFormat="1" applyBorder="1"/>
    <xf numFmtId="172" fontId="0" fillId="0" borderId="5" xfId="0" applyNumberFormat="1" applyBorder="1"/>
    <xf numFmtId="172" fontId="0" fillId="0" borderId="0" xfId="0" applyNumberFormat="1" applyBorder="1"/>
    <xf numFmtId="172" fontId="0" fillId="0" borderId="6" xfId="0" applyNumberFormat="1" applyBorder="1"/>
    <xf numFmtId="172" fontId="0" fillId="0" borderId="7" xfId="0" applyNumberFormat="1" applyBorder="1"/>
    <xf numFmtId="172" fontId="0" fillId="0" borderId="12" xfId="0" applyNumberFormat="1" applyBorder="1"/>
    <xf numFmtId="172" fontId="0" fillId="0" borderId="8" xfId="0" applyNumberFormat="1" applyBorder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Kinematik!$B$83</c:f>
              <c:numCache>
                <c:formatCode>0.00000</c:formatCode>
                <c:ptCount val="1"/>
                <c:pt idx="0">
                  <c:v>200.00000000000003</c:v>
                </c:pt>
              </c:numCache>
            </c:numRef>
          </c:xVal>
          <c:yVal>
            <c:numRef>
              <c:f>Kinematik!$B$84</c:f>
              <c:numCache>
                <c:formatCode>0.0000</c:formatCode>
                <c:ptCount val="1"/>
                <c:pt idx="0">
                  <c:v>2.0941581801992015E-14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299968"/>
        <c:axId val="257323008"/>
      </c:scatterChart>
      <c:valAx>
        <c:axId val="257299968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257323008"/>
        <c:crosses val="autoZero"/>
        <c:crossBetween val="midCat"/>
        <c:majorUnit val="300"/>
      </c:valAx>
      <c:valAx>
        <c:axId val="257323008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257299968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Kinematik!$K$96:$L$96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Kinematik!$K$97:$L$97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467136"/>
        <c:axId val="257468672"/>
      </c:scatterChart>
      <c:valAx>
        <c:axId val="257467136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257468672"/>
        <c:crosses val="autoZero"/>
        <c:crossBetween val="midCat"/>
        <c:majorUnit val="500"/>
      </c:valAx>
      <c:valAx>
        <c:axId val="257468672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467136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891600</xdr:colOff>
      <xdr:row>1</xdr:row>
      <xdr:rowOff>88100</xdr:rowOff>
    </xdr:from>
    <xdr:to>
      <xdr:col>14</xdr:col>
      <xdr:colOff>494844</xdr:colOff>
      <xdr:row>11</xdr:row>
      <xdr:rowOff>111385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1350" y="316700"/>
          <a:ext cx="5147690" cy="187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68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81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110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89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108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114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105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118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110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124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120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125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92</xdr:row>
      <xdr:rowOff>62753</xdr:rowOff>
    </xdr:from>
    <xdr:to>
      <xdr:col>5</xdr:col>
      <xdr:colOff>444947</xdr:colOff>
      <xdr:row>105</xdr:row>
      <xdr:rowOff>136782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89</xdr:row>
      <xdr:rowOff>40342</xdr:rowOff>
    </xdr:from>
    <xdr:to>
      <xdr:col>15</xdr:col>
      <xdr:colOff>295835</xdr:colOff>
      <xdr:row>104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129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135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135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138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140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141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135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135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135547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142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144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146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148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61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68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2"/>
  <sheetViews>
    <sheetView tabSelected="1" zoomScale="85" zoomScaleNormal="85" workbookViewId="0">
      <selection activeCell="B19" sqref="B19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6640625" bestFit="1" customWidth="1"/>
    <col min="15" max="15" width="12.109375" bestFit="1" customWidth="1"/>
    <col min="16" max="16" width="10.44140625" customWidth="1"/>
    <col min="17" max="17" width="11.44140625" customWidth="1"/>
    <col min="18" max="18" width="12.44140625" bestFit="1" customWidth="1"/>
    <col min="19" max="19" width="12.77734375" customWidth="1"/>
    <col min="20" max="20" width="12.886718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B83</f>
        <v>200.00000000000003</v>
      </c>
    </row>
    <row r="5" spans="1:22" x14ac:dyDescent="0.3">
      <c r="G5" s="56">
        <f>B84</f>
        <v>2.0941581801992015E-14</v>
      </c>
    </row>
    <row r="6" spans="1:22" ht="15" thickBot="1" x14ac:dyDescent="0.35">
      <c r="G6" s="57">
        <f>B85</f>
        <v>400</v>
      </c>
    </row>
    <row r="7" spans="1:22" ht="15" thickBot="1" x14ac:dyDescent="0.35"/>
    <row r="8" spans="1:22" x14ac:dyDescent="0.3">
      <c r="F8" t="s">
        <v>27</v>
      </c>
      <c r="G8" s="110">
        <f>V48</f>
        <v>339.97867732189479</v>
      </c>
      <c r="H8" s="77">
        <f>X48</f>
        <v>-116.55457797867727</v>
      </c>
    </row>
    <row r="9" spans="1:22" x14ac:dyDescent="0.3">
      <c r="G9" s="111">
        <f>V49</f>
        <v>8.5271228127218171E-2</v>
      </c>
      <c r="H9" s="78">
        <f>X49</f>
        <v>-87.764022852934914</v>
      </c>
    </row>
    <row r="10" spans="1:22" ht="15" thickBot="1" x14ac:dyDescent="0.35">
      <c r="G10" s="112">
        <f>V50</f>
        <v>397.55815151360378</v>
      </c>
      <c r="H10" s="79">
        <f>X50</f>
        <v>-63.427966513422973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0</v>
      </c>
      <c r="C15" s="21">
        <f>RADIANS(B15)</f>
        <v>0</v>
      </c>
      <c r="E15" s="20">
        <f>H85</f>
        <v>5.9993212679105579E-15</v>
      </c>
      <c r="I15" s="20">
        <f>H86</f>
        <v>-180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109">
        <f t="shared" ref="C16:C20" si="0">RADIANS(B16)</f>
        <v>0</v>
      </c>
      <c r="D16" s="116">
        <f>N120</f>
        <v>0</v>
      </c>
      <c r="E16" s="116">
        <f>N126</f>
        <v>67.380135051959556</v>
      </c>
      <c r="H16" s="116">
        <f>R120</f>
        <v>-67.380135051959556</v>
      </c>
      <c r="I16" s="116">
        <f>R126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109">
        <f t="shared" si="0"/>
        <v>0</v>
      </c>
      <c r="D17" s="117">
        <f>N121</f>
        <v>0</v>
      </c>
      <c r="E17" s="117">
        <f>N127</f>
        <v>-180</v>
      </c>
      <c r="H17" s="117">
        <f>R121</f>
        <v>0</v>
      </c>
      <c r="I17" s="117">
        <f>R127</f>
        <v>-180</v>
      </c>
      <c r="V17">
        <v>0</v>
      </c>
    </row>
    <row r="18" spans="1:24" ht="15.6" x14ac:dyDescent="0.35">
      <c r="A18" s="29" t="s">
        <v>7</v>
      </c>
      <c r="B18" s="30">
        <v>2</v>
      </c>
      <c r="C18" s="21">
        <f t="shared" si="0"/>
        <v>3.4906585039886591E-2</v>
      </c>
      <c r="F18" s="118">
        <f>O142</f>
        <v>1.9999999999993658</v>
      </c>
      <c r="G18" s="119">
        <f>O143</f>
        <v>-178.00000000000063</v>
      </c>
      <c r="H18" s="20"/>
      <c r="V18">
        <v>0</v>
      </c>
    </row>
    <row r="19" spans="1:24" ht="15.6" x14ac:dyDescent="0.35">
      <c r="A19" s="29" t="s">
        <v>9</v>
      </c>
      <c r="B19" s="30">
        <v>1</v>
      </c>
      <c r="C19" s="21">
        <f t="shared" si="0"/>
        <v>1.7453292519943295E-2</v>
      </c>
      <c r="F19" s="120">
        <f>H142</f>
        <v>0.99999999999989964</v>
      </c>
      <c r="G19" s="121">
        <f>H143</f>
        <v>-0.99999999999989964</v>
      </c>
      <c r="V19">
        <v>0</v>
      </c>
    </row>
    <row r="20" spans="1:24" ht="16.2" thickBot="1" x14ac:dyDescent="0.4">
      <c r="A20" s="31" t="s">
        <v>10</v>
      </c>
      <c r="B20" s="32">
        <v>0</v>
      </c>
      <c r="C20" s="21">
        <f t="shared" si="0"/>
        <v>0</v>
      </c>
      <c r="F20" s="122">
        <f>K142</f>
        <v>1.9396544322405402E-13</v>
      </c>
      <c r="G20" s="123">
        <f>K143</f>
        <v>-179.9999999999998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0</v>
      </c>
      <c r="H23" s="6">
        <f>RADIANS(G23)</f>
        <v>0</v>
      </c>
      <c r="N23" s="85">
        <f>COS(H23)</f>
        <v>1</v>
      </c>
      <c r="O23" s="69">
        <f>-SIN(H23)*COS(D23)</f>
        <v>0</v>
      </c>
      <c r="P23" s="69">
        <f>SIN(H23)*SIN(D23)</f>
        <v>0</v>
      </c>
      <c r="Q23" s="86">
        <f>E23*COS(H23)</f>
        <v>0</v>
      </c>
      <c r="R23" s="87">
        <f t="array" ref="R23:U26">N23:Q26</f>
        <v>1</v>
      </c>
      <c r="S23" s="88">
        <v>0</v>
      </c>
      <c r="T23" s="88">
        <v>0</v>
      </c>
      <c r="U23" s="89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5">
        <f>SIN(H23)</f>
        <v>0</v>
      </c>
      <c r="O24" s="69">
        <f>COS(H23)*COS(D23)</f>
        <v>6.1257422745431001E-17</v>
      </c>
      <c r="P24" s="69">
        <f>-COS(H23)*SIN(D23)</f>
        <v>1</v>
      </c>
      <c r="Q24" s="86">
        <f>E23*SIN(H23)</f>
        <v>0</v>
      </c>
      <c r="R24" s="87">
        <v>0</v>
      </c>
      <c r="S24" s="88">
        <v>6.1257422745431001E-17</v>
      </c>
      <c r="T24" s="88">
        <v>1</v>
      </c>
      <c r="U24" s="89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5">
        <v>0</v>
      </c>
      <c r="O25" s="69">
        <f>SIN(D23)</f>
        <v>-1</v>
      </c>
      <c r="P25" s="69">
        <f>COS(D23)</f>
        <v>6.1257422745431001E-17</v>
      </c>
      <c r="Q25" s="86">
        <f>F23</f>
        <v>100</v>
      </c>
      <c r="R25" s="87">
        <v>0</v>
      </c>
      <c r="S25" s="88">
        <v>-1</v>
      </c>
      <c r="T25" s="88">
        <v>6.1257422745431001E-17</v>
      </c>
      <c r="U25" s="89">
        <v>100</v>
      </c>
      <c r="V25" s="18">
        <f>$V$17*R25+$V$18*S25+$V$19*T25+$V$20*U25</f>
        <v>100</v>
      </c>
      <c r="W25" s="21">
        <f>IF(ABS(W24)=PI()/2,0,ATAN2(R23,R24))</f>
        <v>0</v>
      </c>
      <c r="X25" s="20">
        <f>DEGREES(W25)</f>
        <v>0</v>
      </c>
    </row>
    <row r="26" spans="1:24" x14ac:dyDescent="0.3">
      <c r="N26" s="85">
        <v>0</v>
      </c>
      <c r="O26" s="69">
        <v>0</v>
      </c>
      <c r="P26" s="69">
        <v>0</v>
      </c>
      <c r="Q26" s="86">
        <v>1</v>
      </c>
      <c r="R26" s="87">
        <v>0</v>
      </c>
      <c r="S26" s="88">
        <v>0</v>
      </c>
      <c r="T26" s="88">
        <v>0</v>
      </c>
      <c r="U26" s="89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3">
        <f>COS(H28)</f>
        <v>6.1257422745431001E-17</v>
      </c>
      <c r="O28" s="61">
        <f>-SIN(H28)*COS(D28)</f>
        <v>1</v>
      </c>
      <c r="P28" s="61">
        <f>SIN(H28)*SIN(D28)</f>
        <v>0</v>
      </c>
      <c r="Q28" s="84">
        <f>E28*COS(H28)</f>
        <v>1.83772268236293E-14</v>
      </c>
      <c r="R28" s="87">
        <f t="array" ref="R28:U31">MMULT(R23:U26,N28:Q31)</f>
        <v>6.1257422745431001E-17</v>
      </c>
      <c r="S28" s="88">
        <v>1</v>
      </c>
      <c r="T28" s="88">
        <v>0</v>
      </c>
      <c r="U28" s="89">
        <v>1.83772268236293E-14</v>
      </c>
      <c r="V28" s="18">
        <f>$V$17*R28+$V$18*S28+$V$19*T28+$V$20*U28</f>
        <v>1.83772268236293E-14</v>
      </c>
      <c r="W28" s="21">
        <f>IF(W29=PI()/2,ATAN2(S29,S28),IF(-W29=PI()/2,-ATAN2(S29,S28),ATAN2(T30,S30)))</f>
        <v>-1.5707963267948966</v>
      </c>
      <c r="X28" s="20">
        <f>DEGREES(W28)</f>
        <v>-90</v>
      </c>
    </row>
    <row r="29" spans="1:24" x14ac:dyDescent="0.3">
      <c r="N29" s="83">
        <f>SIN(H28)</f>
        <v>-1</v>
      </c>
      <c r="O29" s="61">
        <f>COS(H28)*COS(D28)</f>
        <v>6.1257422745431001E-17</v>
      </c>
      <c r="P29" s="61">
        <f>-COS(H28)*SIN(D28)</f>
        <v>0</v>
      </c>
      <c r="Q29" s="84">
        <f>E28*SIN(H28)</f>
        <v>-300</v>
      </c>
      <c r="R29" s="87">
        <v>-6.1257422745431001E-17</v>
      </c>
      <c r="S29" s="88">
        <v>3.7524718414124473E-33</v>
      </c>
      <c r="T29" s="88">
        <v>1</v>
      </c>
      <c r="U29" s="89">
        <v>-1.83772268236293E-14</v>
      </c>
      <c r="V29" s="18">
        <f>$V$17*R29+$V$19*S29+$V$18*T29+$V$20*U29</f>
        <v>-1.83772268236293E-14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3">
        <v>0</v>
      </c>
      <c r="O30" s="61">
        <f>SIN(D28)</f>
        <v>0</v>
      </c>
      <c r="P30" s="61">
        <f>COS(D28)</f>
        <v>1</v>
      </c>
      <c r="Q30" s="84">
        <f>F28</f>
        <v>0</v>
      </c>
      <c r="R30" s="87">
        <v>1</v>
      </c>
      <c r="S30" s="88">
        <v>-6.1257422745431001E-17</v>
      </c>
      <c r="T30" s="88">
        <v>6.1257422745431001E-17</v>
      </c>
      <c r="U30" s="89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3">
        <v>0</v>
      </c>
      <c r="O31" s="61">
        <v>0</v>
      </c>
      <c r="P31" s="61">
        <v>0</v>
      </c>
      <c r="Q31" s="84">
        <v>1</v>
      </c>
      <c r="R31" s="87">
        <v>0</v>
      </c>
      <c r="S31" s="88">
        <v>0</v>
      </c>
      <c r="T31" s="88">
        <v>0</v>
      </c>
      <c r="U31" s="89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5">
        <f>COS(H33)</f>
        <v>1</v>
      </c>
      <c r="O33" s="69">
        <f>-SIN(H33)*COS(D33)</f>
        <v>0</v>
      </c>
      <c r="P33" s="69">
        <f>SIN(H33)*SIN(D33)</f>
        <v>0</v>
      </c>
      <c r="Q33" s="86">
        <f>E33*COS(H33)</f>
        <v>0</v>
      </c>
      <c r="R33" s="62">
        <f t="array" ref="R33:U36">MMULT(R28:U31,N33:Q36)</f>
        <v>6.1257422745431001E-17</v>
      </c>
      <c r="S33" s="63">
        <v>6.1257422745431001E-17</v>
      </c>
      <c r="T33" s="63">
        <v>1</v>
      </c>
      <c r="U33" s="64">
        <v>1.83772268236293E-14</v>
      </c>
      <c r="V33" s="18">
        <f>$V$17*R33+$V$18*S33+$V$19*T33+$V$20*U33</f>
        <v>1.83772268236293E-14</v>
      </c>
      <c r="W33" s="21">
        <f>IF(W34=PI()/2,ATAN2(S34,S33),IF(-W34=PI()/2,-ATAN2(S34,S33),ATAN2(T35,S35)))</f>
        <v>-3.1415926535897931</v>
      </c>
      <c r="X33" s="20">
        <f>DEGREES(W33)</f>
        <v>-180</v>
      </c>
    </row>
    <row r="34" spans="1:26" x14ac:dyDescent="0.3">
      <c r="N34" s="85">
        <f>SIN(H33)</f>
        <v>0</v>
      </c>
      <c r="O34" s="69">
        <f>COS(H33)*COS(D33)</f>
        <v>6.1257422745431001E-17</v>
      </c>
      <c r="P34" s="69">
        <f>-COS(H33)*SIN(D33)</f>
        <v>1</v>
      </c>
      <c r="Q34" s="86">
        <f>E33*SIN(H33)</f>
        <v>0</v>
      </c>
      <c r="R34" s="62">
        <v>-6.1257422745431001E-17</v>
      </c>
      <c r="S34" s="63">
        <v>-1</v>
      </c>
      <c r="T34" s="63">
        <v>6.1257422745431001E-17</v>
      </c>
      <c r="U34" s="64">
        <v>-1.83772268236293E-14</v>
      </c>
      <c r="V34" s="18">
        <f>$V$17*R34+$V$19*S34+$V$18*T34+$V$20*U34</f>
        <v>-1.83772268236293E-14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5">
        <v>0</v>
      </c>
      <c r="O35" s="69">
        <f>SIN(D33)</f>
        <v>-1</v>
      </c>
      <c r="P35" s="69">
        <f>COS(D33)</f>
        <v>6.1257422745431001E-17</v>
      </c>
      <c r="Q35" s="86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5">
        <v>0</v>
      </c>
      <c r="O36" s="69">
        <v>0</v>
      </c>
      <c r="P36" s="69">
        <v>0</v>
      </c>
      <c r="Q36" s="86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2</v>
      </c>
      <c r="H38" s="6">
        <f>RADIANS(G38)</f>
        <v>3.4906585039886591E-2</v>
      </c>
      <c r="N38" s="11">
        <f>COS(H38)</f>
        <v>0.99939082701909576</v>
      </c>
      <c r="O38" s="12">
        <f>-SIN(H38)*COS(D38)</f>
        <v>-2.1378532231078771E-18</v>
      </c>
      <c r="P38" s="12">
        <f>SIN(H38)*SIN(D38)</f>
        <v>3.4899496702500969E-2</v>
      </c>
      <c r="Q38" s="13">
        <f>E38*COS(H38)</f>
        <v>0</v>
      </c>
      <c r="R38" s="62">
        <f t="array" ref="R38:U41">MMULT(R33:U36,N38:Q41)</f>
        <v>6.3357959601722537E-17</v>
      </c>
      <c r="S38" s="63">
        <v>1</v>
      </c>
      <c r="T38" s="63">
        <v>2.1751695899242291E-18</v>
      </c>
      <c r="U38" s="64">
        <v>200.00000000000003</v>
      </c>
      <c r="V38" s="18">
        <f>$V$17*R38+$V$18*S38+$V$19*T38+$V$20*U38</f>
        <v>200.00000000000003</v>
      </c>
      <c r="W38" s="21">
        <f>IF(W39=PI()/2,ATAN2(S39,S38),IF(-W39=PI()/2,-ATAN2(S39,S38),ATAN2(T40,S40)))</f>
        <v>-1.8165097482335823E-15</v>
      </c>
      <c r="X38" s="20">
        <f>DEGREES(W38)</f>
        <v>-1.0407834201815601E-13</v>
      </c>
    </row>
    <row r="39" spans="1:26" x14ac:dyDescent="0.3">
      <c r="N39" s="11">
        <f>SIN(H38)</f>
        <v>3.4899496702500969E-2</v>
      </c>
      <c r="O39" s="12">
        <f>COS(H38)*COS(D38)</f>
        <v>6.1220106378614654E-17</v>
      </c>
      <c r="P39" s="12">
        <f>-COS(H38)*SIN(D38)</f>
        <v>-0.99939082701909576</v>
      </c>
      <c r="Q39" s="13">
        <f>E38*SIN(H38)</f>
        <v>0</v>
      </c>
      <c r="R39" s="62">
        <v>-3.4899496702501032E-2</v>
      </c>
      <c r="S39" s="63">
        <v>3.7316366816346265E-20</v>
      </c>
      <c r="T39" s="63">
        <v>0.99939082701909576</v>
      </c>
      <c r="U39" s="64">
        <v>-6.1257422745431001E-15</v>
      </c>
      <c r="V39" s="18">
        <f>$V$17*R39+$V$19*S39+$V$18*T39+$V$20*U39</f>
        <v>-6.1257422745431001E-15</v>
      </c>
      <c r="W39" s="21">
        <f>ATAN2(SQRT(R38^2+R39^2),-R40)</f>
        <v>-1.5358897417550099</v>
      </c>
      <c r="X39" s="20">
        <f>DEGREES(W39)</f>
        <v>-88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0.99939082701909576</v>
      </c>
      <c r="S40" s="63">
        <v>-6.3395275968538883E-17</v>
      </c>
      <c r="T40" s="63">
        <v>3.4899496702501032E-2</v>
      </c>
      <c r="U40" s="64">
        <v>400</v>
      </c>
      <c r="V40" s="18">
        <f>$V$17*R40+$V$18*S40+$V$19*T40+$V$20*U40</f>
        <v>400</v>
      </c>
      <c r="W40" s="21">
        <f>IF(ABS(W39)=PI()/2,0,ATAN2(R38,R39))</f>
        <v>-1.5707963267948948</v>
      </c>
      <c r="X40" s="20">
        <f>DEGREES(W40)</f>
        <v>-89.999999999999901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8">
        <f>B19</f>
        <v>1</v>
      </c>
      <c r="H43" s="6">
        <f>RADIANS(G43)</f>
        <v>1.7453292519943295E-2</v>
      </c>
      <c r="N43" s="11">
        <f>COS(H43)</f>
        <v>0.99984769515639127</v>
      </c>
      <c r="O43" s="12">
        <f>-SIN(H43)*COS(D43)</f>
        <v>-1.0690894390537575E-18</v>
      </c>
      <c r="P43" s="12">
        <f>SIN(H43)*SIN(D43)</f>
        <v>-1.7452406437283512E-2</v>
      </c>
      <c r="Q43" s="13">
        <f>E43*COS(H43)</f>
        <v>0</v>
      </c>
      <c r="R43" s="62">
        <f t="array" ref="R43:U46">MMULT(R38:U41,N43:Q46)</f>
        <v>1.7452406437283574E-2</v>
      </c>
      <c r="S43" s="63">
        <v>5.9072923353315656E-17</v>
      </c>
      <c r="T43" s="63">
        <v>0.99984769515639127</v>
      </c>
      <c r="U43" s="64">
        <v>200.00000000000003</v>
      </c>
      <c r="V43" s="18">
        <f>$V$17*R43+$V$18*S43+$V$19*T43+$V$20*U43</f>
        <v>200.00000000000003</v>
      </c>
      <c r="W43" s="21">
        <f>IF(W44=PI()/2,ATAN2(S44,S43),IF(-W44=PI()/2,-ATAN2(S44,S43),ATAN2(T45,S45)))</f>
        <v>-2.0342611440003955</v>
      </c>
      <c r="X43" s="20">
        <f>DEGREES(W43)</f>
        <v>-116.55457797867727</v>
      </c>
    </row>
    <row r="44" spans="1:26" x14ac:dyDescent="0.3">
      <c r="N44" s="11">
        <f>SIN(H43)</f>
        <v>1.7452406437283512E-2</v>
      </c>
      <c r="O44" s="12">
        <f>COS(H43)*COS(D43)</f>
        <v>6.1248092943239885E-17</v>
      </c>
      <c r="P44" s="12">
        <f>-COS(H43)*SIN(D43)</f>
        <v>0.99984769515639127</v>
      </c>
      <c r="Q44" s="13">
        <f>E43*SIN(H43)</f>
        <v>0</v>
      </c>
      <c r="R44" s="62">
        <v>-3.4894181340113732E-2</v>
      </c>
      <c r="S44" s="63">
        <v>-0.99939082701909576</v>
      </c>
      <c r="T44" s="63">
        <v>6.0908020090874495E-4</v>
      </c>
      <c r="U44" s="64">
        <v>-6.1257422745431001E-15</v>
      </c>
      <c r="V44" s="18">
        <f>$V$17*R44+$V$19*S44+$V$18*T44+$V$20*U44</f>
        <v>-6.1257422745431001E-15</v>
      </c>
      <c r="W44" s="21">
        <f>ATAN2(SQRT(R43^2+R44^2),-R45)</f>
        <v>-1.5317711635792612</v>
      </c>
      <c r="X44" s="20">
        <f>DEGREES(W44)</f>
        <v>-87.764022852934914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0.99923861495548261</v>
      </c>
      <c r="S45" s="63">
        <v>-3.4899496702501032E-2</v>
      </c>
      <c r="T45" s="63">
        <v>-1.7441774902830217E-2</v>
      </c>
      <c r="U45" s="64">
        <v>400</v>
      </c>
      <c r="V45" s="18">
        <f>$V$17*R45+$V$18*S45+$V$19*T45+$V$20*U45</f>
        <v>400</v>
      </c>
      <c r="W45" s="21">
        <f>IF(ABS(W44)=PI()/2,0,ATAN2(R43,R44))</f>
        <v>-1.1070268535039389</v>
      </c>
      <c r="X45" s="20">
        <f>DEGREES(W45)</f>
        <v>-63.427966513422973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7">
        <f>B20</f>
        <v>0</v>
      </c>
      <c r="H48" s="6">
        <f>RADIANS(G48)</f>
        <v>0</v>
      </c>
      <c r="N48" s="11">
        <f>COS(H48)</f>
        <v>1</v>
      </c>
      <c r="O48" s="12">
        <f>-SIN(H48)*COS(D48)</f>
        <v>0</v>
      </c>
      <c r="P48" s="12">
        <f>SIN(H48)*SIN(D48)</f>
        <v>0</v>
      </c>
      <c r="Q48" s="13">
        <f>E48*COS(H48)</f>
        <v>0</v>
      </c>
      <c r="R48" s="95">
        <f t="array" ref="R48:U51">MMULT(R43:U46,N48:Q51)</f>
        <v>1.7452406437283574E-2</v>
      </c>
      <c r="S48" s="96">
        <v>5.9072923353315656E-17</v>
      </c>
      <c r="T48" s="96">
        <v>0.99984769515639127</v>
      </c>
      <c r="U48" s="89">
        <v>339.97867732189479</v>
      </c>
      <c r="V48" s="18">
        <f>$V$17*R48+$V$18*S48+$V$19*T48+$V$20*U48</f>
        <v>339.97867732189479</v>
      </c>
      <c r="W48" s="90">
        <f>IF(W49=PI()/2,ATAN2(S49,S48),IF(-W49=PI()/2,-ATAN2(S49,S48),ATAN2(T50,S50)))</f>
        <v>-2.0342611440003955</v>
      </c>
      <c r="X48" s="20">
        <f>DEGREES(W48)</f>
        <v>-116.55457797867727</v>
      </c>
      <c r="Y48" s="1" t="s">
        <v>76</v>
      </c>
      <c r="Z48" t="s">
        <v>75</v>
      </c>
    </row>
    <row r="49" spans="1:26" x14ac:dyDescent="0.3">
      <c r="N49" s="11">
        <f>SIN(H48)</f>
        <v>0</v>
      </c>
      <c r="O49" s="12">
        <f>COS(H48)*COS(D48)</f>
        <v>1</v>
      </c>
      <c r="P49" s="12">
        <f>-COS(H48)*SIN(D48)</f>
        <v>0</v>
      </c>
      <c r="Q49" s="13">
        <f>E48*SIN(H48)</f>
        <v>0</v>
      </c>
      <c r="R49" s="95">
        <v>-3.4894181340113732E-2</v>
      </c>
      <c r="S49" s="96">
        <v>-0.99939082701909576</v>
      </c>
      <c r="T49" s="96">
        <v>6.0908020090874495E-4</v>
      </c>
      <c r="U49" s="89">
        <v>8.5271228127218171E-2</v>
      </c>
      <c r="V49" s="18">
        <f>$V$17*R49+$V$19*S49+$V$18*T49+$V$20*U49</f>
        <v>8.5271228127218171E-2</v>
      </c>
      <c r="W49" s="90">
        <f>ATAN2(SQRT(R48^2+R49^2),-R50)</f>
        <v>-1.5317711635792612</v>
      </c>
      <c r="X49" s="20">
        <f>DEGREES(W49)</f>
        <v>-87.764022852934914</v>
      </c>
      <c r="Y49" s="1" t="s">
        <v>73</v>
      </c>
      <c r="Z49" t="s">
        <v>74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5">
        <v>0.99923861495548261</v>
      </c>
      <c r="S50" s="96">
        <v>-3.4899496702501032E-2</v>
      </c>
      <c r="T50" s="96">
        <v>-1.7441774902830217E-2</v>
      </c>
      <c r="U50" s="89">
        <v>397.55815151360378</v>
      </c>
      <c r="V50" s="18">
        <f>$V$17*R50+$V$19*S50+$V$18*T50+$V$20*U50</f>
        <v>397.55815151360378</v>
      </c>
      <c r="W50" s="90">
        <f>IF(ABS(W49)=PI()/2,0,ATAN2(R48,R49))</f>
        <v>-1.1070268535039389</v>
      </c>
      <c r="X50" s="20">
        <f>DEGREES(W50)</f>
        <v>-63.427966513422973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5">
        <v>0</v>
      </c>
      <c r="S51" s="96">
        <v>0</v>
      </c>
      <c r="T51" s="96">
        <v>0</v>
      </c>
      <c r="U51" s="89">
        <v>1</v>
      </c>
      <c r="V51" s="18">
        <f>$V$17*R51+$V$18*S51+$V$19*T51+$V$20*U51</f>
        <v>1</v>
      </c>
      <c r="W51" s="8"/>
    </row>
    <row r="52" spans="1:26" x14ac:dyDescent="0.3">
      <c r="N52" s="12"/>
      <c r="O52" s="12"/>
      <c r="P52" s="12"/>
      <c r="Q52" s="12"/>
      <c r="R52" s="88"/>
      <c r="S52" s="88"/>
      <c r="T52" s="88"/>
      <c r="U52" s="88"/>
      <c r="V52" s="18"/>
      <c r="W52" s="8"/>
    </row>
    <row r="53" spans="1:26" x14ac:dyDescent="0.3">
      <c r="A53" s="15" t="s">
        <v>26</v>
      </c>
    </row>
    <row r="54" spans="1:26" x14ac:dyDescent="0.3">
      <c r="A54" s="15"/>
    </row>
    <row r="55" spans="1:26" x14ac:dyDescent="0.3">
      <c r="C55" t="s">
        <v>13</v>
      </c>
      <c r="D55" t="s">
        <v>64</v>
      </c>
      <c r="G55" t="s">
        <v>62</v>
      </c>
    </row>
    <row r="56" spans="1:26" x14ac:dyDescent="0.3">
      <c r="A56" t="s">
        <v>27</v>
      </c>
      <c r="C56" s="7">
        <f t="array" ref="C56:C59">V48:V51</f>
        <v>339.97867732189479</v>
      </c>
      <c r="D56" s="21">
        <f t="array" ref="D56:D58">W48:W50</f>
        <v>-2.0342611440003955</v>
      </c>
      <c r="E56" s="20">
        <f>DEGREES(D56)</f>
        <v>-116.55457797867727</v>
      </c>
      <c r="F56" s="91">
        <f>D56+PI()</f>
        <v>1.1073315095893976</v>
      </c>
      <c r="G56" s="21">
        <f>IF(F56&gt;PI(),F56-2*PI(),F56)</f>
        <v>1.1073315095893976</v>
      </c>
      <c r="H56" s="20">
        <f>DEGREES(G56)</f>
        <v>63.445422021322727</v>
      </c>
    </row>
    <row r="57" spans="1:26" x14ac:dyDescent="0.3">
      <c r="C57" s="7">
        <v>8.5271228127218171E-2</v>
      </c>
      <c r="D57" s="21">
        <v>-1.5317711635792612</v>
      </c>
      <c r="E57" s="20">
        <f>DEGREES(D57)</f>
        <v>-87.764022852934914</v>
      </c>
      <c r="F57" s="91">
        <f>D57+PI()/2</f>
        <v>3.9025163215635317E-2</v>
      </c>
      <c r="G57" s="21">
        <f>IF(F57&gt;PI(),F57-2*PI(),F57)</f>
        <v>3.9025163215635317E-2</v>
      </c>
      <c r="H57" s="20">
        <f>DEGREES(G57)</f>
        <v>2.2359771470650918</v>
      </c>
    </row>
    <row r="58" spans="1:26" x14ac:dyDescent="0.3">
      <c r="C58" s="7">
        <v>397.55815151360378</v>
      </c>
      <c r="D58" s="21">
        <v>-1.1070268535039389</v>
      </c>
      <c r="E58" s="20">
        <f>DEGREES(D58)</f>
        <v>-63.427966513422973</v>
      </c>
      <c r="F58" s="91">
        <f>D58</f>
        <v>-1.1070268535039389</v>
      </c>
      <c r="G58" s="21">
        <f>IF(F58&gt;PI(),F58-2*PI(),F58)</f>
        <v>-1.1070268535039389</v>
      </c>
      <c r="H58" s="20">
        <f>DEGREES(G58)</f>
        <v>-63.427966513422973</v>
      </c>
      <c r="P58" s="90"/>
    </row>
    <row r="59" spans="1:26" x14ac:dyDescent="0.3">
      <c r="C59" s="7">
        <v>1</v>
      </c>
    </row>
    <row r="60" spans="1:26" x14ac:dyDescent="0.3">
      <c r="C60" s="7"/>
      <c r="O60" s="7"/>
    </row>
    <row r="61" spans="1:26" x14ac:dyDescent="0.3">
      <c r="A61" t="s">
        <v>66</v>
      </c>
      <c r="F61" t="s">
        <v>64</v>
      </c>
      <c r="I61" t="s">
        <v>62</v>
      </c>
    </row>
    <row r="62" spans="1:26" x14ac:dyDescent="0.3">
      <c r="B62" s="108">
        <f>COS(D58)*COS(D57)</f>
        <v>1.7452406437283571E-2</v>
      </c>
      <c r="C62" s="108">
        <f>SIN(D56)*SIN(D57)*COS(D58)-COS(D56)*SIN(D58)</f>
        <v>0</v>
      </c>
      <c r="D62" s="108">
        <f>COS(D56)*SIN(D57)*COS(D58)+SIN(D56)*SIN(D58)</f>
        <v>0.99984769515639127</v>
      </c>
      <c r="E62" s="93">
        <f>C56</f>
        <v>339.97867732189479</v>
      </c>
      <c r="F62" s="90">
        <f>IF(F63=PI()/2,ATAN2(C63,C62),IF(-F63=PI()/2,-ATAN2(C63,C62),ATAN2(D64,C64)))</f>
        <v>-2.0342611440003955</v>
      </c>
      <c r="G62" s="7">
        <f>DEGREES(F62)</f>
        <v>-116.55457797867727</v>
      </c>
      <c r="H62" s="91">
        <f>F62+PI()</f>
        <v>1.1073315095893976</v>
      </c>
      <c r="I62" s="21">
        <f>IF(H62&gt;PI(),H62-2*PI(),H62)</f>
        <v>1.1073315095893976</v>
      </c>
      <c r="J62" s="20">
        <f>DEGREES(I62)</f>
        <v>63.445422021322727</v>
      </c>
    </row>
    <row r="63" spans="1:26" x14ac:dyDescent="0.3">
      <c r="B63" s="108">
        <f>COS(D57)*SIN(D58)</f>
        <v>-3.4894181340113725E-2</v>
      </c>
      <c r="C63" s="108">
        <f>SIN(D56)*SIN(D57)*SIN(D58)+COS(D56)*COS(D58)</f>
        <v>-0.99939082701909565</v>
      </c>
      <c r="D63" s="108">
        <f>COS(D56)*SIN(D57)*SIN(D58)-SIN(D56)*COS(D58)</f>
        <v>6.0908020090855164E-4</v>
      </c>
      <c r="E63" s="93">
        <f>C57</f>
        <v>8.5271228127218171E-2</v>
      </c>
      <c r="F63" s="90">
        <f>ATAN2(SQRT(B62^2+B63^2),-B64)</f>
        <v>-1.5317711635792612</v>
      </c>
      <c r="G63" s="7">
        <f>DEGREES(F63)</f>
        <v>-87.764022852934914</v>
      </c>
      <c r="H63" s="91">
        <f>F63+PI()/2</f>
        <v>3.9025163215635317E-2</v>
      </c>
      <c r="I63" s="21">
        <f>IF(H63&gt;PI(),H63-2*PI(),H63)</f>
        <v>3.9025163215635317E-2</v>
      </c>
      <c r="J63" s="20">
        <f>DEGREES(I63)</f>
        <v>2.2359771470650918</v>
      </c>
    </row>
    <row r="64" spans="1:26" x14ac:dyDescent="0.3">
      <c r="B64" s="108">
        <f>-SIN(D57)</f>
        <v>0.99923861495548261</v>
      </c>
      <c r="C64" s="108">
        <f>SIN(D56)*COS(D57)</f>
        <v>-3.4899496702501025E-2</v>
      </c>
      <c r="D64" s="108">
        <f>COS(D56)*COS(D57)</f>
        <v>-1.744177490283022E-2</v>
      </c>
      <c r="E64" s="93">
        <f>C58</f>
        <v>397.55815151360378</v>
      </c>
      <c r="F64" s="90">
        <f>IF(ABS(F63)=PI()/2,0,ATAN2(B62,B63))</f>
        <v>-1.1070268535039389</v>
      </c>
      <c r="G64" s="7">
        <f>DEGREES(F64)</f>
        <v>-63.427966513422973</v>
      </c>
      <c r="H64" s="91">
        <f>F64</f>
        <v>-1.1070268535039389</v>
      </c>
      <c r="I64" s="21">
        <f>IF(H64&gt;PI(),H64-2*PI(),H64)</f>
        <v>-1.1070268535039389</v>
      </c>
      <c r="J64" s="20">
        <f>DEGREES(I64)</f>
        <v>-63.427966513422973</v>
      </c>
    </row>
    <row r="65" spans="1:12" x14ac:dyDescent="0.3">
      <c r="B65" s="93">
        <v>0</v>
      </c>
      <c r="C65" s="93">
        <v>0</v>
      </c>
      <c r="D65" s="93">
        <v>0</v>
      </c>
      <c r="E65" s="93">
        <v>1</v>
      </c>
    </row>
    <row r="66" spans="1:12" x14ac:dyDescent="0.3">
      <c r="A66" s="15" t="s">
        <v>29</v>
      </c>
    </row>
    <row r="67" spans="1:12" ht="15.6" x14ac:dyDescent="0.35">
      <c r="A67" s="9" t="s">
        <v>36</v>
      </c>
    </row>
    <row r="69" spans="1:12" ht="15.6" x14ac:dyDescent="0.35">
      <c r="A69" t="s">
        <v>32</v>
      </c>
      <c r="B69" s="16"/>
      <c r="F69">
        <v>0</v>
      </c>
      <c r="I69" s="7">
        <f t="array" ref="I69:L72">MMULT(B62:E65,F69:F72)</f>
        <v>200.00000000000003</v>
      </c>
      <c r="J69" s="7">
        <v>200.00000000000003</v>
      </c>
      <c r="K69" s="7">
        <v>200.00000000000003</v>
      </c>
      <c r="L69" s="7">
        <v>200.00000000000003</v>
      </c>
    </row>
    <row r="70" spans="1:12" x14ac:dyDescent="0.3">
      <c r="F70">
        <v>0</v>
      </c>
      <c r="I70" s="7">
        <v>2.0941581801992015E-14</v>
      </c>
      <c r="J70" s="7">
        <v>2.0941581801992015E-14</v>
      </c>
      <c r="K70" s="7">
        <v>2.0941581801992015E-14</v>
      </c>
      <c r="L70" s="7">
        <v>2.0941581801992015E-14</v>
      </c>
    </row>
    <row r="71" spans="1:12" x14ac:dyDescent="0.3">
      <c r="F71">
        <f>-F48</f>
        <v>-140</v>
      </c>
      <c r="I71" s="7">
        <v>400</v>
      </c>
      <c r="J71" s="7">
        <v>400</v>
      </c>
      <c r="K71" s="7">
        <v>400</v>
      </c>
      <c r="L71" s="7">
        <v>400</v>
      </c>
    </row>
    <row r="72" spans="1:12" x14ac:dyDescent="0.3">
      <c r="F72">
        <v>1</v>
      </c>
      <c r="I72" s="7">
        <v>1</v>
      </c>
      <c r="J72" s="7">
        <v>1</v>
      </c>
      <c r="K72" s="7">
        <v>1</v>
      </c>
      <c r="L72" s="7">
        <v>1</v>
      </c>
    </row>
    <row r="73" spans="1:12" ht="15.6" x14ac:dyDescent="0.35">
      <c r="A73" t="s">
        <v>35</v>
      </c>
    </row>
    <row r="74" spans="1:12" ht="15.6" x14ac:dyDescent="0.35">
      <c r="A74" t="s">
        <v>33</v>
      </c>
      <c r="B74" s="17" t="s">
        <v>34</v>
      </c>
      <c r="C74" s="5" t="s">
        <v>31</v>
      </c>
    </row>
    <row r="76" spans="1:12" x14ac:dyDescent="0.3">
      <c r="A76" s="5"/>
      <c r="B76" s="8"/>
      <c r="C76" s="8"/>
      <c r="D76" s="8"/>
      <c r="E76" s="8"/>
    </row>
    <row r="77" spans="1:12" x14ac:dyDescent="0.3">
      <c r="B77" s="8"/>
      <c r="C77" s="8"/>
      <c r="D77" s="8"/>
      <c r="E77" s="8"/>
    </row>
    <row r="78" spans="1:12" x14ac:dyDescent="0.3">
      <c r="B78" s="8"/>
      <c r="C78" s="8"/>
      <c r="D78" s="8"/>
      <c r="E78" s="8"/>
    </row>
    <row r="79" spans="1:12" x14ac:dyDescent="0.3">
      <c r="B79" s="8"/>
      <c r="C79" s="8"/>
      <c r="D79" s="8"/>
      <c r="E79" s="8"/>
    </row>
    <row r="80" spans="1:12" ht="15.6" x14ac:dyDescent="0.35">
      <c r="A80" s="15" t="s">
        <v>37</v>
      </c>
      <c r="B80" s="8"/>
      <c r="C80" s="8"/>
      <c r="D80" s="8"/>
      <c r="E80" s="8"/>
    </row>
    <row r="81" spans="1:12" x14ac:dyDescent="0.3">
      <c r="A81" s="9" t="s">
        <v>39</v>
      </c>
    </row>
    <row r="82" spans="1:12" x14ac:dyDescent="0.3">
      <c r="A82" s="9"/>
    </row>
    <row r="83" spans="1:12" x14ac:dyDescent="0.3">
      <c r="B83" s="76">
        <f t="array" ref="B83:B86">L69:L72</f>
        <v>200.00000000000003</v>
      </c>
      <c r="E83" s="5" t="s">
        <v>34</v>
      </c>
      <c r="H83" s="21">
        <f>ATAN2(B83,B84)</f>
        <v>1.0470790900996006E-16</v>
      </c>
      <c r="I83" s="23">
        <f>DEGREES(H83)</f>
        <v>5.9993212679105579E-15</v>
      </c>
    </row>
    <row r="84" spans="1:12" x14ac:dyDescent="0.3">
      <c r="A84" t="s">
        <v>30</v>
      </c>
      <c r="B84" s="60">
        <v>2.0941581801992015E-14</v>
      </c>
      <c r="H84" s="21">
        <f>ATAN2(-B83,-B84)</f>
        <v>-3.1415926535897931</v>
      </c>
      <c r="I84" s="23">
        <f>DEGREES(H84)</f>
        <v>-180</v>
      </c>
    </row>
    <row r="85" spans="1:12" x14ac:dyDescent="0.3">
      <c r="B85" s="60">
        <v>400</v>
      </c>
      <c r="E85" t="s">
        <v>40</v>
      </c>
      <c r="G85" s="21">
        <f>IF(B87=1,H83,H84)</f>
        <v>1.0470790900996006E-16</v>
      </c>
      <c r="H85" s="23">
        <f>DEGREES(G85)</f>
        <v>5.9993212679105579E-15</v>
      </c>
      <c r="I85" s="15" t="str">
        <f>IF(ABS(H85-B15)&lt; 0.001,"OK","NOT OK!")</f>
        <v>OK</v>
      </c>
    </row>
    <row r="86" spans="1:12" x14ac:dyDescent="0.3">
      <c r="B86">
        <v>1</v>
      </c>
      <c r="E86" t="s">
        <v>41</v>
      </c>
      <c r="G86" s="21">
        <f>IF(B87=-1,H83,H84)</f>
        <v>-3.1415926535897931</v>
      </c>
      <c r="H86" s="23">
        <f>DEGREES(G86)</f>
        <v>-180</v>
      </c>
      <c r="I86" s="15" t="str">
        <f>IF(ABS(H86-B15)&lt; 0.001,"OK","NOT OK!")</f>
        <v>NOT OK!</v>
      </c>
    </row>
    <row r="87" spans="1:12" x14ac:dyDescent="0.3">
      <c r="A87" t="s">
        <v>43</v>
      </c>
      <c r="B87">
        <f>SIGN(B83)</f>
        <v>1</v>
      </c>
    </row>
    <row r="89" spans="1:12" ht="16.2" x14ac:dyDescent="0.35">
      <c r="A89" s="15" t="s">
        <v>44</v>
      </c>
    </row>
    <row r="91" spans="1:12" x14ac:dyDescent="0.3">
      <c r="A91" s="9" t="s">
        <v>58</v>
      </c>
    </row>
    <row r="96" spans="1:12" x14ac:dyDescent="0.3">
      <c r="J96" t="s">
        <v>45</v>
      </c>
      <c r="K96">
        <v>0</v>
      </c>
      <c r="L96">
        <f>E112*B87</f>
        <v>200.00000000000003</v>
      </c>
    </row>
    <row r="97" spans="1:14" x14ac:dyDescent="0.3">
      <c r="K97">
        <v>0</v>
      </c>
      <c r="L97" s="4">
        <f>E110</f>
        <v>300</v>
      </c>
    </row>
    <row r="109" spans="1:14" x14ac:dyDescent="0.3">
      <c r="A109" s="15"/>
    </row>
    <row r="110" spans="1:14" x14ac:dyDescent="0.3">
      <c r="E110" s="19">
        <f>B85-F23</f>
        <v>300</v>
      </c>
      <c r="M110" s="90">
        <f>ACOS((E117*E117-E116*E116-E115*E115)/(-2*E116*E115))</f>
        <v>0.58800260354756739</v>
      </c>
      <c r="N110" s="20">
        <f>DEGREES(M110)</f>
        <v>33.690067525979778</v>
      </c>
    </row>
    <row r="112" spans="1:14" x14ac:dyDescent="0.3">
      <c r="E112" s="4">
        <f>SQRT(B83*B83+B84*B84)</f>
        <v>200.00000000000003</v>
      </c>
      <c r="I112" s="19"/>
      <c r="J112" s="19"/>
      <c r="M112" s="109">
        <f>ACOS((E115*E115-E116*E116-E117*E117)/(-2*E116*E117))</f>
        <v>1.5707963267948966</v>
      </c>
      <c r="N112" s="22">
        <f>DEGREES(M112)</f>
        <v>90</v>
      </c>
    </row>
    <row r="113" spans="1:19" x14ac:dyDescent="0.3">
      <c r="E113" s="4"/>
      <c r="I113" s="19"/>
      <c r="J113" s="19"/>
      <c r="M113" s="21"/>
      <c r="N113" s="22"/>
    </row>
    <row r="114" spans="1:19" ht="16.2" thickBot="1" x14ac:dyDescent="0.35">
      <c r="M114" s="33" t="s">
        <v>48</v>
      </c>
      <c r="Q114" s="33" t="s">
        <v>49</v>
      </c>
    </row>
    <row r="115" spans="1:19" x14ac:dyDescent="0.3">
      <c r="B115" t="s">
        <v>56</v>
      </c>
      <c r="E115" s="7">
        <f>SQRT(E112*E112+E110*E110)</f>
        <v>360.55512754639892</v>
      </c>
      <c r="L115" t="s">
        <v>68</v>
      </c>
      <c r="M115" s="34">
        <f>IF(B87=1,1,-1)</f>
        <v>1</v>
      </c>
      <c r="N115" s="35"/>
      <c r="O115" s="35"/>
      <c r="P115" s="35"/>
      <c r="Q115" s="35">
        <f>IF(B87=1,-1,1)</f>
        <v>-1</v>
      </c>
      <c r="R115" s="35"/>
      <c r="S115" s="36"/>
    </row>
    <row r="116" spans="1:19" x14ac:dyDescent="0.3">
      <c r="B116" t="s">
        <v>54</v>
      </c>
      <c r="E116" s="7">
        <f>E28</f>
        <v>300</v>
      </c>
      <c r="F116" s="5"/>
      <c r="L116" s="9" t="s">
        <v>57</v>
      </c>
      <c r="M116" s="113">
        <f>ATAN2(M115*E112,E110)</f>
        <v>0.98279372324732905</v>
      </c>
      <c r="N116" s="37">
        <f>DEGREES(M116)</f>
        <v>56.309932474020215</v>
      </c>
      <c r="O116" s="38"/>
      <c r="P116" s="38"/>
      <c r="Q116" s="39">
        <f>ATAN2(Q115*E112,E110)</f>
        <v>2.158798930342464</v>
      </c>
      <c r="R116" s="37">
        <f>DEGREES(Q116)</f>
        <v>123.69006752597979</v>
      </c>
      <c r="S116" s="40"/>
    </row>
    <row r="117" spans="1:19" x14ac:dyDescent="0.3">
      <c r="B117" t="s">
        <v>55</v>
      </c>
      <c r="E117" s="7">
        <f>F38</f>
        <v>200</v>
      </c>
      <c r="M117" s="41"/>
      <c r="N117" s="38"/>
      <c r="O117" s="38"/>
      <c r="P117" s="38"/>
      <c r="Q117" s="38"/>
      <c r="R117" s="38"/>
      <c r="S117" s="40"/>
    </row>
    <row r="118" spans="1:19" x14ac:dyDescent="0.3">
      <c r="G118" s="1"/>
      <c r="K118" s="115"/>
      <c r="M118" s="41"/>
      <c r="N118" s="38"/>
      <c r="O118" s="38"/>
      <c r="P118" s="38"/>
      <c r="Q118" s="38"/>
      <c r="R118" s="38"/>
      <c r="S118" s="40"/>
    </row>
    <row r="119" spans="1:19" x14ac:dyDescent="0.3">
      <c r="F119" s="5"/>
      <c r="G119" s="1"/>
      <c r="M119" s="41"/>
      <c r="N119" s="38"/>
      <c r="O119" s="38"/>
      <c r="P119" s="38"/>
      <c r="Q119" s="38"/>
      <c r="R119" s="38"/>
      <c r="S119" s="40"/>
    </row>
    <row r="120" spans="1:19" x14ac:dyDescent="0.3">
      <c r="E120" t="s">
        <v>46</v>
      </c>
      <c r="G120" s="1"/>
      <c r="M120" s="114">
        <f>PI()/2-(M116+M110)</f>
        <v>0</v>
      </c>
      <c r="N120" s="43">
        <f>DEGREES(M120)</f>
        <v>0</v>
      </c>
      <c r="O120" s="44" t="str">
        <f>IF(ABS(N120-B16)&lt; 0.001,"OK","NOT OK!")</f>
        <v>OK</v>
      </c>
      <c r="P120" s="38"/>
      <c r="Q120" s="45">
        <f>PI()/2-(Q116+M110)</f>
        <v>-1.1760052070951348</v>
      </c>
      <c r="R120" s="43">
        <f>DEGREES(Q120)</f>
        <v>-67.380135051959556</v>
      </c>
      <c r="S120" s="46" t="str">
        <f>IF(ABS(R120-H16)&lt; 0.001,"OK","NOT OK!")</f>
        <v>OK</v>
      </c>
    </row>
    <row r="121" spans="1:19" x14ac:dyDescent="0.3">
      <c r="G121" s="1"/>
      <c r="M121" s="42">
        <f>PI()/2-M112</f>
        <v>0</v>
      </c>
      <c r="N121" s="43">
        <f>DEGREES(M121)</f>
        <v>0</v>
      </c>
      <c r="O121" s="44" t="str">
        <f>IF(ABS(N121-B17)&lt; 0.001,"OK","NOT OK!")</f>
        <v>OK</v>
      </c>
      <c r="P121" s="38"/>
      <c r="Q121" s="45">
        <f>PI()/2-M112</f>
        <v>0</v>
      </c>
      <c r="R121" s="43">
        <f>DEGREES(Q121)</f>
        <v>0</v>
      </c>
      <c r="S121" s="46" t="str">
        <f>IF(ABS(R121-H17)&lt; 0.001,"OK","NOT OK!")</f>
        <v>OK</v>
      </c>
    </row>
    <row r="122" spans="1:19" x14ac:dyDescent="0.3">
      <c r="M122" s="41"/>
      <c r="N122" s="38"/>
      <c r="O122" s="38"/>
      <c r="P122" s="38"/>
      <c r="Q122" s="38"/>
      <c r="R122" s="38"/>
      <c r="S122" s="40"/>
    </row>
    <row r="123" spans="1:19" x14ac:dyDescent="0.3">
      <c r="M123" s="47"/>
      <c r="N123" s="48"/>
      <c r="O123" s="38"/>
      <c r="P123" s="38"/>
      <c r="Q123" s="38"/>
      <c r="R123" s="38"/>
      <c r="S123" s="40"/>
    </row>
    <row r="124" spans="1:19" x14ac:dyDescent="0.3">
      <c r="F124" s="9"/>
      <c r="G124" s="1"/>
      <c r="M124" s="41"/>
      <c r="N124" s="38"/>
      <c r="O124" s="38"/>
      <c r="P124" s="38"/>
      <c r="Q124" s="38"/>
      <c r="R124" s="38"/>
      <c r="S124" s="40"/>
    </row>
    <row r="125" spans="1:19" x14ac:dyDescent="0.3">
      <c r="M125" s="41"/>
      <c r="N125" s="38"/>
      <c r="O125" s="38"/>
      <c r="P125" s="38"/>
      <c r="Q125" s="38"/>
      <c r="R125" s="38"/>
      <c r="S125" s="40"/>
    </row>
    <row r="126" spans="1:19" x14ac:dyDescent="0.3">
      <c r="E126" t="s">
        <v>47</v>
      </c>
      <c r="M126" s="42">
        <f>PI()/2-(M116-M110)</f>
        <v>1.1760052070951348</v>
      </c>
      <c r="N126" s="43">
        <f>DEGREES(M126)</f>
        <v>67.380135051959556</v>
      </c>
      <c r="O126" s="44" t="str">
        <f>IF(ABS(N126-B16)&lt; 0.001,"OK","NOT OK!")</f>
        <v>NOT OK!</v>
      </c>
      <c r="P126" s="38"/>
      <c r="Q126" s="45">
        <f>PI()/2-(Q116-M110)</f>
        <v>0</v>
      </c>
      <c r="R126" s="43">
        <f>DEGREES(Q126)</f>
        <v>0</v>
      </c>
      <c r="S126" s="46" t="str">
        <f>IF(ABS(R126-H16)&lt; 0.001,"OK","NOT OK!")</f>
        <v>NOT OK!</v>
      </c>
    </row>
    <row r="127" spans="1:19" ht="15" thickBot="1" x14ac:dyDescent="0.35">
      <c r="A127" s="15"/>
      <c r="M127" s="49">
        <f>(M112- PI()*3/2)</f>
        <v>-3.1415926535897931</v>
      </c>
      <c r="N127" s="50">
        <f>DEGREES(M127)</f>
        <v>-180</v>
      </c>
      <c r="O127" s="51" t="str">
        <f>IF(ABS(N127-B17)&lt; 0.001,"OK","NOT OK!")</f>
        <v>NOT OK!</v>
      </c>
      <c r="P127" s="52"/>
      <c r="Q127" s="53">
        <f>(M112- PI()*3/2)</f>
        <v>-3.1415926535897931</v>
      </c>
      <c r="R127" s="50">
        <f>DEGREES(Q127)</f>
        <v>-180</v>
      </c>
      <c r="S127" s="54" t="str">
        <f>IF(ABS(R127-H17)&lt; 0.001,"OK","NOT OK!")</f>
        <v>NOT OK!</v>
      </c>
    </row>
    <row r="129" spans="1:21" ht="16.2" x14ac:dyDescent="0.35">
      <c r="A129" s="15" t="s">
        <v>53</v>
      </c>
    </row>
    <row r="130" spans="1:21" x14ac:dyDescent="0.3">
      <c r="E130" s="58"/>
      <c r="F130" s="58"/>
      <c r="G130" s="58"/>
      <c r="J130" t="s">
        <v>51</v>
      </c>
      <c r="M130" t="s">
        <v>52</v>
      </c>
    </row>
    <row r="131" spans="1:21" x14ac:dyDescent="0.3">
      <c r="E131" s="58"/>
      <c r="F131" s="58"/>
      <c r="G131" s="58"/>
      <c r="H131" s="58"/>
      <c r="I131" s="58"/>
      <c r="J131" s="59">
        <f t="array" ref="J131:L133">MMULT(MMULT(N38:P40,N43:P45),N48:P50)</f>
        <v>0.99923861495548261</v>
      </c>
      <c r="K131" s="59">
        <v>-3.4899496702500969E-2</v>
      </c>
      <c r="L131" s="59">
        <v>-1.7441774902830158E-2</v>
      </c>
      <c r="M131" s="74">
        <f>COS(C18)*COS(C19)*COS(C20)-SIN(C18)*SIN(C20)</f>
        <v>0.99923861495548261</v>
      </c>
      <c r="N131" s="74">
        <f>-COS(C18)*COS(C19)*SIN(C20)-SIN(C18)*COS(C20)</f>
        <v>-3.4899496702500969E-2</v>
      </c>
      <c r="O131" s="74">
        <f>-COS(C18)*SIN(C19)</f>
        <v>-1.7441774902830158E-2</v>
      </c>
    </row>
    <row r="132" spans="1:21" x14ac:dyDescent="0.3">
      <c r="E132" s="58"/>
      <c r="F132" s="58"/>
      <c r="G132" s="58"/>
      <c r="H132" s="58"/>
      <c r="I132" s="58"/>
      <c r="J132" s="59">
        <v>3.489418134011367E-2</v>
      </c>
      <c r="K132" s="59">
        <v>0.99939082701909576</v>
      </c>
      <c r="L132" s="59">
        <v>-6.0908020090868261E-4</v>
      </c>
      <c r="M132" s="74">
        <f>SIN(C18)*COS(C19)*COS(C20)+COS(C18)*SIN(C20)</f>
        <v>3.489418134011367E-2</v>
      </c>
      <c r="N132" s="74">
        <f>-SIN(C18)*COS(C19)*SIN(C20)+COS(C18)*COS(C20)</f>
        <v>0.99939082701909576</v>
      </c>
      <c r="O132" s="74">
        <f>-SIN(C18)*SIN(C19)</f>
        <v>-6.0908020090868261E-4</v>
      </c>
    </row>
    <row r="133" spans="1:21" x14ac:dyDescent="0.3">
      <c r="J133" s="59">
        <v>1.7452406437283512E-2</v>
      </c>
      <c r="K133" s="59">
        <v>-9.3298021911154303E-21</v>
      </c>
      <c r="L133" s="59">
        <v>0.99984769515639127</v>
      </c>
      <c r="M133" s="74">
        <f>SIN(C19)*COS(C20)</f>
        <v>1.7452406437283512E-2</v>
      </c>
      <c r="N133" s="74">
        <f>-SIN(C19)*SIN(C20)</f>
        <v>0</v>
      </c>
      <c r="O133" s="74">
        <f>COS(C19)</f>
        <v>0.99984769515639127</v>
      </c>
    </row>
    <row r="135" spans="1:21" ht="15" thickBot="1" x14ac:dyDescent="0.35"/>
    <row r="136" spans="1:21" x14ac:dyDescent="0.3">
      <c r="B136" s="65">
        <f t="array" ref="B136:D138">MMULT(MMULT(N23:P25,N28:P30),N33:P35)</f>
        <v>6.1257422745431001E-17</v>
      </c>
      <c r="C136" s="66">
        <v>6.1257422745431001E-17</v>
      </c>
      <c r="D136" s="67">
        <v>1</v>
      </c>
      <c r="H136" s="65">
        <f t="array" ref="H136:J138">TRANSPOSE(B136:D138)</f>
        <v>6.1257422745431001E-17</v>
      </c>
      <c r="I136" s="66">
        <v>-6.1257422745431001E-17</v>
      </c>
      <c r="J136" s="67">
        <v>1</v>
      </c>
      <c r="M136" s="65">
        <f t="array" ref="M136:O138">B62:D64</f>
        <v>1.7452406437283571E-2</v>
      </c>
      <c r="N136" s="66">
        <v>0</v>
      </c>
      <c r="O136" s="67">
        <v>0.99984769515639127</v>
      </c>
      <c r="S136" s="99">
        <f t="array" ref="S136:U138">MMULT(H136:J138,M136:O138)</f>
        <v>0.99923861495548261</v>
      </c>
      <c r="T136" s="100">
        <v>-3.4899496702500962E-2</v>
      </c>
      <c r="U136" s="101">
        <v>-1.7441774902830158E-2</v>
      </c>
    </row>
    <row r="137" spans="1:21" x14ac:dyDescent="0.3">
      <c r="B137" s="68">
        <v>-6.1257422745431001E-17</v>
      </c>
      <c r="C137" s="69">
        <v>-1</v>
      </c>
      <c r="D137" s="70">
        <v>6.1257422745431001E-17</v>
      </c>
      <c r="H137" s="68">
        <v>6.1257422745431001E-17</v>
      </c>
      <c r="I137" s="69">
        <v>-1</v>
      </c>
      <c r="J137" s="70">
        <v>-6.1257422745431001E-17</v>
      </c>
      <c r="M137" s="68">
        <v>-3.4894181340113725E-2</v>
      </c>
      <c r="N137" s="69">
        <v>-0.99939082701909565</v>
      </c>
      <c r="O137" s="70">
        <v>6.0908020090855164E-4</v>
      </c>
      <c r="S137" s="102">
        <v>3.4894181340113663E-2</v>
      </c>
      <c r="T137" s="103">
        <v>0.99939082701909565</v>
      </c>
      <c r="U137" s="104">
        <v>-6.090802009084893E-4</v>
      </c>
    </row>
    <row r="138" spans="1:21" ht="15" thickBot="1" x14ac:dyDescent="0.35">
      <c r="B138" s="71">
        <v>1</v>
      </c>
      <c r="C138" s="72">
        <v>-6.1257422745431001E-17</v>
      </c>
      <c r="D138" s="73">
        <v>-6.1257422745431001E-17</v>
      </c>
      <c r="H138" s="71">
        <v>1</v>
      </c>
      <c r="I138" s="72">
        <v>6.1257422745431001E-17</v>
      </c>
      <c r="J138" s="73">
        <v>-6.1257422745431001E-17</v>
      </c>
      <c r="M138" s="71">
        <v>0.99923861495548261</v>
      </c>
      <c r="N138" s="72">
        <v>-3.4899496702501025E-2</v>
      </c>
      <c r="O138" s="73">
        <v>-1.744177490283022E-2</v>
      </c>
      <c r="S138" s="105">
        <v>1.7452406437283505E-2</v>
      </c>
      <c r="T138" s="106">
        <v>-5.9082253155506771E-17</v>
      </c>
      <c r="U138" s="107">
        <v>0.99984769515639127</v>
      </c>
    </row>
    <row r="142" spans="1:21" x14ac:dyDescent="0.3">
      <c r="D142" s="76">
        <f>U138</f>
        <v>0.99984769515639127</v>
      </c>
      <c r="E142" s="5"/>
      <c r="G142" s="80">
        <f>IF(ABS(D142)=1,0,ACOS(D142))</f>
        <v>1.7453292519941543E-2</v>
      </c>
      <c r="H142" s="81">
        <f>DEGREES(G142)</f>
        <v>0.99999999999989964</v>
      </c>
      <c r="J142" s="80">
        <f>IF(SIN(G142)=0,ATAN2(D146,-D144),ATAN2(D146/SIN(G142),-D144/SIN(G142)))</f>
        <v>3.3853356193498677E-15</v>
      </c>
      <c r="K142" s="81">
        <f>DEGREES(J142)</f>
        <v>1.9396544322405402E-13</v>
      </c>
      <c r="N142" s="2">
        <f>IF(SIN(G142)=0,-ATAN2(-D150,D148),-ATAN2(-D150/SIN(G142),D148/SIN(G142)))</f>
        <v>3.4906585039875523E-2</v>
      </c>
      <c r="O142" s="81">
        <f>DEGREES(N142)</f>
        <v>1.9999999999993658</v>
      </c>
    </row>
    <row r="143" spans="1:21" x14ac:dyDescent="0.3">
      <c r="G143" s="80">
        <f>IF(ABS(D142)=1,0,-ACOS(D142))</f>
        <v>-1.7453292519941543E-2</v>
      </c>
      <c r="H143" s="81">
        <f>DEGREES(G143)</f>
        <v>-0.99999999999989964</v>
      </c>
      <c r="J143" s="80">
        <f>IF(SIN(G143)=0,ATAN2(D146,-D144),ATAN2(D146/SIN(G143),-D144/SIN(G143)))</f>
        <v>-3.1415926535897896</v>
      </c>
      <c r="K143" s="81">
        <f>DEGREES(J143)</f>
        <v>-179.9999999999998</v>
      </c>
      <c r="N143" s="2">
        <f>IF(SIN(G143)=0,-ATAN2(-D150,D148),-ATAN2(-D150/SIN(G143),D148/SIN(G143)))</f>
        <v>-3.1066860685499176</v>
      </c>
      <c r="O143" s="81">
        <f>DEGREES(N143)</f>
        <v>-178.00000000000063</v>
      </c>
    </row>
    <row r="144" spans="1:21" x14ac:dyDescent="0.3">
      <c r="D144" s="75">
        <f>T138</f>
        <v>-5.9082253155506771E-17</v>
      </c>
      <c r="G144" s="2"/>
      <c r="H144" s="2"/>
      <c r="I144" s="2"/>
      <c r="J144" s="94"/>
      <c r="K144" s="81"/>
      <c r="L144" s="2"/>
      <c r="M144" s="2"/>
      <c r="N144" s="92"/>
      <c r="O144" s="81"/>
    </row>
    <row r="145" spans="4:15" x14ac:dyDescent="0.3">
      <c r="G145" s="2"/>
      <c r="H145" s="2"/>
      <c r="I145" s="2"/>
      <c r="J145" s="80"/>
      <c r="K145" s="81"/>
      <c r="L145" s="2"/>
      <c r="M145" s="2"/>
      <c r="N145" s="92"/>
      <c r="O145" s="81"/>
    </row>
    <row r="146" spans="4:15" x14ac:dyDescent="0.3">
      <c r="D146" s="58">
        <f>S138</f>
        <v>1.7452406437283505E-2</v>
      </c>
      <c r="I146" s="2"/>
      <c r="J146" s="2"/>
      <c r="K146" s="81"/>
      <c r="L146" s="2"/>
      <c r="M146" s="2"/>
      <c r="N146" s="82"/>
      <c r="O146" s="81"/>
    </row>
    <row r="147" spans="4:15" x14ac:dyDescent="0.3">
      <c r="I147" s="2"/>
      <c r="J147" s="2"/>
      <c r="K147" s="81"/>
      <c r="L147" s="2"/>
      <c r="M147" s="2"/>
      <c r="N147" s="2"/>
      <c r="O147" s="2"/>
    </row>
    <row r="148" spans="4:15" x14ac:dyDescent="0.3">
      <c r="D148" s="58">
        <f>U137</f>
        <v>-6.090802009084893E-4</v>
      </c>
      <c r="G148" s="2"/>
      <c r="H148" s="2"/>
      <c r="I148" s="2"/>
      <c r="J148" s="2"/>
      <c r="K148" s="2"/>
      <c r="L148" s="2"/>
      <c r="M148" s="2"/>
      <c r="N148" s="2"/>
      <c r="O148" s="2"/>
    </row>
    <row r="149" spans="4:15" x14ac:dyDescent="0.3">
      <c r="G149" s="2"/>
      <c r="H149" s="2"/>
      <c r="I149" s="2"/>
      <c r="J149" s="2"/>
      <c r="K149" s="2"/>
      <c r="L149" s="2"/>
      <c r="M149" s="2"/>
      <c r="N149" s="2"/>
      <c r="O149" s="2"/>
    </row>
    <row r="150" spans="4:15" x14ac:dyDescent="0.3">
      <c r="D150" s="76">
        <f>U136</f>
        <v>-1.7441774902830158E-2</v>
      </c>
      <c r="I150" s="2"/>
      <c r="J150" s="2"/>
      <c r="K150" s="81"/>
      <c r="L150" s="2"/>
      <c r="M150" s="2"/>
      <c r="N150" s="82"/>
      <c r="O150" s="81"/>
    </row>
    <row r="151" spans="4:15" x14ac:dyDescent="0.3">
      <c r="I151" s="2"/>
      <c r="J151" s="2"/>
      <c r="K151" s="81"/>
      <c r="L151" s="2"/>
      <c r="M151" s="2"/>
      <c r="N151" s="2"/>
      <c r="O151" s="2"/>
    </row>
    <row r="152" spans="4:15" x14ac:dyDescent="0.3">
      <c r="D152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7"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2016-08-09T22:54:01Z</dcterms:modified>
</cp:coreProperties>
</file>