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9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DIN" sheetId="8" r:id="rId6"/>
    <sheet name="Rotary Encoder" sheetId="6" r:id="rId7"/>
    <sheet name="Drehkranz" sheetId="9" r:id="rId8"/>
    <sheet name="Herkulex Servo" sheetId="10" r:id="rId9"/>
    <sheet name="BOM" sheetId="7" r:id="rId10"/>
  </sheets>
  <definedNames>
    <definedName name="Kaufstatus">BOM!$L:$L</definedName>
    <definedName name="ShoppingStatus">BOM!$L:$L</definedName>
  </definedNames>
  <calcPr calcId="145621"/>
</workbook>
</file>

<file path=xl/calcChain.xml><?xml version="1.0" encoding="utf-8"?>
<calcChain xmlns="http://schemas.openxmlformats.org/spreadsheetml/2006/main">
  <c r="C23" i="7" l="1"/>
  <c r="C119" i="7"/>
  <c r="K248" i="7"/>
  <c r="K243" i="7"/>
  <c r="C8" i="7"/>
  <c r="K240" i="7"/>
  <c r="C160" i="7"/>
  <c r="K213" i="7"/>
  <c r="C62" i="7"/>
  <c r="C61" i="7"/>
  <c r="C60" i="7"/>
  <c r="C58" i="7"/>
  <c r="C57" i="7"/>
  <c r="C42" i="7"/>
  <c r="C41" i="7"/>
  <c r="C33" i="7"/>
  <c r="C34" i="7"/>
  <c r="C38" i="7"/>
  <c r="C36" i="7"/>
  <c r="C26" i="7"/>
  <c r="C7" i="7"/>
  <c r="C3" i="7"/>
  <c r="C158" i="7"/>
  <c r="C159" i="7"/>
  <c r="K219" i="7"/>
  <c r="C149" i="7"/>
  <c r="C157" i="7"/>
  <c r="C156" i="7"/>
  <c r="C155" i="7"/>
  <c r="C154" i="7"/>
  <c r="C153" i="7"/>
  <c r="C151" i="7"/>
  <c r="C152" i="7"/>
  <c r="C150" i="7"/>
  <c r="C148" i="7"/>
  <c r="C147" i="7"/>
  <c r="C145" i="7"/>
  <c r="C146" i="7"/>
  <c r="C144" i="7"/>
  <c r="K177" i="7"/>
  <c r="C78" i="7"/>
  <c r="C137" i="7"/>
  <c r="C102" i="7"/>
  <c r="C103" i="7"/>
  <c r="C139" i="7" l="1"/>
  <c r="C140" i="7"/>
  <c r="C138" i="7"/>
  <c r="B138" i="7"/>
  <c r="C142" i="7" l="1"/>
  <c r="C44" i="7"/>
  <c r="C73" i="7"/>
  <c r="C123" i="7"/>
  <c r="C141" i="7"/>
  <c r="K218" i="7"/>
  <c r="C136" i="7"/>
  <c r="C135" i="7"/>
  <c r="C134" i="7"/>
  <c r="C133" i="7"/>
  <c r="C132" i="7"/>
  <c r="C131" i="7"/>
  <c r="K212" i="7"/>
  <c r="C130" i="7"/>
  <c r="C129" i="7"/>
  <c r="C128" i="7"/>
  <c r="K211" i="7"/>
  <c r="K210" i="7"/>
  <c r="C127" i="7"/>
  <c r="C126" i="7"/>
  <c r="C125" i="7"/>
  <c r="C124" i="7"/>
  <c r="C122" i="7"/>
  <c r="C121" i="7"/>
  <c r="C120" i="7"/>
  <c r="C118" i="7"/>
  <c r="C117" i="7"/>
  <c r="C116" i="7"/>
  <c r="C115" i="7"/>
  <c r="C114" i="7"/>
  <c r="C113" i="7"/>
  <c r="C112" i="7"/>
  <c r="C50" i="7"/>
  <c r="B50" i="7"/>
  <c r="C100" i="7"/>
  <c r="C99" i="7"/>
  <c r="C11" i="7"/>
  <c r="C110" i="7"/>
  <c r="K217" i="7"/>
  <c r="C60" i="5"/>
  <c r="C86" i="7"/>
  <c r="C109" i="7"/>
  <c r="K209" i="7"/>
  <c r="C108" i="7"/>
  <c r="K203" i="7"/>
  <c r="C107" i="7"/>
  <c r="K208" i="7"/>
  <c r="C95" i="7"/>
  <c r="C106" i="7"/>
  <c r="C105" i="7"/>
  <c r="C104" i="7"/>
  <c r="C101" i="7"/>
  <c r="C98" i="7"/>
  <c r="C97" i="7"/>
  <c r="C94" i="7"/>
  <c r="C96" i="7"/>
  <c r="C93" i="7"/>
  <c r="C92" i="7"/>
  <c r="C91" i="7"/>
  <c r="C90" i="7"/>
  <c r="C87" i="7"/>
  <c r="C89" i="7"/>
  <c r="C88" i="7"/>
  <c r="C54" i="7"/>
  <c r="C53" i="7"/>
  <c r="C52" i="7"/>
  <c r="C51" i="7"/>
  <c r="C20" i="7"/>
  <c r="C19" i="7"/>
  <c r="C18" i="7"/>
  <c r="K204" i="7"/>
  <c r="C85" i="7"/>
  <c r="K202" i="7"/>
  <c r="C84" i="7"/>
  <c r="C83" i="7"/>
  <c r="C80" i="7"/>
  <c r="C82" i="7"/>
  <c r="C81" i="7"/>
  <c r="C79" i="7"/>
  <c r="C77" i="7"/>
  <c r="C76" i="7"/>
  <c r="C75" i="7"/>
  <c r="C74" i="7"/>
  <c r="C72" i="7"/>
  <c r="C71" i="7"/>
  <c r="C70" i="7"/>
  <c r="C69" i="7"/>
  <c r="C31" i="7"/>
  <c r="C6" i="7"/>
  <c r="C9" i="7"/>
  <c r="C10" i="7"/>
  <c r="C13" i="7"/>
  <c r="C14" i="7"/>
  <c r="C15" i="7"/>
  <c r="C16" i="7"/>
  <c r="C17" i="7"/>
  <c r="C21" i="7"/>
  <c r="C22" i="7"/>
  <c r="C24" i="7"/>
  <c r="C25" i="7"/>
  <c r="C27" i="7"/>
  <c r="C28" i="7"/>
  <c r="C29" i="7"/>
  <c r="C30" i="7"/>
  <c r="C32" i="7"/>
  <c r="C35" i="7"/>
  <c r="C37" i="7"/>
  <c r="C39" i="7"/>
  <c r="C40" i="7"/>
  <c r="C45" i="7"/>
  <c r="C46" i="7"/>
  <c r="C48" i="7"/>
  <c r="C49" i="7"/>
  <c r="C47" i="7"/>
  <c r="C55" i="7"/>
  <c r="C56" i="7"/>
  <c r="C59" i="7"/>
  <c r="C63" i="7"/>
  <c r="C64" i="7"/>
  <c r="C65" i="7"/>
  <c r="C66" i="7"/>
  <c r="C67" i="7"/>
  <c r="K205" i="7"/>
  <c r="K206" i="7"/>
  <c r="K215" i="7"/>
  <c r="K216" i="7"/>
  <c r="I243" i="7" l="1"/>
  <c r="J243" i="7" s="1"/>
  <c r="I172" i="7"/>
  <c r="B172" i="7" s="1"/>
  <c r="I248" i="7"/>
  <c r="J248" i="7" s="1"/>
  <c r="I213" i="7"/>
  <c r="J213" i="7" s="1"/>
  <c r="I240" i="7"/>
  <c r="J240" i="7" s="1"/>
  <c r="I233" i="7"/>
  <c r="B233" i="7" s="1"/>
  <c r="J233" i="7" s="1"/>
  <c r="I197" i="7"/>
  <c r="B197" i="7" s="1"/>
  <c r="J197" i="7" s="1"/>
  <c r="I177" i="7"/>
  <c r="J177" i="7" s="1"/>
  <c r="I219" i="7"/>
  <c r="J219" i="7" s="1"/>
  <c r="K233" i="7"/>
  <c r="I211" i="7"/>
  <c r="J211" i="7" s="1"/>
  <c r="I191" i="7"/>
  <c r="B191" i="7" s="1"/>
  <c r="K191" i="7" s="1"/>
  <c r="I194" i="7"/>
  <c r="B194" i="7" s="1"/>
  <c r="I192" i="7"/>
  <c r="B192" i="7" s="1"/>
  <c r="I212" i="7"/>
  <c r="J212" i="7" s="1"/>
  <c r="I232" i="7"/>
  <c r="B232" i="7" s="1"/>
  <c r="K232" i="7" s="1"/>
  <c r="I218" i="7"/>
  <c r="J218" i="7" s="1"/>
  <c r="I210" i="7"/>
  <c r="J210" i="7" s="1"/>
  <c r="I187" i="7"/>
  <c r="B187" i="7" s="1"/>
  <c r="J187" i="7" s="1"/>
  <c r="I230" i="7"/>
  <c r="B230" i="7" s="1"/>
  <c r="J230" i="7" s="1"/>
  <c r="I225" i="7"/>
  <c r="B225" i="7" s="1"/>
  <c r="J225" i="7" s="1"/>
  <c r="I221" i="7"/>
  <c r="B221" i="7" s="1"/>
  <c r="J221" i="7" s="1"/>
  <c r="I229" i="7"/>
  <c r="B229" i="7" s="1"/>
  <c r="J229" i="7" s="1"/>
  <c r="I223" i="7"/>
  <c r="B223" i="7" s="1"/>
  <c r="J223" i="7" s="1"/>
  <c r="I193" i="7"/>
  <c r="B193" i="7" s="1"/>
  <c r="K193" i="7" s="1"/>
  <c r="I217" i="7"/>
  <c r="J217" i="7" s="1"/>
  <c r="I207" i="7"/>
  <c r="B207" i="7" s="1"/>
  <c r="J207" i="7" s="1"/>
  <c r="I220" i="7"/>
  <c r="B220" i="7" s="1"/>
  <c r="J220" i="7" s="1"/>
  <c r="I209" i="7"/>
  <c r="J209" i="7" s="1"/>
  <c r="I226" i="7"/>
  <c r="B226" i="7" s="1"/>
  <c r="K226" i="7" s="1"/>
  <c r="I203" i="7"/>
  <c r="J203" i="7" s="1"/>
  <c r="I208" i="7"/>
  <c r="J208" i="7" s="1"/>
  <c r="I186" i="7"/>
  <c r="B186" i="7" s="1"/>
  <c r="J186" i="7" s="1"/>
  <c r="I228" i="7"/>
  <c r="B228" i="7" s="1"/>
  <c r="K228" i="7" s="1"/>
  <c r="I201" i="7"/>
  <c r="B201" i="7" s="1"/>
  <c r="K201" i="7" s="1"/>
  <c r="I176" i="7"/>
  <c r="B176" i="7" s="1"/>
  <c r="K176" i="7" s="1"/>
  <c r="I199" i="7"/>
  <c r="B199" i="7" s="1"/>
  <c r="J199" i="7" s="1"/>
  <c r="I215" i="7"/>
  <c r="J215" i="7" s="1"/>
  <c r="I188" i="7"/>
  <c r="B188" i="7" s="1"/>
  <c r="I196" i="7"/>
  <c r="B196" i="7" s="1"/>
  <c r="J196" i="7" s="1"/>
  <c r="I216" i="7"/>
  <c r="J216" i="7" s="1"/>
  <c r="I206" i="7"/>
  <c r="J206" i="7" s="1"/>
  <c r="I200" i="7"/>
  <c r="B200" i="7" s="1"/>
  <c r="J200" i="7" s="1"/>
  <c r="I183" i="7"/>
  <c r="B183" i="7" s="1"/>
  <c r="K183" i="7" s="1"/>
  <c r="I205" i="7"/>
  <c r="J205" i="7" s="1"/>
  <c r="I198" i="7"/>
  <c r="B198" i="7" s="1"/>
  <c r="J198" i="7" s="1"/>
  <c r="I231" i="7"/>
  <c r="B231" i="7" s="1"/>
  <c r="K231" i="7" s="1"/>
  <c r="I227" i="7"/>
  <c r="B227" i="7" s="1"/>
  <c r="K227" i="7" s="1"/>
  <c r="I189" i="7"/>
  <c r="B189" i="7" s="1"/>
  <c r="K189" i="7" s="1"/>
  <c r="I184" i="7"/>
  <c r="B184" i="7" s="1"/>
  <c r="K184" i="7" s="1"/>
  <c r="I185" i="7"/>
  <c r="B185" i="7" s="1"/>
  <c r="J185" i="7" s="1"/>
  <c r="I179" i="7"/>
  <c r="B179" i="7" s="1"/>
  <c r="J179" i="7" s="1"/>
  <c r="I174" i="7"/>
  <c r="B174" i="7" s="1"/>
  <c r="J174" i="7" s="1"/>
  <c r="I169" i="7"/>
  <c r="B169" i="7" s="1"/>
  <c r="J169" i="7" s="1"/>
  <c r="I202" i="7"/>
  <c r="J202" i="7" s="1"/>
  <c r="I171" i="7"/>
  <c r="B171" i="7" s="1"/>
  <c r="J171" i="7" s="1"/>
  <c r="I165" i="7"/>
  <c r="B165" i="7" s="1"/>
  <c r="K165" i="7" s="1"/>
  <c r="I164" i="7"/>
  <c r="B164" i="7" s="1"/>
  <c r="K164" i="7" s="1"/>
  <c r="I236" i="7"/>
  <c r="K236" i="7" s="1"/>
  <c r="I239" i="7"/>
  <c r="I190" i="7"/>
  <c r="B190" i="7" s="1"/>
  <c r="K190" i="7" s="1"/>
  <c r="I237" i="7"/>
  <c r="K237" i="7" s="1"/>
  <c r="I182" i="7"/>
  <c r="B182" i="7" s="1"/>
  <c r="J182" i="7" s="1"/>
  <c r="I204" i="7"/>
  <c r="J204" i="7" s="1"/>
  <c r="I238" i="7"/>
  <c r="K238" i="7" s="1"/>
  <c r="I178" i="7"/>
  <c r="B178" i="7" s="1"/>
  <c r="J178" i="7" s="1"/>
  <c r="I166" i="7"/>
  <c r="B166" i="7" s="1"/>
  <c r="J166" i="7" s="1"/>
  <c r="I224" i="7"/>
  <c r="B224" i="7" s="1"/>
  <c r="J224" i="7" s="1"/>
  <c r="I180" i="7"/>
  <c r="B180" i="7" s="1"/>
  <c r="J180" i="7" s="1"/>
  <c r="I175" i="7"/>
  <c r="B175" i="7" s="1"/>
  <c r="J175" i="7" s="1"/>
  <c r="I168" i="7"/>
  <c r="B168" i="7" s="1"/>
  <c r="J168" i="7" s="1"/>
  <c r="I167" i="7"/>
  <c r="B167" i="7" s="1"/>
  <c r="J167" i="7" s="1"/>
  <c r="K172" i="7" l="1"/>
  <c r="J172" i="7"/>
  <c r="L254" i="7"/>
  <c r="K197" i="7"/>
  <c r="J193" i="7"/>
  <c r="J191" i="7"/>
  <c r="J184" i="7"/>
  <c r="K169" i="7"/>
  <c r="K196" i="7"/>
  <c r="K192" i="7"/>
  <c r="J192" i="7"/>
  <c r="K194" i="7"/>
  <c r="J194" i="7"/>
  <c r="K199" i="7"/>
  <c r="J232" i="7"/>
  <c r="J226" i="7"/>
  <c r="J228" i="7"/>
  <c r="K229" i="7"/>
  <c r="K230" i="7"/>
  <c r="K225" i="7"/>
  <c r="K187" i="7"/>
  <c r="K200" i="7"/>
  <c r="K198" i="7"/>
  <c r="J201" i="7"/>
  <c r="K207" i="7"/>
  <c r="K174" i="7"/>
  <c r="J189" i="7"/>
  <c r="K221" i="7"/>
  <c r="J227" i="7"/>
  <c r="K179" i="7"/>
  <c r="K186" i="7"/>
  <c r="K223" i="7"/>
  <c r="J236" i="7"/>
  <c r="K220" i="7"/>
  <c r="J176" i="7"/>
  <c r="K171" i="7"/>
  <c r="K185" i="7"/>
  <c r="J164" i="7"/>
  <c r="J237" i="7"/>
  <c r="K178" i="7"/>
  <c r="J183" i="7"/>
  <c r="J188" i="7"/>
  <c r="K188" i="7"/>
  <c r="J231" i="7"/>
  <c r="K166" i="7"/>
  <c r="K239" i="7"/>
  <c r="K182" i="7"/>
  <c r="K175" i="7"/>
  <c r="J238" i="7"/>
  <c r="J165" i="7"/>
  <c r="J190" i="7"/>
  <c r="K180" i="7"/>
  <c r="K224" i="7"/>
  <c r="K167" i="7"/>
  <c r="K168" i="7"/>
  <c r="K254" i="7" l="1"/>
  <c r="J239" i="7"/>
  <c r="O76" i="3"/>
  <c r="O81" i="3"/>
  <c r="O82" i="3"/>
  <c r="O77" i="3" l="1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1" i="5" l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<sst xmlns="http://schemas.openxmlformats.org/spreadsheetml/2006/main" count="1860" uniqueCount="850">
  <si>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</si>
  <si>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</si>
  <si>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</si>
  <si>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</si>
  <si>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</si>
  <si>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</si>
  <si>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</si>
  <si>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</si>
  <si>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</si>
  <si>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</si>
  <si>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</si>
  <si>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</si>
  <si>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</si>
  <si>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</si>
  <si>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</si>
  <si>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</si>
  <si>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</si>
  <si>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</si>
  <si>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</si>
  <si>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</si>
  <si>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</si>
  <si>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</si>
  <si>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</si>
  <si>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</si>
  <si>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</si>
  <si>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</si>
  <si>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</si>
  <si>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</si>
  <si>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</si>
  <si>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</si>
  <si>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</si>
  <si>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</si>
  <si>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</si>
  <si>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</si>
  <si>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</si>
  <si>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</si>
  <si>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</si>
  <si>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</si>
  <si>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</si>
  <si>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</si>
  <si>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</si>
  <si>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</si>
  <si>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</si>
  <si>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</si>
  <si>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</si>
  <si>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</si>
  <si>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</si>
  <si>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</si>
  <si>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</si>
  <si>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</si>
  <si>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</si>
  <si>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</si>
  <si>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</si>
  <si>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</si>
  <si>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</si>
  <si>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</si>
  <si>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</si>
  <si>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</si>
  <si>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</si>
  <si>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</si>
  <si>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</si>
  <si>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</si>
  <si>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</si>
  <si>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</si>
  <si>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</si>
  <si>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</si>
  <si>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</si>
  <si>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</si>
  <si>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</si>
  <si>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</si>
  <si>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</si>
  <si>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</si>
  <si>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</si>
  <si>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</si>
  <si>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</si>
  <si>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</si>
  <si>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</si>
  <si>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</si>
  <si>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</si>
  <si>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</si>
  <si>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</si>
  <si>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</si>
  <si>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</si>
  <si>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</si>
  <si>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</si>
  <si>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</si>
  <si>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</si>
  <si>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</si>
  <si>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</si>
  <si>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</si>
  <si>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</si>
  <si>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</si>
  <si>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</si>
  <si>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</si>
  <si>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</si>
  <si>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</si>
  <si>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</si>
  <si>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</si>
  <si>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</si>
  <si>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</si>
  <si>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</si>
  <si>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</si>
  <si>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</si>
  <si>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</si>
  <si>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</si>
  <si>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</si>
  <si>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</si>
  <si>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</si>
  <si>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</si>
  <si>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</si>
  <si>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</si>
  <si>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</si>
  <si>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</si>
  <si>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</si>
  <si>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</si>
  <si>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</si>
  <si>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</si>
  <si>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</si>
  <si>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</si>
  <si>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</si>
  <si>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</si>
  <si>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</si>
  <si>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</si>
  <si>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</si>
  <si>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</si>
  <si>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</si>
  <si>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</si>
  <si>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</si>
  <si>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</si>
  <si>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</si>
  <si>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</si>
  <si>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</si>
  <si>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</si>
  <si>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</si>
  <si>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</si>
  <si>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</si>
  <si>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</si>
  <si>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</si>
  <si>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</si>
  <si>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</si>
  <si>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</si>
  <si>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</si>
  <si>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</si>
  <si>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</si>
  <si>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</si>
  <si>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</si>
  <si>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</si>
  <si>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</si>
  <si>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</si>
  <si>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</si>
  <si>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</si>
  <si>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</si>
  <si>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</si>
  <si>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</si>
  <si>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</si>
  <si>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</si>
  <si>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</si>
  <si>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</si>
  <si>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</si>
  <si>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</si>
  <si>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</si>
  <si>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</si>
  <si>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</si>
  <si>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</si>
  <si>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</si>
  <si>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</si>
  <si>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</si>
  <si>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</si>
  <si>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</si>
  <si>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</si>
  <si>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</si>
  <si>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</si>
  <si>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</si>
  <si>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</si>
  <si>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</si>
  <si>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</si>
  <si>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</si>
  <si>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</si>
  <si>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</si>
  <si>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</si>
  <si>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</si>
  <si>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</si>
  <si>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</si>
  <si>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</si>
  <si>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</si>
  <si>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</si>
  <si>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</si>
  <si>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</si>
  <si>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</si>
  <si>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</si>
  <si>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</si>
  <si>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</si>
  <si>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</si>
  <si>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</si>
  <si>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</si>
  <si>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</si>
  <si>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</si>
  <si>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</si>
  <si>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</si>
  <si>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</si>
  <si>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</si>
  <si>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</si>
  <si>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</si>
  <si>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</si>
  <si>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</si>
  <si>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</si>
  <si>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</si>
  <si>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</si>
  <si>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</si>
  <si>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</si>
  <si>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</si>
  <si>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</si>
  <si>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</si>
  <si>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</si>
  <si>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</si>
  <si>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</si>
  <si>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</si>
  <si>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</si>
  <si>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</si>
  <si>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</si>
  <si>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</si>
  <si>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</si>
  <si>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</si>
  <si>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</si>
  <si>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</si>
  <si>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</si>
  <si>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</si>
  <si>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</si>
  <si>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</si>
  <si>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</si>
  <si>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</si>
  <si>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</si>
  <si>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</si>
  <si>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</si>
  <si>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</si>
  <si>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</si>
  <si>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</si>
  <si>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</si>
  <si>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</si>
  <si>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</si>
  <si>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</si>
  <si>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</si>
  <si>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</si>
  <si>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</si>
  <si>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</si>
  <si>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</si>
  <si>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</si>
  <si>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</si>
  <si>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</si>
  <si>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</si>
  <si>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</si>
  <si>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</si>
  <si>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</si>
  <si>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</si>
  <si>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</si>
  <si>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</si>
  <si>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</si>
  <si>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</si>
  <si>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</si>
  <si>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</si>
  <si>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</si>
  <si>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</si>
  <si>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</si>
  <si>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</si>
  <si>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</si>
  <si>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</si>
  <si>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</si>
  <si>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</si>
  <si>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</si>
  <si>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</si>
  <si>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</si>
  <si>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</si>
  <si>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</si>
  <si>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</si>
  <si>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</si>
  <si>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</si>
  <si>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</si>
  <si>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</si>
  <si>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</si>
  <si>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</si>
  <si>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</si>
  <si>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</si>
  <si>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</si>
  <si>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</si>
  <si>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</si>
  <si>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</si>
  <si>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</si>
  <si>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</si>
  <si>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</si>
  <si>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</si>
  <si>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</si>
  <si>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</si>
  <si>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</si>
  <si>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</si>
  <si>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</si>
  <si>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</si>
  <si>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</si>
  <si>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</si>
  <si>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</si>
  <si>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</si>
  <si>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</si>
  <si>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</si>
  <si>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</si>
  <si>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</si>
  <si>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</si>
  <si>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</si>
  <si>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</si>
  <si>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</si>
  <si>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</si>
  <si>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</si>
  <si>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</si>
  <si>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</si>
  <si>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</si>
  <si>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</si>
  <si>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</si>
  <si>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</si>
  <si>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</si>
  <si>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</si>
  <si>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</si>
  <si>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</si>
  <si>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</si>
  <si>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</si>
  <si>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</si>
  <si>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</si>
  <si>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</si>
  <si>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</si>
  <si>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</si>
  <si>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</si>
  <si>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</si>
  <si>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</si>
  <si>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</si>
  <si>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</si>
  <si>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</si>
  <si>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</si>
  <si>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</si>
  <si>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</si>
  <si>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</si>
  <si>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</si>
  <si>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</si>
  <si>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</si>
  <si>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</si>
  <si>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</si>
  <si>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</si>
  <si>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</si>
  <si>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</si>
  <si>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</si>
  <si>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</si>
  <si>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</si>
  <si>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</si>
  <si>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</si>
  <si>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</si>
  <si>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</si>
  <si>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</si>
  <si>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</si>
  <si>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</si>
  <si>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</si>
  <si>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</si>
  <si>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</si>
  <si>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</si>
  <si>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</si>
  <si>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</si>
  <si>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</si>
  <si>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</si>
  <si>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</si>
  <si>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</si>
  <si>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</si>
  <si>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</si>
  <si>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</si>
  <si>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</si>
  <si>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</si>
  <si>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</si>
  <si>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</si>
  <si>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</si>
  <si>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</si>
  <si>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</si>
  <si>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</si>
  <si>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</si>
  <si>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</si>
  <si>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</si>
  <si>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</si>
  <si>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</si>
  <si>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</si>
  <si>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</si>
  <si>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</si>
  <si>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</si>
  <si>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</si>
  <si>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</si>
  <si>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</si>
  <si>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</si>
  <si>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</si>
  <si>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</si>
  <si>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</si>
  <si>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</si>
  <si>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</si>
  <si>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</si>
  <si>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</si>
  <si>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</si>
  <si>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</si>
  <si>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</si>
  <si>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</si>
  <si>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</si>
  <si>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</si>
  <si>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</si>
  <si>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</si>
  <si>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</si>
  <si>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</si>
  <si>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</si>
  <si>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</si>
  <si>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</si>
  <si>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</si>
  <si>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</si>
  <si>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</si>
  <si>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</si>
  <si>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</si>
  <si>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</si>
  <si>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</si>
  <si>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</si>
  <si>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</si>
  <si>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</si>
  <si>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</si>
  <si>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</si>
  <si>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</si>
  <si>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</si>
  <si>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</si>
  <si>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</si>
  <si>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</si>
  <si>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</si>
  <si>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</si>
  <si>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</si>
  <si>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</si>
  <si>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</si>
  <si>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</si>
  <si>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</si>
  <si>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</si>
  <si>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</si>
  <si>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</si>
  <si>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</si>
  <si>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</si>
  <si>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</si>
  <si>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</si>
  <si>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</si>
  <si>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</si>
  <si>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</si>
  <si>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</si>
  <si>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</si>
  <si>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</si>
  <si>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</si>
  <si>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</si>
  <si>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</si>
  <si>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</si>
  <si>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</si>
  <si>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</si>
  <si>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</si>
  <si>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</si>
  <si>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</si>
  <si>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</si>
  <si>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</si>
  <si>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</si>
  <si>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</si>
  <si>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</si>
  <si>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</si>
  <si>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</si>
  <si>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</si>
  <si>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</si>
  <si>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</si>
  <si>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</si>
  <si>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</si>
  <si>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</si>
  <si>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</si>
  <si>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</si>
  <si>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</si>
  <si>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</si>
  <si>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</si>
  <si>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</si>
  <si>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</si>
  <si>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</si>
  <si>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</si>
  <si>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</si>
  <si>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</si>
  <si>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</si>
  <si>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</si>
  <si>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</si>
  <si>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</si>
  <si>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</si>
  <si>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</si>
  <si>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</si>
  <si>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</si>
  <si>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</si>
  <si>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</si>
  <si>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</si>
  <si>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</si>
  <si>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</si>
  <si>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</si>
  <si>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</si>
  <si>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</si>
  <si>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</si>
  <si>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</si>
  <si>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</si>
  <si>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</si>
  <si>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</si>
  <si>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</si>
  <si>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</si>
  <si>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</si>
  <si>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</si>
  <si>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</si>
  <si>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</si>
  <si>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</si>
  <si>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</si>
  <si>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</si>
  <si>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</si>
  <si>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</si>
  <si>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</si>
  <si>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</si>
  <si>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</si>
  <si>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</si>
  <si>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</si>
  <si>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</si>
  <si>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</si>
  <si>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</si>
  <si>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</si>
  <si>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</si>
  <si>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</si>
  <si>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</si>
  <si>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</si>
  <si>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</si>
  <si>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</si>
  <si>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</si>
  <si>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</si>
  <si>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</si>
  <si>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</si>
  <si>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</si>
  <si>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</si>
  <si>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</si>
  <si>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</si>
  <si>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</si>
  <si>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</si>
  <si>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</si>
  <si>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</si>
  <si>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</si>
  <si>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</si>
  <si>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</si>
  <si>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</si>
  <si>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</si>
  <si>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</si>
  <si>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</si>
  <si>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</si>
  <si>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</si>
  <si>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</si>
  <si>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</si>
  <si>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</si>
  <si>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</si>
  <si>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</si>
  <si>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</si>
  <si>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</si>
  <si>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</si>
  <si>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</si>
  <si>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</si>
  <si>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</si>
  <si>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</si>
  <si>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</si>
  <si>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Rotary Encoder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</si>
  <si>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</si>
  <si>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</si>
  <si>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</si>
  <si>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 xml:space="preserve">Op Manual 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</si>
  <si>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</si>
  <si>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</si>
  <si>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</si>
  <si>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</si>
  <si>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</si>
  <si>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</si>
  <si>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</si>
  <si>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</si>
  <si>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</si>
  <si>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</si>
  <si>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</si>
  <si>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</si>
  <si>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</si>
  <si>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</si>
  <si>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</si>
  <si>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</si>
  <si>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</si>
  <si>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</si>
  <si>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</si>
  <si>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</si>
  <si>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</si>
  <si>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</si>
  <si>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</si>
  <si>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</si>
  <si>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</si>
  <si>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</si>
  <si>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</si>
  <si>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</si>
  <si>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</si>
  <si>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Artikel</t>
  </si>
  <si>
    <t>Bezug</t>
  </si>
  <si>
    <t>kg</t>
  </si>
  <si>
    <t>Stück</t>
  </si>
  <si>
    <t>Benutzung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</si>
  <si>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</si>
  <si>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</si>
  <si>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</si>
  <si>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</si>
  <si>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</si>
  <si>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</si>
  <si>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</si>
  <si>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</si>
  <si>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</si>
  <si>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</si>
  <si>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Grippermount</t>
  </si>
  <si>
    <t>Verschraubung Deckel</t>
  </si>
  <si>
    <t>Distanzbolzen M3 5mm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</si>
  <si>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</si>
  <si>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</si>
  <si>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</si>
  <si>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</si>
  <si>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</si>
  <si>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</si>
  <si>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</si>
  <si>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</si>
  <si>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</si>
  <si>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</si>
  <si>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</si>
  <si>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Drehkranz 140mm/200mm</t>
  </si>
  <si>
    <t>http://www.ebay.de/itm/Drehkranz-203mm-80kg-Aluminium-Drehlager-Drehteller-Drehscheibe-Lenkkranz-Alu-/252317164215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</si>
  <si>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</si>
  <si>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</si>
  <si>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</si>
  <si>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</si>
  <si>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</si>
  <si>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</si>
  <si>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Wrist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</si>
  <si>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</si>
  <si>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</si>
  <si>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</si>
  <si>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</si>
  <si>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</si>
  <si>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</si>
  <si>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</si>
  <si>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</si>
  <si>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http://www.cncshop.at/index.php?a=10118</t>
  </si>
  <si>
    <t>Zahnriemen Motor/Zwischenwelle (Solllänge 164)</t>
  </si>
  <si>
    <t>http://www.cncshop.at/index.php?a=10121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</si>
  <si>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</si>
  <si>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</si>
  <si>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</si>
  <si>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</si>
  <si>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</si>
  <si>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http://eu.stepperonline.com/09-nema-17-bipolar-stepper-12a-11ncm156ozin-17hm081204s-p-99.html</t>
  </si>
  <si>
    <t>Befestigung Motor</t>
  </si>
  <si>
    <t>https://www.conrad.de/de/unterlegscheiben-innen-durchmesser-32-mm-m3-din-125-stahl-verzinkt-100-st-toolcraft-814628-814628.html</t>
  </si>
  <si>
    <t>RiemenSpanner Schraube</t>
  </si>
  <si>
    <t>Zahnriemen Zwischenwelle WristRot (Solllänge 227mm)</t>
  </si>
  <si>
    <t>http://www.cncshop.at/index.php?a=10276</t>
  </si>
  <si>
    <t>Zylinderkopfschraube Innensechskant M2 6mm</t>
  </si>
  <si>
    <t>Sensor Befestigung</t>
  </si>
  <si>
    <t>Rotary Sensor</t>
  </si>
  <si>
    <t>http://www.amazon.de/Zylinderkopfschraube-Innensechskant-M2x6-Edelstahl-Stk/dp/B00S2U8WOG/ref=sr_1_4?ie=UTF8&amp;qid=1458910540&amp;sr=8-4&amp;keywords=zylinderkopfschraube+Innensechskant+M2+6mm</t>
  </si>
  <si>
    <t>http://www.digikey.de/product-detail/de/ams/AS5048B-TS_EK_AB/AS5048B-AB-1.0-ND/3188613</t>
  </si>
  <si>
    <t>VPE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</si>
  <si>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</si>
  <si>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</si>
  <si>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</si>
  <si>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</si>
  <si>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http://www.kugellager-express.de/kugellager-zoll-inch-r155-3-967x7-938x3-175-mm.html</t>
  </si>
  <si>
    <t>Riemenspanner Kugellager</t>
  </si>
  <si>
    <t>Rillenkugellager  3.967 x 7.938 x 3.175 mm</t>
  </si>
  <si>
    <t>Gabelbefestigung</t>
  </si>
  <si>
    <t xml:space="preserve">Gabelbefestigung </t>
  </si>
  <si>
    <t>http://www.amazon.de/Zylinderkopfschrauben-Edelstahl-Zylinderschrauben-Inbusschrauben-Innensechskant/dp/B018XL6B6O/ref=sr_1_1?ie=UTF8&amp;qid=1458914864&amp;sr=8-1&amp;keywords=zylinderkopfschraube+Innensechskant+M3+20mm</t>
  </si>
  <si>
    <t>Preis VPE</t>
  </si>
  <si>
    <t>benötigt</t>
  </si>
  <si>
    <t>Stück Übrig</t>
  </si>
  <si>
    <t>Silberstahlwelle 6mm Durchmesser</t>
  </si>
  <si>
    <t>Zahnriemenscheibe T2,5, 18 Zähne</t>
  </si>
  <si>
    <t>Zahnriemenscheibe T2,5, 14 Zähne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</si>
  <si>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</si>
  <si>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</si>
  <si>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</si>
  <si>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</si>
  <si>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</si>
  <si>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Forearm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</si>
  <si>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</si>
  <si>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</si>
  <si>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</si>
  <si>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</si>
  <si>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</si>
  <si>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</si>
  <si>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</si>
  <si>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Distanzhülsen M6 10mm</t>
  </si>
  <si>
    <t>http://www.amazon.de/Distanzh%C3%BClsen-Schrauben-L%C3%A4nge-Kunststoff-schwarz/dp/B004I9HTHQ</t>
  </si>
  <si>
    <t>Distanzhülse RiemenSpanner</t>
  </si>
  <si>
    <t>http://www.kugellager-express.de/miniatur-kugellager-623-623z-623rs-3x10x4-mm.html</t>
  </si>
  <si>
    <t>Rillenkugellager 3x10x4</t>
  </si>
  <si>
    <t>Lagerung RiemenSpanner (Ersatz)</t>
  </si>
  <si>
    <t>Silberstahlwelle 3mm Durchmesser</t>
  </si>
  <si>
    <t>Welle Zwischenwelle</t>
  </si>
  <si>
    <t>http://www.cncshop.at/index.php?a=10275</t>
  </si>
  <si>
    <t>Zahnriemen Motor/ZwischenWelle</t>
  </si>
  <si>
    <t>Zahnriemen ZwischenWelle/WristFlansch</t>
  </si>
  <si>
    <t>GehäuseVerbindung am WristLager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</si>
  <si>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</si>
  <si>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</si>
  <si>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Summe</t>
  </si>
  <si>
    <t>Zylinderkopfschraube Innensechskant M3 25mm</t>
  </si>
  <si>
    <t>GehäuseVerbindung Mittendrin</t>
  </si>
  <si>
    <t>http://eu.stepperonline.com/nema-17-stepper-motor-34mm-12v-04a-26ncm37ozin-17hs130404s-p-166.html</t>
  </si>
  <si>
    <t>Motor Zahnriemenscheibe</t>
  </si>
  <si>
    <t>Zwischenwelle Zahnriemenscheibe</t>
  </si>
  <si>
    <t>http://www.cncshop.at/index.php?a=10135</t>
  </si>
  <si>
    <t>Zahnriemenscheibe T2,5, 60 Zähne</t>
  </si>
  <si>
    <t>profi</t>
  </si>
  <si>
    <t>http://www.amazon.de/St%C3%BCck-Senkkopfschrauben-M3X12A2-DIN7991-Edelstahl/dp/B008BLSJHG/ref=sr_1_cc_8?s=aps&amp;srs=9694354031&amp;ie=UTF8&amp;qid=1459159412&amp;sr=8-8-catcorr&amp;keywords=senkkopfschraube+m3</t>
  </si>
  <si>
    <t>Senkkopfschraube Innensechskant M3 12mm</t>
  </si>
  <si>
    <t>Muttern M3, Schlüsselweite 5.5 mm</t>
  </si>
  <si>
    <t>Vierkant Mutter M3 Breite 5.5mm</t>
  </si>
  <si>
    <t>Muttern M2</t>
  </si>
  <si>
    <t>Ellbow</t>
  </si>
  <si>
    <t>Upperarm</t>
  </si>
  <si>
    <t>Lagerung Ellenbogen</t>
  </si>
  <si>
    <t>Befestigung Sensordeckel</t>
  </si>
  <si>
    <t>Senkkopfschraube Innensechskant M3 10mm</t>
  </si>
  <si>
    <t>http://www.amazon.de/St%C3%BCck-Senkkopfschrauben-M3X10A2-DIN7991-Edelstahl/dp/B008BLSIU4/ref=sr_1_3?ie=UTF8&amp;qid=1459981546&amp;sr=8-3&amp;keywords=senkkopfschraube+m3+10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</si>
  <si>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</si>
  <si>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</si>
  <si>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</si>
  <si>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</si>
  <si>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</si>
  <si>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</si>
  <si>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</si>
  <si>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</si>
  <si>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</si>
  <si>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</si>
  <si>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https://www.conrad.de/de/einschnittgewindebohrer-metrisch-m3-05-mm-rechtsschneidend-exact-05931-din-3126-hss-1-st-813038.html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</si>
  <si>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</si>
  <si>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</si>
  <si>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</si>
  <si>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</si>
  <si>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</si>
  <si>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</si>
  <si>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</si>
  <si>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</si>
  <si>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</si>
  <si>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Metallbohrer 2.3mm (für M3 Gewinde)</t>
  </si>
  <si>
    <t>Werkzeug</t>
  </si>
  <si>
    <t>Madenschraube M3 5mm</t>
  </si>
  <si>
    <t>https://www.conrad.de/de/toolcraft-gewindestifte-mit-innensechskant-und-schneidring-din-916-916-5-mm-hart-45-h-schwarz-m3-20-st-237507.html?sc.ref=Product%20Details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</si>
  <si>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</si>
  <si>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</si>
  <si>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</si>
  <si>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</si>
  <si>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</si>
  <si>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>http://www.amazon.de/Bolt-Base-Edelstahl-Senkschrauben-Innensechskant/dp/B00B3RIE8Y/ref=sr_1_10?ie=UTF8&amp;qid=1460032362&amp;sr=8-10&amp;keywords=senkkopfschraube+m3+30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</si>
  <si>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</si>
  <si>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</si>
  <si>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</si>
  <si>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</si>
  <si>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Motor (337mm Echtlänge)</t>
  </si>
  <si>
    <t>Zahnriemenscheibe T5, 16 Zähne</t>
  </si>
  <si>
    <t>http://www.cncshop.at/index.php?a=10055</t>
  </si>
  <si>
    <t>Zahnriemen groß (Echtlänge 504mm)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</si>
  <si>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</si>
  <si>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</si>
  <si>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</si>
  <si>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</si>
  <si>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</si>
  <si>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</si>
  <si>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</si>
  <si>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</si>
  <si>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</si>
  <si>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</si>
  <si>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</si>
  <si>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</si>
  <si>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</si>
  <si>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</si>
  <si>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http://www.amazon.de/50-St%C3%BCck-Kunststoff-Unterlegscheiben-M8/dp/B008R9QED8</t>
  </si>
  <si>
    <t>http://www.amazon.de/Spiralbohrer-rollgewalzt-Bohrer-Metallbohrer-Stahlbohrer/dp/B01C1SVZM0/ref=sr_1_3?ie=UTF8&amp;qid=1460060893&amp;sr=8-3&amp;keywords=metallbohrer+%222%2C1%22</t>
  </si>
  <si>
    <t>Welle Riemenspanner (Ersatz)</t>
  </si>
  <si>
    <t>Welle Riemenspanner</t>
  </si>
  <si>
    <t>Unterlegscheiben M3 Kunststoff 0,8mm, Außendurchmesser 7mm</t>
  </si>
  <si>
    <t>Unterlegscheiben M3 Dicke 0,5mm, Außendurchmesser 7mm</t>
  </si>
  <si>
    <t>Shoulder</t>
  </si>
  <si>
    <t>Riemenspanner</t>
  </si>
  <si>
    <t>http://www.ebay.de/itm/Senkkopfschrauben-Innensechskant-DIN-7991-M3-Laengen-von-4-bis-45-mm-V2A-A2-/121104449387</t>
  </si>
  <si>
    <t>Zwischenachse</t>
  </si>
  <si>
    <t>Zwischachse Riemen (495mm)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</si>
  <si>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</si>
  <si>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</si>
  <si>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</si>
  <si>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</si>
  <si>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</si>
  <si>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</si>
  <si>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</si>
  <si>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</si>
  <si>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</si>
  <si>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http://eu.stepperonline.com/nema-24-dual-shaft-cnc-stepper-motor-31nm439-ozin-24hs343008d-p-275.html</t>
  </si>
  <si>
    <t>Rillenkugellager 8x22x7</t>
  </si>
  <si>
    <t>https://www.kugellager-express.de/miniatur-kugellager-608-608z-608rs-8x22x7-mm.html?XTCsid=jn6do78lmla6nb2l5bmaiarad4</t>
  </si>
  <si>
    <t>Oberarm-Kugellager</t>
  </si>
  <si>
    <t>Drehkranz 80mm/140mm</t>
  </si>
  <si>
    <t>Hip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</si>
  <si>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</si>
  <si>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</si>
  <si>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</si>
  <si>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</si>
  <si>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</si>
  <si>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</si>
  <si>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</si>
  <si>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Bestellmenge [VPE]</t>
  </si>
  <si>
    <t>Senkkopfschraube Innensechskant M6 16mm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</si>
  <si>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</si>
  <si>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</si>
  <si>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</si>
  <si>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</si>
  <si>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</si>
  <si>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http://eu.stepperonline.com/nema-23-cnc-stepper-motor-28a-126nm1785ozin-23hs222804s-p-108.html</t>
  </si>
  <si>
    <t>HüftMotor</t>
  </si>
  <si>
    <t>NEMA 24 - 57x57x56 - 1,26Nm - 6,35mm Achse</t>
  </si>
  <si>
    <t>NEMA 24 - 60x60x87 - 3.1Nm - 8mm Achse</t>
  </si>
  <si>
    <t xml:space="preserve">NEMA 24 - 60x60x57 - 1.9Nm ST6018M2008 </t>
  </si>
  <si>
    <t>NEMA 17 - 42x42x33 - 0,26Nm - 5mm Achse</t>
  </si>
  <si>
    <t>Zahnriemenscheibe T2,5, 12 Zähne</t>
  </si>
  <si>
    <t>http://www.cncshop.at/index.php?a=10117</t>
  </si>
  <si>
    <t>Sensordeckel Schrauben</t>
  </si>
  <si>
    <t>Schraube KabelkanalDeckel</t>
  </si>
  <si>
    <t>NEMA 17 - 42x42x21 - 0,11Nm - 5mm Achse</t>
  </si>
  <si>
    <t>GehäuseVerbindung Oben</t>
  </si>
  <si>
    <t>Hüftmotor Zahnriemen original 564mm</t>
  </si>
  <si>
    <t>http://www.cncshop.at/index.php?a=10331</t>
  </si>
  <si>
    <t>Zahnriemen T5 560mm 10mm Breite</t>
  </si>
  <si>
    <t>Status</t>
  </si>
  <si>
    <t>Open</t>
  </si>
  <si>
    <t>Got it</t>
  </si>
  <si>
    <t>ordered not yet delivered</t>
  </si>
  <si>
    <t>Total</t>
  </si>
  <si>
    <t>Still Open</t>
  </si>
  <si>
    <t>http://www.3d-drucker-experte.de/</t>
  </si>
  <si>
    <t>returned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</si>
  <si>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</si>
  <si>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</si>
  <si>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</si>
  <si>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</si>
  <si>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</si>
  <si>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</si>
  <si>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</si>
  <si>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</si>
  <si>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10-polig</t>
  </si>
  <si>
    <t>https://www.reichelt.de/Buchsenleisten/2/index.html?&amp;ACTION=2&amp;LA=3&amp;GROUP=C142&amp;GROUPID=3221&amp;START=0&amp;OFFSET=500&amp;SHOW=1</t>
  </si>
  <si>
    <t>https://www.reichelt.de/Buchsenleisten/BL-1X20G-1-27/3/index.html?&amp;ACTION=3&amp;LA=2&amp;ARTICLE=51823&amp;GROUPID=3221&amp;artnr=BL+1X20G+1%2C27</t>
  </si>
  <si>
    <t>Buchsenleisten RM127 20-polig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</si>
</sst>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4" fillId="0" borderId="0" xfId="3" applyNumberFormat="1" applyFont="1"/>
    <xf numFmtId="167" fontId="5" fillId="0" borderId="0" xfId="0" applyNumberFormat="1" applyFont="1"/>
    <xf numFmtId="0" fontId="0" fillId="0" borderId="0" xfId="0" applyAlignment="1">
      <alignment horizontal="center" vertical="center" wrapText="1"/>
    </xf>
    <xf numFmtId="167" fontId="6" fillId="0" borderId="0" xfId="0" applyNumberFormat="1" applyFont="1"/>
    <xf numFmtId="167" fontId="4" fillId="0" borderId="0" xfId="3" applyNumberFormat="1" applyFont="1" applyAlignment="1">
      <alignment horizontal="right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723900</xdr:colOff>
      <xdr:row>2</xdr:row>
      <xdr:rowOff>7620</xdr:rowOff>
    </xdr:from>
    <xdr:to>
      <xdr:col>12</xdr:col>
      <xdr:colOff>0</xdr:colOff>
      <xdr:row>18</xdr:row>
      <xdr:rowOff>70944</xdr:rowOff>
    </xdr:to>
    <xdr:pic>
      <xdr:nvPicPr>
        <xdr:cNvPr id="2" name="Grafik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04" t="19901" r="43703" b="9328"/>
        <a:stretch/>
      </xdr:blipFill>
      <xdr:spPr>
        <a:xfrm>
          <a:off x="5478780" y="373380"/>
          <a:ext cx="4030980" cy="2989404"/>
        </a:xfrm>
        <a:prstGeom prst="rect">
          <a:avLst/>
        </a:prstGeom>
      </xdr:spPr>
    </xdr:pic>
    <xdr:clientData/>
  </xdr:twoCellAnchor>
  <xdr:twoCellAnchor editAs="oneCell">
    <xdr:from>
      <xdr:col>12</xdr:col>
      <xdr:colOff>312420</xdr:colOff>
      <xdr:row>4</xdr:row>
      <xdr:rowOff>83820</xdr:rowOff>
    </xdr:from>
    <xdr:to>
      <xdr:col>17</xdr:col>
      <xdr:colOff>266700</xdr:colOff>
      <xdr:row>12</xdr:row>
      <xdr:rowOff>9907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062" t="17377" r="46307" b="49810"/>
        <a:stretch/>
      </xdr:blipFill>
      <xdr:spPr>
        <a:xfrm>
          <a:off x="9822180" y="815340"/>
          <a:ext cx="3916680" cy="1389127"/>
        </a:xfrm>
        <a:prstGeom prst="rect">
          <a:avLst/>
        </a:prstGeom>
      </xdr:spPr>
    </xdr:pic>
    <xdr:clientData/>
  </xdr:twoCellAnchor>
  <xdr:twoCellAnchor editAs="oneCell">
    <xdr:from>
      <xdr:col>3</xdr:col>
      <xdr:colOff>559194</xdr:colOff>
      <xdr:row>1</xdr:row>
      <xdr:rowOff>53341</xdr:rowOff>
    </xdr:from>
    <xdr:to>
      <xdr:col>6</xdr:col>
      <xdr:colOff>312419</xdr:colOff>
      <xdr:row>13</xdr:row>
      <xdr:rowOff>30481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135" t="21551" r="62712" b="11659"/>
        <a:stretch/>
      </xdr:blipFill>
      <xdr:spPr>
        <a:xfrm>
          <a:off x="2936634" y="236221"/>
          <a:ext cx="2130665" cy="2171700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0</xdr:row>
      <xdr:rowOff>99060</xdr:rowOff>
    </xdr:from>
    <xdr:to>
      <xdr:col>3</xdr:col>
      <xdr:colOff>60960</xdr:colOff>
      <xdr:row>13</xdr:row>
      <xdr:rowOff>79349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291" t="33104" r="72294" b="29035"/>
        <a:stretch/>
      </xdr:blipFill>
      <xdr:spPr>
        <a:xfrm>
          <a:off x="68580" y="99060"/>
          <a:ext cx="2369820" cy="23577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topLeftCell="A16" zoomScale="115" zoomScaleNormal="115" workbookViewId="0">
      <selection activeCell="E19" sqref="E19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629</v>
      </c>
    </row>
    <row r="28" spans="1:5" x14ac:dyDescent="0.3">
      <c r="E28" t="s">
        <v>630</v>
      </c>
    </row>
    <row r="30" spans="1:5" x14ac:dyDescent="0.3">
      <c r="A30" t="s">
        <v>560</v>
      </c>
      <c r="C30" t="s">
        <v>565</v>
      </c>
      <c r="D30" t="s">
        <v>561</v>
      </c>
      <c r="E30" t="s">
        <v>562</v>
      </c>
    </row>
    <row r="31" spans="1:5" x14ac:dyDescent="0.3">
      <c r="D31" t="s">
        <v>564</v>
      </c>
      <c r="E31" t="s">
        <v>563</v>
      </c>
    </row>
    <row r="32" spans="1:5" x14ac:dyDescent="0.3">
      <c r="D32" t="s">
        <v>566</v>
      </c>
      <c r="E32" t="s">
        <v>567</v>
      </c>
    </row>
    <row r="34" spans="1:5" x14ac:dyDescent="0.3">
      <c r="A34" t="s">
        <v>603</v>
      </c>
      <c r="E34" t="s">
        <v>602</v>
      </c>
    </row>
    <row r="35" spans="1:5" x14ac:dyDescent="0.3">
      <c r="A35" t="s">
        <v>603</v>
      </c>
      <c r="E35" t="s">
        <v>602</v>
      </c>
    </row>
    <row r="37" spans="1:5" x14ac:dyDescent="0.3">
      <c r="A37" t="s">
        <v>236</v>
      </c>
      <c r="E37" t="s">
        <v>601</v>
      </c>
    </row>
    <row r="38" spans="1:5" x14ac:dyDescent="0.3">
      <c r="A38" t="s">
        <v>605</v>
      </c>
      <c r="E38" t="s">
        <v>606</v>
      </c>
    </row>
    <row r="40" spans="1:5" x14ac:dyDescent="0.3">
      <c r="A40" t="s">
        <v>607</v>
      </c>
      <c r="E40" t="s">
        <v>608</v>
      </c>
    </row>
    <row r="41" spans="1:5" x14ac:dyDescent="0.3">
      <c r="A41" t="s">
        <v>623</v>
      </c>
      <c r="E41" t="s">
        <v>624</v>
      </c>
    </row>
    <row r="42" spans="1:5" x14ac:dyDescent="0.3">
      <c r="A42" t="s">
        <v>799</v>
      </c>
      <c r="E42" t="s">
        <v>624</v>
      </c>
    </row>
    <row r="43" spans="1:5" x14ac:dyDescent="0.3">
      <c r="A43" t="s">
        <v>625</v>
      </c>
      <c r="E43" t="s">
        <v>626</v>
      </c>
    </row>
    <row r="44" spans="1:5" x14ac:dyDescent="0.3">
      <c r="A44" t="s">
        <v>628</v>
      </c>
      <c r="E44" t="s">
        <v>627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0"/>
  <sheetViews>
    <sheetView tabSelected="1" topLeftCell="B200" zoomScale="85" zoomScaleNormal="85" workbookViewId="0">
      <selection activeCell="E216" sqref="E216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style="29" customWidth="1"/>
    <col min="11" max="11" width="11.77734375" bestFit="1" customWidth="1"/>
    <col min="12" max="12" width="13.77734375" bestFit="1" customWidth="1"/>
  </cols>
  <sheetData>
    <row r="1" spans="1:13" x14ac:dyDescent="0.3">
      <c r="B1" t="s">
        <v>597</v>
      </c>
      <c r="C1" t="s">
        <v>594</v>
      </c>
      <c r="D1" t="s">
        <v>598</v>
      </c>
      <c r="E1" s="29" t="s">
        <v>595</v>
      </c>
      <c r="F1" t="s">
        <v>596</v>
      </c>
      <c r="L1" t="s">
        <v>830</v>
      </c>
      <c r="M1" t="s">
        <v>831</v>
      </c>
    </row>
    <row r="2" spans="1:13" x14ac:dyDescent="0.3">
      <c r="A2" s="6" t="s">
        <v>609</v>
      </c>
      <c r="M2" t="s">
        <v>832</v>
      </c>
    </row>
    <row r="3" spans="1:13" x14ac:dyDescent="0.3">
      <c r="B3">
        <v>3</v>
      </c>
      <c r="C3" t="str">
        <f>C167</f>
        <v>Zylinderkopfschraube Innensechskant M3 20mm</v>
      </c>
      <c r="D3" t="s">
        <v>610</v>
      </c>
      <c r="F3">
        <v>0</v>
      </c>
      <c r="M3" t="s">
        <v>833</v>
      </c>
    </row>
    <row r="4" spans="1:13" x14ac:dyDescent="0.3">
      <c r="B4">
        <v>3</v>
      </c>
      <c r="C4" t="s">
        <v>611</v>
      </c>
      <c r="D4" t="s">
        <v>612</v>
      </c>
      <c r="F4">
        <v>0</v>
      </c>
      <c r="M4" t="s">
        <v>837</v>
      </c>
    </row>
    <row r="5" spans="1:13" x14ac:dyDescent="0.3">
      <c r="A5" s="6" t="s">
        <v>631</v>
      </c>
    </row>
    <row r="6" spans="1:13" x14ac:dyDescent="0.3">
      <c r="B6">
        <v>1</v>
      </c>
      <c r="C6" t="str">
        <f>C228</f>
        <v>Rillenkugellager DIN 625 SKF - 61807 35x47x7mm</v>
      </c>
      <c r="D6" t="s">
        <v>614</v>
      </c>
      <c r="F6">
        <v>0</v>
      </c>
    </row>
    <row r="7" spans="1:13" x14ac:dyDescent="0.3">
      <c r="B7">
        <v>4</v>
      </c>
      <c r="C7" t="str">
        <f>C169</f>
        <v>Zylinderkopfschraube Innensechskant M3 12mm</v>
      </c>
      <c r="D7" t="s">
        <v>615</v>
      </c>
      <c r="F7">
        <v>0</v>
      </c>
    </row>
    <row r="8" spans="1:13" x14ac:dyDescent="0.3">
      <c r="B8">
        <v>4</v>
      </c>
      <c r="C8" t="str">
        <f>C172</f>
        <v>Zylinderkopfschraube Innensechskant M2 12mm</v>
      </c>
      <c r="D8" t="s">
        <v>617</v>
      </c>
    </row>
    <row r="9" spans="1:13" x14ac:dyDescent="0.3">
      <c r="B9">
        <v>4</v>
      </c>
      <c r="C9" t="str">
        <f>C179</f>
        <v>Muttern M3, Schlüsselweite 5.5 mm</v>
      </c>
      <c r="D9" t="s">
        <v>619</v>
      </c>
    </row>
    <row r="10" spans="1:13" x14ac:dyDescent="0.3">
      <c r="B10">
        <v>2</v>
      </c>
      <c r="C10" t="str">
        <f>C227</f>
        <v>Rillenkugellager DIN 625 SKF - 61902 15x28x7mm</v>
      </c>
      <c r="D10" t="s">
        <v>621</v>
      </c>
    </row>
    <row r="11" spans="1:13" x14ac:dyDescent="0.3">
      <c r="B11">
        <v>1</v>
      </c>
      <c r="C11" t="str">
        <f>C221</f>
        <v xml:space="preserve">Herkulex Servo DRS - 0201 </v>
      </c>
      <c r="D11" t="s">
        <v>769</v>
      </c>
    </row>
    <row r="12" spans="1:13" x14ac:dyDescent="0.3">
      <c r="A12" s="6" t="s">
        <v>681</v>
      </c>
    </row>
    <row r="13" spans="1:13" x14ac:dyDescent="0.3">
      <c r="B13">
        <v>1</v>
      </c>
      <c r="C13" t="str">
        <f>C196</f>
        <v>Zahnriemenscheibe T2,5, 16 Zähne</v>
      </c>
      <c r="D13" t="s">
        <v>635</v>
      </c>
      <c r="H13" s="22"/>
      <c r="I13" s="22"/>
    </row>
    <row r="14" spans="1:13" x14ac:dyDescent="0.3">
      <c r="B14">
        <v>1</v>
      </c>
      <c r="C14" t="str">
        <f>C198</f>
        <v>Zahnriemenscheibe T2,5, 44 Zähne</v>
      </c>
      <c r="D14" t="s">
        <v>634</v>
      </c>
      <c r="H14" s="22"/>
      <c r="I14" s="22"/>
    </row>
    <row r="15" spans="1:13" x14ac:dyDescent="0.3">
      <c r="B15">
        <v>1</v>
      </c>
      <c r="C15" t="str">
        <f>C196</f>
        <v>Zahnriemenscheibe T2,5, 16 Zähne</v>
      </c>
      <c r="D15" t="s">
        <v>633</v>
      </c>
      <c r="H15" s="22"/>
      <c r="I15" s="22"/>
    </row>
    <row r="16" spans="1:13" x14ac:dyDescent="0.3">
      <c r="B16">
        <v>1</v>
      </c>
      <c r="C16" t="str">
        <f>C206</f>
        <v>Zahnriemen T2,5 160mm 6mm Breite</v>
      </c>
      <c r="D16" t="s">
        <v>641</v>
      </c>
      <c r="H16" s="22"/>
      <c r="I16" s="22"/>
    </row>
    <row r="17" spans="2:9" ht="13.8" customHeight="1" x14ac:dyDescent="0.3">
      <c r="B17">
        <v>46</v>
      </c>
      <c r="C17" t="str">
        <f>C188</f>
        <v>Silberstahlwelle 6mm Durchmesser</v>
      </c>
      <c r="D17" t="s">
        <v>636</v>
      </c>
      <c r="E17" s="26"/>
      <c r="H17" s="22"/>
      <c r="I17" s="22"/>
    </row>
    <row r="18" spans="2:9" ht="13.8" customHeight="1" x14ac:dyDescent="0.3">
      <c r="B18">
        <v>1</v>
      </c>
      <c r="C18" t="str">
        <f>C238</f>
        <v>Metallbohrer 6mm</v>
      </c>
      <c r="D18" t="s">
        <v>636</v>
      </c>
      <c r="E18" s="26"/>
      <c r="H18" s="22"/>
      <c r="I18" s="22"/>
    </row>
    <row r="19" spans="2:9" ht="13.8" customHeight="1" x14ac:dyDescent="0.3">
      <c r="B19">
        <v>1</v>
      </c>
      <c r="C19" t="str">
        <f>C239</f>
        <v>Metallbohrer 2.3mm (für M3 Gewinde)</v>
      </c>
      <c r="D19" t="s">
        <v>636</v>
      </c>
      <c r="E19" s="26"/>
      <c r="H19" s="22"/>
      <c r="I19" s="22"/>
    </row>
    <row r="20" spans="2:9" ht="13.8" customHeight="1" x14ac:dyDescent="0.3">
      <c r="B20">
        <v>1</v>
      </c>
      <c r="C20" t="str">
        <f>C236</f>
        <v>Gewindeschneider M3</v>
      </c>
      <c r="D20" t="s">
        <v>636</v>
      </c>
      <c r="E20" s="26"/>
      <c r="H20" s="22"/>
      <c r="I20" s="22"/>
    </row>
    <row r="21" spans="2:9" ht="13.8" customHeight="1" x14ac:dyDescent="0.3">
      <c r="B21">
        <v>2</v>
      </c>
      <c r="C21" t="str">
        <f>C226</f>
        <v>Rillenkugellager 6x10x3</v>
      </c>
      <c r="D21" t="s">
        <v>645</v>
      </c>
      <c r="E21" s="26"/>
      <c r="H21" s="22"/>
      <c r="I21" s="22"/>
    </row>
    <row r="22" spans="2:9" ht="13.8" customHeight="1" x14ac:dyDescent="0.3">
      <c r="B22">
        <v>1</v>
      </c>
      <c r="C22" s="32" t="str">
        <f>C215</f>
        <v>NEMA 17 - 42x42x21 - 0,11Nm - 5mm Achse</v>
      </c>
      <c r="D22" s="32" t="s">
        <v>647</v>
      </c>
      <c r="E22" s="26"/>
      <c r="H22" s="22"/>
      <c r="I22" s="22"/>
    </row>
    <row r="23" spans="2:9" ht="13.8" customHeight="1" x14ac:dyDescent="0.3">
      <c r="B23">
        <v>2</v>
      </c>
      <c r="C23" s="32" t="str">
        <f>C167</f>
        <v>Zylinderkopfschraube Innensechskant M3 20mm</v>
      </c>
      <c r="D23" s="32" t="s">
        <v>649</v>
      </c>
      <c r="H23" s="22"/>
      <c r="I23" s="22"/>
    </row>
    <row r="24" spans="2:9" ht="13.8" customHeight="1" x14ac:dyDescent="0.3">
      <c r="B24">
        <v>2</v>
      </c>
      <c r="C24" s="32" t="str">
        <f>C184</f>
        <v>Unterlegscheiben M3 Dicke 0,5mm, Außendurchmesser 7mm</v>
      </c>
      <c r="D24" s="32" t="s">
        <v>649</v>
      </c>
      <c r="H24" s="22"/>
      <c r="I24" s="22"/>
    </row>
    <row r="25" spans="2:9" ht="13.8" customHeight="1" x14ac:dyDescent="0.3">
      <c r="B25">
        <v>1</v>
      </c>
      <c r="C25" s="32" t="str">
        <f>C205</f>
        <v>Zahnriemen T2,5 230mm 6mm Breite</v>
      </c>
      <c r="D25" s="32" t="s">
        <v>652</v>
      </c>
      <c r="H25" s="22"/>
      <c r="I25" s="22"/>
    </row>
    <row r="26" spans="2:9" ht="13.8" customHeight="1" x14ac:dyDescent="0.3">
      <c r="B26">
        <v>1</v>
      </c>
      <c r="C26" s="32" t="str">
        <f>C167</f>
        <v>Zylinderkopfschraube Innensechskant M3 20mm</v>
      </c>
      <c r="D26" s="32" t="s">
        <v>651</v>
      </c>
      <c r="H26" s="22"/>
      <c r="I26" s="22"/>
    </row>
    <row r="27" spans="2:9" ht="13.8" customHeight="1" x14ac:dyDescent="0.3">
      <c r="B27">
        <v>2</v>
      </c>
      <c r="C27" s="32" t="str">
        <f>C184</f>
        <v>Unterlegscheiben M3 Dicke 0,5mm, Außendurchmesser 7mm</v>
      </c>
      <c r="D27" s="32" t="s">
        <v>651</v>
      </c>
      <c r="H27" s="22"/>
      <c r="I27" s="22"/>
    </row>
    <row r="28" spans="2:9" ht="13.8" customHeight="1" x14ac:dyDescent="0.3">
      <c r="B28">
        <v>2</v>
      </c>
      <c r="C28" s="32" t="str">
        <f>C223</f>
        <v>Rillenkugellager  3.967 x 7.938 x 3.175 mm</v>
      </c>
      <c r="D28" s="32" t="s">
        <v>665</v>
      </c>
      <c r="H28" s="22"/>
      <c r="I28" s="22"/>
    </row>
    <row r="29" spans="2:9" ht="13.8" customHeight="1" x14ac:dyDescent="0.3">
      <c r="B29">
        <v>1</v>
      </c>
      <c r="C29" s="32" t="str">
        <f>C178</f>
        <v>Vierkant Mutter M3 Breite 5.5mm</v>
      </c>
      <c r="D29" s="32" t="s">
        <v>651</v>
      </c>
      <c r="E29"/>
      <c r="H29" s="22"/>
      <c r="I29" s="22"/>
    </row>
    <row r="30" spans="2:9" ht="13.8" customHeight="1" x14ac:dyDescent="0.3">
      <c r="B30">
        <v>4</v>
      </c>
      <c r="C30" s="32" t="str">
        <f>C171</f>
        <v>Zylinderkopfschraube Innensechskant M2 6mm</v>
      </c>
      <c r="D30" s="32" t="s">
        <v>655</v>
      </c>
      <c r="E30"/>
      <c r="H30" s="22"/>
      <c r="I30" s="22"/>
    </row>
    <row r="31" spans="2:9" ht="13.8" customHeight="1" x14ac:dyDescent="0.3">
      <c r="B31">
        <v>4</v>
      </c>
      <c r="C31" s="32" t="str">
        <f>C180</f>
        <v>Muttern M2</v>
      </c>
      <c r="D31" s="32" t="s">
        <v>655</v>
      </c>
      <c r="E31"/>
      <c r="H31" s="22"/>
      <c r="I31" s="22"/>
    </row>
    <row r="32" spans="2:9" ht="13.8" customHeight="1" x14ac:dyDescent="0.3">
      <c r="B32">
        <v>1</v>
      </c>
      <c r="C32" s="32" t="str">
        <f>C220</f>
        <v>Rotary Sensor</v>
      </c>
      <c r="D32" s="32" t="s">
        <v>660</v>
      </c>
      <c r="E32" s="9"/>
      <c r="H32" s="22"/>
      <c r="I32" s="22"/>
    </row>
    <row r="33" spans="1:9" ht="13.8" customHeight="1" x14ac:dyDescent="0.3">
      <c r="B33">
        <v>4</v>
      </c>
      <c r="C33" s="32" t="str">
        <f>C175</f>
        <v>Senkkopfschraube Innensechskant M3 10mm</v>
      </c>
      <c r="D33" s="32" t="s">
        <v>823</v>
      </c>
      <c r="E33" s="9"/>
      <c r="H33" s="22"/>
      <c r="I33" s="22"/>
    </row>
    <row r="34" spans="1:9" ht="13.8" customHeight="1" x14ac:dyDescent="0.3">
      <c r="B34">
        <v>4</v>
      </c>
      <c r="C34" s="32" t="str">
        <f>C178</f>
        <v>Vierkant Mutter M3 Breite 5.5mm</v>
      </c>
      <c r="D34" s="32" t="s">
        <v>823</v>
      </c>
      <c r="E34" s="9"/>
      <c r="H34" s="22"/>
      <c r="I34" s="22"/>
    </row>
    <row r="35" spans="1:9" ht="13.8" customHeight="1" x14ac:dyDescent="0.3">
      <c r="B35">
        <v>2</v>
      </c>
      <c r="C35" s="32" t="str">
        <f>C185</f>
        <v>Unterlegscheiben M2 Dicke 0,5mm</v>
      </c>
      <c r="D35" s="32" t="s">
        <v>661</v>
      </c>
      <c r="E35" s="9"/>
      <c r="H35" s="22"/>
      <c r="I35" s="22"/>
    </row>
    <row r="36" spans="1:9" ht="13.8" customHeight="1" x14ac:dyDescent="0.3">
      <c r="B36">
        <v>2</v>
      </c>
      <c r="C36" s="32" t="str">
        <f>C192</f>
        <v>Distanzbolzen 2x Innen M3 20mm, Schlüsselweite 5,5mm</v>
      </c>
      <c r="D36" s="32" t="s">
        <v>667</v>
      </c>
      <c r="E36" s="9"/>
      <c r="H36" s="22"/>
      <c r="I36" s="22"/>
    </row>
    <row r="37" spans="1:9" ht="13.8" customHeight="1" x14ac:dyDescent="0.3">
      <c r="B37">
        <v>4</v>
      </c>
      <c r="C37" s="32" t="str">
        <f>C184</f>
        <v>Unterlegscheiben M3 Dicke 0,5mm, Außendurchmesser 7mm</v>
      </c>
      <c r="D37" s="32" t="s">
        <v>668</v>
      </c>
      <c r="H37" s="22"/>
      <c r="I37" s="22"/>
    </row>
    <row r="38" spans="1:9" ht="13.8" customHeight="1" x14ac:dyDescent="0.3">
      <c r="B38">
        <v>4</v>
      </c>
      <c r="C38" s="32" t="str">
        <f>C192</f>
        <v>Distanzbolzen 2x Innen M3 20mm, Schlüsselweite 5,5mm</v>
      </c>
      <c r="D38" s="32" t="s">
        <v>683</v>
      </c>
      <c r="H38" s="22"/>
      <c r="I38" s="22"/>
    </row>
    <row r="39" spans="1:9" ht="13.8" customHeight="1" x14ac:dyDescent="0.3">
      <c r="B39">
        <v>4</v>
      </c>
      <c r="C39" s="32" t="str">
        <f>C167</f>
        <v>Zylinderkopfschraube Innensechskant M3 20mm</v>
      </c>
      <c r="D39" s="32" t="s">
        <v>684</v>
      </c>
      <c r="E39" s="9"/>
      <c r="H39" s="22"/>
      <c r="I39" s="22"/>
    </row>
    <row r="40" spans="1:9" ht="13.8" customHeight="1" x14ac:dyDescent="0.3">
      <c r="B40">
        <v>4</v>
      </c>
      <c r="C40" s="32" t="str">
        <f>C184</f>
        <v>Unterlegscheiben M3 Dicke 0,5mm, Außendurchmesser 7mm</v>
      </c>
      <c r="D40" s="32" t="s">
        <v>683</v>
      </c>
      <c r="H40" s="22"/>
      <c r="I40" s="22"/>
    </row>
    <row r="41" spans="1:9" ht="13.8" customHeight="1" x14ac:dyDescent="0.3">
      <c r="B41">
        <v>2</v>
      </c>
      <c r="C41" s="32" t="str">
        <f>C178</f>
        <v>Vierkant Mutter M3 Breite 5.5mm</v>
      </c>
      <c r="D41" s="32" t="s">
        <v>824</v>
      </c>
      <c r="H41" s="22"/>
      <c r="I41" s="22"/>
    </row>
    <row r="42" spans="1:9" ht="13.8" customHeight="1" x14ac:dyDescent="0.3">
      <c r="B42">
        <v>2</v>
      </c>
      <c r="C42" s="32" t="str">
        <f>C175</f>
        <v>Senkkopfschraube Innensechskant M3 10mm</v>
      </c>
      <c r="D42" s="32" t="s">
        <v>824</v>
      </c>
      <c r="H42" s="22"/>
      <c r="I42" s="22"/>
    </row>
    <row r="43" spans="1:9" ht="13.8" customHeight="1" x14ac:dyDescent="0.3">
      <c r="C43" s="32"/>
      <c r="D43" s="32"/>
      <c r="H43" s="22"/>
      <c r="I43" s="22"/>
    </row>
    <row r="44" spans="1:9" ht="13.8" customHeight="1" x14ac:dyDescent="0.3">
      <c r="A44" s="6" t="s">
        <v>717</v>
      </c>
      <c r="B44">
        <v>2</v>
      </c>
      <c r="C44" s="32" t="str">
        <f>C228</f>
        <v>Rillenkugellager DIN 625 SKF - 61807 35x47x7mm</v>
      </c>
      <c r="D44" s="32" t="s">
        <v>682</v>
      </c>
      <c r="E44" s="9"/>
      <c r="H44" s="22"/>
      <c r="I44" s="22"/>
    </row>
    <row r="45" spans="1:9" ht="13.8" customHeight="1" x14ac:dyDescent="0.3">
      <c r="B45">
        <v>2</v>
      </c>
      <c r="C45" s="32" t="str">
        <f>C229</f>
        <v>RillenKugellager 6x19x6</v>
      </c>
      <c r="D45" s="32" t="s">
        <v>687</v>
      </c>
      <c r="H45" s="22"/>
      <c r="I45" s="22"/>
    </row>
    <row r="46" spans="1:9" ht="13.8" customHeight="1" x14ac:dyDescent="0.3">
      <c r="B46">
        <v>4</v>
      </c>
      <c r="C46" s="32" t="str">
        <f>C226</f>
        <v>Rillenkugellager 6x10x3</v>
      </c>
      <c r="D46" s="32" t="s">
        <v>688</v>
      </c>
      <c r="E46" s="9"/>
      <c r="H46" s="22"/>
      <c r="I46" s="22"/>
    </row>
    <row r="47" spans="1:9" ht="13.8" customHeight="1" x14ac:dyDescent="0.3">
      <c r="B47">
        <v>4</v>
      </c>
      <c r="C47" s="32" t="str">
        <f>C230</f>
        <v>Rillenkugellager 3x10x4</v>
      </c>
      <c r="D47" s="32" t="s">
        <v>694</v>
      </c>
      <c r="E47" s="9"/>
      <c r="H47" s="22"/>
      <c r="I47" s="22"/>
    </row>
    <row r="48" spans="1:9" ht="13.8" customHeight="1" x14ac:dyDescent="0.3">
      <c r="B48">
        <v>2</v>
      </c>
      <c r="C48" s="32" t="str">
        <f>C193</f>
        <v>Distanzhülsen M6 10mm</v>
      </c>
      <c r="D48" s="32" t="s">
        <v>691</v>
      </c>
      <c r="H48" s="22"/>
      <c r="I48" s="22"/>
    </row>
    <row r="49" spans="2:9" ht="13.8" customHeight="1" x14ac:dyDescent="0.3">
      <c r="B49">
        <v>40</v>
      </c>
      <c r="C49" s="32" t="str">
        <f>C188</f>
        <v>Silberstahlwelle 6mm Durchmesser</v>
      </c>
      <c r="D49" s="32" t="s">
        <v>696</v>
      </c>
      <c r="H49" s="22"/>
      <c r="I49" s="22"/>
    </row>
    <row r="50" spans="2:9" ht="13.8" customHeight="1" x14ac:dyDescent="0.3">
      <c r="B50">
        <f>2*25</f>
        <v>50</v>
      </c>
      <c r="C50" s="32" t="str">
        <f>C188</f>
        <v>Silberstahlwelle 6mm Durchmesser</v>
      </c>
      <c r="D50" s="32" t="s">
        <v>778</v>
      </c>
      <c r="H50" s="22"/>
      <c r="I50" s="22"/>
    </row>
    <row r="51" spans="2:9" ht="13.8" customHeight="1" x14ac:dyDescent="0.3">
      <c r="B51">
        <v>50</v>
      </c>
      <c r="C51" s="32" t="str">
        <f>C189</f>
        <v>Silberstahlwelle 3mm Durchmesser</v>
      </c>
      <c r="D51" s="32" t="s">
        <v>777</v>
      </c>
      <c r="E51" s="9"/>
      <c r="H51" s="22"/>
      <c r="I51" s="22"/>
    </row>
    <row r="52" spans="2:9" ht="13.8" customHeight="1" x14ac:dyDescent="0.3">
      <c r="B52">
        <v>1</v>
      </c>
      <c r="C52" t="str">
        <f>C238</f>
        <v>Metallbohrer 6mm</v>
      </c>
      <c r="D52" t="s">
        <v>636</v>
      </c>
      <c r="E52" s="26"/>
      <c r="H52" s="22"/>
      <c r="I52" s="22"/>
    </row>
    <row r="53" spans="2:9" ht="13.8" customHeight="1" x14ac:dyDescent="0.3">
      <c r="B53">
        <v>1</v>
      </c>
      <c r="C53" t="str">
        <f>C236</f>
        <v>Gewindeschneider M3</v>
      </c>
      <c r="D53" t="s">
        <v>636</v>
      </c>
      <c r="E53" s="26"/>
      <c r="H53" s="22"/>
      <c r="I53" s="22"/>
    </row>
    <row r="54" spans="2:9" ht="13.8" customHeight="1" x14ac:dyDescent="0.3">
      <c r="B54">
        <v>1</v>
      </c>
      <c r="C54" t="str">
        <f>C239</f>
        <v>Metallbohrer 2.3mm (für M3 Gewinde)</v>
      </c>
      <c r="D54" t="s">
        <v>636</v>
      </c>
      <c r="E54" s="26"/>
      <c r="H54" s="22"/>
      <c r="I54" s="22"/>
    </row>
    <row r="55" spans="2:9" ht="13.8" customHeight="1" x14ac:dyDescent="0.3">
      <c r="B55">
        <v>1</v>
      </c>
      <c r="C55" s="32" t="str">
        <f>C207</f>
        <v>Zahnriemen T2,5 200mm 6mm Breite</v>
      </c>
      <c r="D55" s="32" t="s">
        <v>698</v>
      </c>
      <c r="H55" s="22"/>
      <c r="I55" s="22"/>
    </row>
    <row r="56" spans="2:9" ht="13.8" customHeight="1" x14ac:dyDescent="0.3">
      <c r="B56">
        <v>1</v>
      </c>
      <c r="C56" s="32" t="str">
        <f>C207</f>
        <v>Zahnriemen T2,5 200mm 6mm Breite</v>
      </c>
      <c r="D56" s="32" t="s">
        <v>699</v>
      </c>
      <c r="H56" s="22"/>
      <c r="I56" s="22"/>
    </row>
    <row r="57" spans="2:9" ht="13.8" customHeight="1" x14ac:dyDescent="0.3">
      <c r="B57">
        <v>4</v>
      </c>
      <c r="C57" s="32" t="str">
        <f>C167</f>
        <v>Zylinderkopfschraube Innensechskant M3 20mm</v>
      </c>
      <c r="D57" s="32" t="s">
        <v>700</v>
      </c>
      <c r="H57" s="22"/>
      <c r="I57" s="22"/>
    </row>
    <row r="58" spans="2:9" ht="13.8" customHeight="1" x14ac:dyDescent="0.3">
      <c r="B58">
        <v>4</v>
      </c>
      <c r="C58" s="32" t="str">
        <f>C179</f>
        <v>Muttern M3, Schlüsselweite 5.5 mm</v>
      </c>
      <c r="D58" s="32" t="s">
        <v>700</v>
      </c>
      <c r="E58" s="9"/>
      <c r="H58" s="22"/>
      <c r="I58" s="22"/>
    </row>
    <row r="59" spans="2:9" ht="13.8" customHeight="1" x14ac:dyDescent="0.3">
      <c r="B59">
        <v>8</v>
      </c>
      <c r="C59" s="32" t="str">
        <f>C168</f>
        <v>Zylinderkopfschraube Innensechskant M3 25mm</v>
      </c>
      <c r="D59" s="32" t="s">
        <v>705</v>
      </c>
      <c r="E59" s="9"/>
      <c r="H59" s="22"/>
      <c r="I59" s="22"/>
    </row>
    <row r="60" spans="2:9" ht="13.8" customHeight="1" x14ac:dyDescent="0.3">
      <c r="B60">
        <v>4</v>
      </c>
      <c r="C60" s="32" t="str">
        <f>C192</f>
        <v>Distanzbolzen 2x Innen M3 20mm, Schlüsselweite 5,5mm</v>
      </c>
      <c r="D60" s="32" t="s">
        <v>705</v>
      </c>
      <c r="E60" s="9"/>
      <c r="H60" s="22"/>
      <c r="I60" s="22"/>
    </row>
    <row r="61" spans="2:9" ht="13.8" customHeight="1" x14ac:dyDescent="0.3">
      <c r="B61">
        <v>2</v>
      </c>
      <c r="C61" s="32" t="str">
        <f>C167</f>
        <v>Zylinderkopfschraube Innensechskant M3 20mm</v>
      </c>
      <c r="D61" s="32" t="s">
        <v>826</v>
      </c>
      <c r="E61" s="9"/>
      <c r="H61" s="22"/>
      <c r="I61" s="22"/>
    </row>
    <row r="62" spans="2:9" ht="13.8" customHeight="1" x14ac:dyDescent="0.3">
      <c r="B62">
        <v>1</v>
      </c>
      <c r="C62" s="32" t="str">
        <f>C192</f>
        <v>Distanzbolzen 2x Innen M3 20mm, Schlüsselweite 5,5mm</v>
      </c>
      <c r="D62" s="32" t="s">
        <v>826</v>
      </c>
      <c r="E62" s="9"/>
      <c r="H62" s="22"/>
      <c r="I62" s="22"/>
    </row>
    <row r="63" spans="2:9" ht="13.8" customHeight="1" x14ac:dyDescent="0.3">
      <c r="B63">
        <v>1</v>
      </c>
      <c r="C63" s="32" t="str">
        <f>C216</f>
        <v>NEMA 17 - 42x42x33 - 0,26Nm - 5mm Achse</v>
      </c>
      <c r="D63" s="32" t="s">
        <v>647</v>
      </c>
      <c r="E63" s="9"/>
      <c r="H63" s="22"/>
      <c r="I63" s="22"/>
    </row>
    <row r="64" spans="2:9" ht="13.8" customHeight="1" x14ac:dyDescent="0.3">
      <c r="B64">
        <v>1</v>
      </c>
      <c r="C64" s="32" t="str">
        <f>C196</f>
        <v>Zahnriemenscheibe T2,5, 16 Zähne</v>
      </c>
      <c r="D64" s="32" t="s">
        <v>707</v>
      </c>
      <c r="E64" s="9"/>
      <c r="H64" s="22"/>
      <c r="I64" s="22"/>
    </row>
    <row r="65" spans="1:9" ht="13.8" customHeight="1" x14ac:dyDescent="0.3">
      <c r="B65">
        <v>1</v>
      </c>
      <c r="C65" s="32" t="str">
        <f>C196</f>
        <v>Zahnriemenscheibe T2,5, 16 Zähne</v>
      </c>
      <c r="D65" s="32" t="s">
        <v>708</v>
      </c>
      <c r="E65" s="9"/>
      <c r="H65" s="22"/>
      <c r="I65" s="22"/>
    </row>
    <row r="66" spans="1:9" ht="13.8" customHeight="1" x14ac:dyDescent="0.3">
      <c r="B66">
        <v>1</v>
      </c>
      <c r="C66" s="32" t="str">
        <f>C201</f>
        <v>Zahnriemenscheibe T2,5, 60 Zähne</v>
      </c>
      <c r="D66" s="32" t="s">
        <v>708</v>
      </c>
      <c r="E66" s="9"/>
      <c r="H66" s="22"/>
      <c r="I66" s="22"/>
    </row>
    <row r="67" spans="1:9" ht="13.8" customHeight="1" x14ac:dyDescent="0.3">
      <c r="B67">
        <v>1</v>
      </c>
      <c r="C67" s="32" t="str">
        <f>C220</f>
        <v>Rotary Sensor</v>
      </c>
      <c r="D67" s="32" t="s">
        <v>660</v>
      </c>
      <c r="E67" s="9"/>
      <c r="H67" s="22"/>
      <c r="I67" s="22"/>
    </row>
    <row r="68" spans="1:9" ht="13.8" customHeight="1" x14ac:dyDescent="0.3">
      <c r="C68" s="32"/>
      <c r="D68" s="32"/>
      <c r="E68" s="9"/>
      <c r="H68" s="22"/>
      <c r="I68" s="22"/>
    </row>
    <row r="69" spans="1:9" ht="13.8" customHeight="1" x14ac:dyDescent="0.3">
      <c r="A69" s="6" t="s">
        <v>718</v>
      </c>
      <c r="B69">
        <v>4</v>
      </c>
      <c r="C69" s="32" t="str">
        <f>C171</f>
        <v>Zylinderkopfschraube Innensechskant M2 6mm</v>
      </c>
      <c r="D69" s="32" t="s">
        <v>655</v>
      </c>
      <c r="E69" s="9"/>
      <c r="H69" s="22"/>
      <c r="I69" s="22"/>
    </row>
    <row r="70" spans="1:9" ht="13.8" customHeight="1" x14ac:dyDescent="0.3">
      <c r="B70">
        <v>4</v>
      </c>
      <c r="C70" s="32" t="str">
        <f>C180</f>
        <v>Muttern M2</v>
      </c>
      <c r="D70" s="32" t="s">
        <v>655</v>
      </c>
      <c r="E70" s="9"/>
      <c r="H70" s="22"/>
      <c r="I70" s="22"/>
    </row>
    <row r="71" spans="1:9" ht="13.8" customHeight="1" x14ac:dyDescent="0.3">
      <c r="B71">
        <v>1</v>
      </c>
      <c r="C71" s="32" t="str">
        <f>C220</f>
        <v>Rotary Sensor</v>
      </c>
      <c r="D71" s="32" t="s">
        <v>660</v>
      </c>
      <c r="E71" s="9"/>
      <c r="H71" s="22"/>
      <c r="I71" s="22"/>
    </row>
    <row r="72" spans="1:9" ht="13.8" customHeight="1" x14ac:dyDescent="0.3">
      <c r="B72">
        <v>2</v>
      </c>
      <c r="C72" s="32" t="str">
        <f>C185</f>
        <v>Unterlegscheiben M2 Dicke 0,5mm</v>
      </c>
      <c r="D72" s="32" t="s">
        <v>661</v>
      </c>
      <c r="E72" s="9"/>
      <c r="H72" s="22"/>
      <c r="I72" s="22"/>
    </row>
    <row r="73" spans="1:9" ht="13.8" customHeight="1" x14ac:dyDescent="0.3">
      <c r="B73">
        <v>2</v>
      </c>
      <c r="C73" s="32" t="str">
        <f>C228</f>
        <v>Rillenkugellager DIN 625 SKF - 61807 35x47x7mm</v>
      </c>
      <c r="D73" s="32" t="s">
        <v>719</v>
      </c>
      <c r="E73" s="9"/>
      <c r="H73" s="22"/>
      <c r="I73" s="22"/>
    </row>
    <row r="74" spans="1:9" ht="13.8" customHeight="1" x14ac:dyDescent="0.3">
      <c r="B74">
        <v>4</v>
      </c>
      <c r="C74" t="str">
        <f>C175</f>
        <v>Senkkopfschraube Innensechskant M3 10mm</v>
      </c>
      <c r="D74" t="s">
        <v>720</v>
      </c>
      <c r="E74" s="9"/>
      <c r="H74" s="22"/>
      <c r="I74" s="22"/>
    </row>
    <row r="75" spans="1:9" ht="13.8" customHeight="1" x14ac:dyDescent="0.3">
      <c r="B75">
        <v>4</v>
      </c>
      <c r="C75" t="str">
        <f>C175</f>
        <v>Senkkopfschraube Innensechskant M3 10mm</v>
      </c>
      <c r="D75" t="s">
        <v>723</v>
      </c>
      <c r="E75" s="9"/>
      <c r="H75" s="22"/>
      <c r="I75" s="22"/>
    </row>
    <row r="76" spans="1:9" ht="13.8" customHeight="1" x14ac:dyDescent="0.3">
      <c r="B76">
        <v>4</v>
      </c>
      <c r="C76" s="32" t="str">
        <f>C165</f>
        <v>Zylinderkopfschraube Innensechskant M3 40mm</v>
      </c>
      <c r="D76" s="32" t="s">
        <v>727</v>
      </c>
      <c r="E76" s="9"/>
      <c r="H76" s="22"/>
      <c r="I76" s="22"/>
    </row>
    <row r="77" spans="1:9" ht="13.8" customHeight="1" x14ac:dyDescent="0.3">
      <c r="B77">
        <v>4</v>
      </c>
      <c r="C77" s="32" t="str">
        <f>C166</f>
        <v>Zylinderkopfschraube Innensechskant M3 30mm</v>
      </c>
      <c r="D77" s="32" t="s">
        <v>728</v>
      </c>
      <c r="E77" s="9"/>
      <c r="H77" s="22"/>
      <c r="I77" s="22"/>
    </row>
    <row r="78" spans="1:9" ht="13.8" customHeight="1" x14ac:dyDescent="0.3">
      <c r="B78">
        <v>8</v>
      </c>
      <c r="C78" s="32" t="str">
        <f>C179</f>
        <v>Muttern M3, Schlüsselweite 5.5 mm</v>
      </c>
      <c r="D78" s="32" t="s">
        <v>728</v>
      </c>
      <c r="E78" s="9"/>
      <c r="H78" s="22"/>
      <c r="I78" s="22"/>
    </row>
    <row r="79" spans="1:9" ht="13.8" customHeight="1" x14ac:dyDescent="0.3">
      <c r="B79">
        <v>12</v>
      </c>
      <c r="C79" s="32" t="str">
        <f>C184</f>
        <v>Unterlegscheiben M3 Dicke 0,5mm, Außendurchmesser 7mm</v>
      </c>
      <c r="D79" s="32" t="s">
        <v>729</v>
      </c>
      <c r="E79" s="9"/>
      <c r="H79" s="22"/>
      <c r="I79" s="22"/>
    </row>
    <row r="80" spans="1:9" ht="13.8" customHeight="1" x14ac:dyDescent="0.3">
      <c r="B80">
        <v>4</v>
      </c>
      <c r="C80" s="32" t="str">
        <f>C164</f>
        <v>Zylinderkopfschraube Innensechskant M3 45mm</v>
      </c>
      <c r="D80" s="32" t="s">
        <v>730</v>
      </c>
      <c r="E80" s="9"/>
      <c r="H80" s="22"/>
      <c r="I80" s="22"/>
    </row>
    <row r="81" spans="2:9" ht="13.8" customHeight="1" x14ac:dyDescent="0.3">
      <c r="B81">
        <v>8</v>
      </c>
      <c r="C81" s="32" t="str">
        <f>C224</f>
        <v>Rillenkugellager  4 x13 x 5 mm mit Flansch</v>
      </c>
      <c r="D81" s="32" t="s">
        <v>730</v>
      </c>
      <c r="E81" s="9"/>
      <c r="H81" s="22"/>
      <c r="I81" s="22"/>
    </row>
    <row r="82" spans="2:9" ht="13.8" customHeight="1" x14ac:dyDescent="0.3">
      <c r="B82">
        <v>12</v>
      </c>
      <c r="C82" s="32" t="str">
        <f>C184</f>
        <v>Unterlegscheiben M3 Dicke 0,5mm, Außendurchmesser 7mm</v>
      </c>
      <c r="D82" s="32" t="s">
        <v>730</v>
      </c>
      <c r="E82" s="9"/>
      <c r="H82" s="22"/>
      <c r="I82" s="22"/>
    </row>
    <row r="83" spans="2:9" ht="13.8" customHeight="1" x14ac:dyDescent="0.3">
      <c r="B83">
        <v>1</v>
      </c>
      <c r="C83" s="32" t="str">
        <f>C182</f>
        <v>Madenschraube M3 16mm</v>
      </c>
      <c r="D83" s="32" t="s">
        <v>730</v>
      </c>
      <c r="E83" s="9"/>
      <c r="H83" s="22"/>
      <c r="I83" s="22"/>
    </row>
    <row r="84" spans="2:9" ht="13.8" customHeight="1" x14ac:dyDescent="0.3">
      <c r="B84">
        <v>72</v>
      </c>
      <c r="C84" s="32" t="str">
        <f>C190</f>
        <v>Silberstahlwelle 8mm Durchmesser</v>
      </c>
      <c r="D84" s="32" t="s">
        <v>736</v>
      </c>
      <c r="E84" s="9"/>
      <c r="H84" s="22"/>
      <c r="I84" s="22"/>
    </row>
    <row r="85" spans="2:9" ht="13.8" customHeight="1" x14ac:dyDescent="0.3">
      <c r="B85">
        <v>1</v>
      </c>
      <c r="C85" s="32" t="str">
        <f>C202</f>
        <v>Zahnriemenscheibe T5, 48 Zähne</v>
      </c>
      <c r="D85" s="32" t="s">
        <v>736</v>
      </c>
      <c r="E85" s="9"/>
      <c r="H85" s="22"/>
      <c r="I85" s="22"/>
    </row>
    <row r="86" spans="2:9" ht="13.8" customHeight="1" x14ac:dyDescent="0.3">
      <c r="B86">
        <v>1</v>
      </c>
      <c r="C86" s="32" t="str">
        <f>C203</f>
        <v>Zahnriemenscheibe T5, 16 Zähne</v>
      </c>
      <c r="D86" s="32" t="s">
        <v>736</v>
      </c>
      <c r="E86" s="9"/>
      <c r="H86" s="22"/>
      <c r="I86" s="22"/>
    </row>
    <row r="87" spans="2:9" ht="13.8" customHeight="1" x14ac:dyDescent="0.3">
      <c r="B87">
        <v>1</v>
      </c>
      <c r="C87" t="str">
        <f>C237</f>
        <v>Metallbohrer 8mm</v>
      </c>
      <c r="D87" s="32" t="s">
        <v>736</v>
      </c>
      <c r="E87" s="9"/>
      <c r="H87" s="22"/>
      <c r="I87" s="22"/>
    </row>
    <row r="88" spans="2:9" ht="13.8" customHeight="1" x14ac:dyDescent="0.3">
      <c r="B88">
        <v>1</v>
      </c>
      <c r="C88" t="str">
        <f>C236</f>
        <v>Gewindeschneider M3</v>
      </c>
      <c r="D88" s="32" t="s">
        <v>736</v>
      </c>
      <c r="E88" s="9"/>
      <c r="H88" s="22"/>
      <c r="I88" s="22"/>
    </row>
    <row r="89" spans="2:9" ht="13.8" customHeight="1" x14ac:dyDescent="0.3">
      <c r="B89">
        <v>1</v>
      </c>
      <c r="C89" t="str">
        <f>C239</f>
        <v>Metallbohrer 2.3mm (für M3 Gewinde)</v>
      </c>
      <c r="D89" s="32" t="s">
        <v>736</v>
      </c>
      <c r="E89" s="9"/>
      <c r="H89" s="22"/>
      <c r="I89" s="22"/>
    </row>
    <row r="90" spans="2:9" ht="13.8" customHeight="1" x14ac:dyDescent="0.3">
      <c r="B90">
        <v>2</v>
      </c>
      <c r="C90" t="str">
        <f>C183</f>
        <v>Madenschraube M3 5mm</v>
      </c>
      <c r="D90" s="32" t="s">
        <v>736</v>
      </c>
      <c r="E90" s="9"/>
      <c r="H90" s="22"/>
      <c r="I90" s="22"/>
    </row>
    <row r="91" spans="2:9" ht="13.8" customHeight="1" x14ac:dyDescent="0.3">
      <c r="B91">
        <v>2</v>
      </c>
      <c r="C91" t="str">
        <f>C231</f>
        <v>Rillenkugellager 8x22x7</v>
      </c>
      <c r="D91" s="32" t="s">
        <v>736</v>
      </c>
      <c r="E91" s="9"/>
      <c r="H91" s="22"/>
      <c r="I91" s="22"/>
    </row>
    <row r="92" spans="2:9" ht="13.8" customHeight="1" x14ac:dyDescent="0.3">
      <c r="B92">
        <v>4</v>
      </c>
      <c r="C92" t="str">
        <f>C186</f>
        <v>Unterlegscheiben 8mm Innendurchmesser</v>
      </c>
      <c r="D92" s="32" t="s">
        <v>736</v>
      </c>
      <c r="E92" s="9"/>
      <c r="H92" s="22"/>
      <c r="I92" s="22"/>
    </row>
    <row r="93" spans="2:9" ht="13.8" customHeight="1" x14ac:dyDescent="0.3">
      <c r="B93">
        <v>4</v>
      </c>
      <c r="C93" t="str">
        <f>C164</f>
        <v>Zylinderkopfschraube Innensechskant M3 45mm</v>
      </c>
      <c r="D93" s="32" t="s">
        <v>750</v>
      </c>
      <c r="E93" s="9"/>
      <c r="H93" s="22"/>
      <c r="I93" s="22"/>
    </row>
    <row r="94" spans="2:9" ht="13.8" customHeight="1" x14ac:dyDescent="0.3">
      <c r="B94">
        <v>4</v>
      </c>
      <c r="C94" t="str">
        <f>C184</f>
        <v>Unterlegscheiben M3 Dicke 0,5mm, Außendurchmesser 7mm</v>
      </c>
      <c r="D94" s="32" t="s">
        <v>750</v>
      </c>
      <c r="E94" s="9"/>
      <c r="H94" s="22"/>
      <c r="I94" s="22"/>
    </row>
    <row r="95" spans="2:9" ht="13.8" customHeight="1" x14ac:dyDescent="0.3">
      <c r="B95">
        <v>4</v>
      </c>
      <c r="C95" t="str">
        <f>C178</f>
        <v>Vierkant Mutter M3 Breite 5.5mm</v>
      </c>
      <c r="D95" s="32" t="s">
        <v>750</v>
      </c>
      <c r="E95" s="9"/>
      <c r="H95" s="22"/>
      <c r="I95" s="22"/>
    </row>
    <row r="96" spans="2:9" ht="13.8" customHeight="1" x14ac:dyDescent="0.3">
      <c r="B96">
        <v>1</v>
      </c>
      <c r="C96" t="str">
        <f>C164</f>
        <v>Zylinderkopfschraube Innensechskant M3 45mm</v>
      </c>
      <c r="D96" s="32" t="s">
        <v>749</v>
      </c>
      <c r="E96" s="9"/>
      <c r="H96" s="22"/>
      <c r="I96" s="22"/>
    </row>
    <row r="97" spans="1:9" ht="13.8" customHeight="1" x14ac:dyDescent="0.3">
      <c r="B97">
        <v>4</v>
      </c>
      <c r="C97" t="str">
        <f>C184</f>
        <v>Unterlegscheiben M3 Dicke 0,5mm, Außendurchmesser 7mm</v>
      </c>
      <c r="D97" s="32" t="s">
        <v>749</v>
      </c>
      <c r="E97" s="9"/>
      <c r="H97" s="22"/>
      <c r="I97" s="22"/>
    </row>
    <row r="98" spans="1:9" ht="13.8" customHeight="1" x14ac:dyDescent="0.3">
      <c r="B98">
        <v>1</v>
      </c>
      <c r="C98" t="str">
        <f>C178</f>
        <v>Vierkant Mutter M3 Breite 5.5mm</v>
      </c>
      <c r="D98" s="32" t="s">
        <v>749</v>
      </c>
      <c r="E98" s="9"/>
      <c r="H98" s="22"/>
      <c r="I98" s="22"/>
    </row>
    <row r="99" spans="1:9" ht="13.8" customHeight="1" x14ac:dyDescent="0.3">
      <c r="B99">
        <v>2</v>
      </c>
      <c r="C99" t="str">
        <f>C225</f>
        <v xml:space="preserve">Rillenkugellager  4 x13 x 5 mm </v>
      </c>
      <c r="D99" s="32" t="s">
        <v>749</v>
      </c>
      <c r="E99" s="9"/>
      <c r="H99" s="22"/>
      <c r="I99" s="22"/>
    </row>
    <row r="100" spans="1:9" ht="13.8" customHeight="1" x14ac:dyDescent="0.3">
      <c r="B100">
        <v>4</v>
      </c>
      <c r="C100" t="str">
        <f>C187</f>
        <v>Unterlegscheiben M3 Kunststoff 0,8mm, Außendurchmesser 7mm</v>
      </c>
      <c r="D100" s="32" t="s">
        <v>749</v>
      </c>
      <c r="E100" s="9"/>
      <c r="H100" s="22"/>
      <c r="I100" s="22"/>
    </row>
    <row r="101" spans="1:9" ht="13.8" customHeight="1" x14ac:dyDescent="0.3">
      <c r="B101">
        <v>4</v>
      </c>
      <c r="C101" t="str">
        <f>C176</f>
        <v>Senkkopfschraube Innensechskant M3 25mm</v>
      </c>
      <c r="D101" s="32" t="s">
        <v>615</v>
      </c>
      <c r="E101" s="9"/>
      <c r="H101" s="22"/>
      <c r="I101" s="22"/>
    </row>
    <row r="102" spans="1:9" ht="13.8" customHeight="1" x14ac:dyDescent="0.3">
      <c r="B102">
        <v>8</v>
      </c>
      <c r="C102" t="str">
        <f>C168</f>
        <v>Zylinderkopfschraube Innensechskant M3 25mm</v>
      </c>
      <c r="D102" s="32" t="s">
        <v>753</v>
      </c>
      <c r="E102" s="9"/>
      <c r="H102" s="22"/>
      <c r="I102" s="22"/>
    </row>
    <row r="103" spans="1:9" ht="13.8" customHeight="1" x14ac:dyDescent="0.3">
      <c r="B103">
        <v>4</v>
      </c>
      <c r="C103" t="str">
        <f>C192</f>
        <v>Distanzbolzen 2x Innen M3 20mm, Schlüsselweite 5,5mm</v>
      </c>
      <c r="D103" s="32" t="s">
        <v>753</v>
      </c>
      <c r="E103" s="9"/>
      <c r="H103" s="22"/>
      <c r="I103" s="22"/>
    </row>
    <row r="104" spans="1:9" ht="13.8" customHeight="1" x14ac:dyDescent="0.3">
      <c r="B104">
        <v>8</v>
      </c>
      <c r="C104" t="str">
        <f>C184</f>
        <v>Unterlegscheiben M3 Dicke 0,5mm, Außendurchmesser 7mm</v>
      </c>
      <c r="D104" s="32" t="s">
        <v>753</v>
      </c>
      <c r="E104" s="9"/>
      <c r="H104" s="22"/>
      <c r="I104" s="22"/>
    </row>
    <row r="105" spans="1:9" ht="13.8" customHeight="1" x14ac:dyDescent="0.3">
      <c r="B105">
        <v>4</v>
      </c>
      <c r="C105" t="str">
        <f>C166</f>
        <v>Zylinderkopfschraube Innensechskant M3 30mm</v>
      </c>
      <c r="D105" s="32" t="s">
        <v>754</v>
      </c>
      <c r="E105" s="9"/>
      <c r="H105" s="22"/>
      <c r="I105" s="22"/>
    </row>
    <row r="106" spans="1:9" ht="13.8" customHeight="1" x14ac:dyDescent="0.3">
      <c r="B106">
        <v>4</v>
      </c>
      <c r="C106" t="str">
        <f>C184</f>
        <v>Unterlegscheiben M3 Dicke 0,5mm, Außendurchmesser 7mm</v>
      </c>
      <c r="D106" s="32" t="s">
        <v>754</v>
      </c>
      <c r="E106" s="9"/>
      <c r="H106" s="22"/>
      <c r="I106" s="22"/>
    </row>
    <row r="107" spans="1:9" ht="13.8" customHeight="1" x14ac:dyDescent="0.3">
      <c r="B107">
        <v>1</v>
      </c>
      <c r="C107" t="str">
        <f>C208</f>
        <v>Zahnriemen T5 340mm 10mm Breite</v>
      </c>
      <c r="D107" s="32" t="s">
        <v>757</v>
      </c>
      <c r="E107" s="9"/>
      <c r="H107" s="22"/>
      <c r="I107" s="22"/>
    </row>
    <row r="108" spans="1:9" ht="13.8" customHeight="1" x14ac:dyDescent="0.3">
      <c r="B108">
        <v>1</v>
      </c>
      <c r="C108" t="str">
        <f>C203</f>
        <v>Zahnriemenscheibe T5, 16 Zähne</v>
      </c>
      <c r="D108" s="32" t="s">
        <v>757</v>
      </c>
      <c r="E108" s="9"/>
      <c r="H108" s="22"/>
      <c r="I108" s="22"/>
    </row>
    <row r="109" spans="1:9" ht="13.8" customHeight="1" x14ac:dyDescent="0.3">
      <c r="B109">
        <v>1</v>
      </c>
      <c r="C109" t="str">
        <f>C209</f>
        <v>Zahnriemen T5 510mm 10mm Breite</v>
      </c>
      <c r="D109" s="32" t="s">
        <v>760</v>
      </c>
      <c r="E109" s="9"/>
      <c r="H109" s="22"/>
      <c r="I109" s="22"/>
    </row>
    <row r="110" spans="1:9" ht="13.8" customHeight="1" x14ac:dyDescent="0.3">
      <c r="B110">
        <v>1</v>
      </c>
      <c r="C110" t="str">
        <f>C217</f>
        <v xml:space="preserve">NEMA 24 - 60x60x57 - 1.9Nm ST6018M2008 </v>
      </c>
      <c r="D110" s="32" t="s">
        <v>647</v>
      </c>
      <c r="E110" s="9"/>
      <c r="H110" s="22"/>
      <c r="I110" s="22"/>
    </row>
    <row r="111" spans="1:9" ht="13.8" customHeight="1" x14ac:dyDescent="0.3">
      <c r="D111" s="32"/>
      <c r="E111" s="9"/>
      <c r="H111" s="22"/>
      <c r="I111" s="22"/>
    </row>
    <row r="112" spans="1:9" ht="13.8" customHeight="1" x14ac:dyDescent="0.3">
      <c r="A112" s="6" t="s">
        <v>781</v>
      </c>
      <c r="B112">
        <v>4</v>
      </c>
      <c r="C112" t="str">
        <f>C171</f>
        <v>Zylinderkopfschraube Innensechskant M2 6mm</v>
      </c>
      <c r="D112" s="32" t="s">
        <v>655</v>
      </c>
      <c r="E112" s="9"/>
      <c r="H112" s="22"/>
      <c r="I112" s="22"/>
    </row>
    <row r="113" spans="2:9" ht="13.8" customHeight="1" x14ac:dyDescent="0.3">
      <c r="B113">
        <v>4</v>
      </c>
      <c r="C113" t="str">
        <f>C180</f>
        <v>Muttern M2</v>
      </c>
      <c r="D113" s="32" t="s">
        <v>655</v>
      </c>
      <c r="E113" s="9"/>
      <c r="H113" s="22"/>
      <c r="I113" s="22"/>
    </row>
    <row r="114" spans="2:9" ht="13.8" customHeight="1" x14ac:dyDescent="0.3">
      <c r="B114">
        <v>1</v>
      </c>
      <c r="C114" t="str">
        <f>C220</f>
        <v>Rotary Sensor</v>
      </c>
      <c r="D114" s="32" t="s">
        <v>660</v>
      </c>
      <c r="E114" s="9"/>
      <c r="H114" s="22"/>
      <c r="I114" s="22"/>
    </row>
    <row r="115" spans="2:9" ht="13.8" customHeight="1" x14ac:dyDescent="0.3">
      <c r="B115">
        <v>2</v>
      </c>
      <c r="C115" t="str">
        <f>C185</f>
        <v>Unterlegscheiben M2 Dicke 0,5mm</v>
      </c>
      <c r="D115" s="32" t="s">
        <v>661</v>
      </c>
      <c r="E115" s="9"/>
      <c r="H115" s="22"/>
      <c r="I115" s="22"/>
    </row>
    <row r="116" spans="2:9" ht="13.8" customHeight="1" x14ac:dyDescent="0.3">
      <c r="B116">
        <v>6</v>
      </c>
      <c r="C116" t="str">
        <f>C225</f>
        <v xml:space="preserve">Rillenkugellager  4 x13 x 5 mm </v>
      </c>
      <c r="D116" s="32" t="s">
        <v>782</v>
      </c>
      <c r="E116" s="9"/>
      <c r="H116" s="22"/>
      <c r="I116" s="22"/>
    </row>
    <row r="117" spans="2:9" ht="13.8" customHeight="1" x14ac:dyDescent="0.3">
      <c r="B117">
        <v>4</v>
      </c>
      <c r="C117" t="str">
        <f>C187</f>
        <v>Unterlegscheiben M3 Kunststoff 0,8mm, Außendurchmesser 7mm</v>
      </c>
      <c r="D117" s="32" t="s">
        <v>782</v>
      </c>
      <c r="E117" s="9"/>
      <c r="H117" s="22"/>
      <c r="I117" s="22"/>
    </row>
    <row r="118" spans="2:9" ht="13.8" customHeight="1" x14ac:dyDescent="0.3">
      <c r="B118">
        <v>4</v>
      </c>
      <c r="C118" t="str">
        <f>C178</f>
        <v>Vierkant Mutter M3 Breite 5.5mm</v>
      </c>
      <c r="D118" s="32" t="s">
        <v>782</v>
      </c>
      <c r="E118" s="9"/>
      <c r="H118" s="22"/>
      <c r="I118" s="22"/>
    </row>
    <row r="119" spans="2:9" ht="13.8" customHeight="1" x14ac:dyDescent="0.3">
      <c r="B119">
        <v>2</v>
      </c>
      <c r="C119" t="str">
        <f>C167</f>
        <v>Zylinderkopfschraube Innensechskant M3 20mm</v>
      </c>
      <c r="D119" s="32" t="s">
        <v>782</v>
      </c>
      <c r="E119" s="9"/>
      <c r="H119" s="22"/>
      <c r="I119" s="22"/>
    </row>
    <row r="120" spans="2:9" ht="13.8" customHeight="1" x14ac:dyDescent="0.3">
      <c r="B120">
        <v>3</v>
      </c>
      <c r="C120" t="str">
        <f>C184</f>
        <v>Unterlegscheiben M3 Dicke 0,5mm, Außendurchmesser 7mm</v>
      </c>
      <c r="D120" s="32" t="s">
        <v>782</v>
      </c>
      <c r="E120" s="9"/>
      <c r="H120" s="22"/>
      <c r="I120" s="22"/>
    </row>
    <row r="121" spans="2:9" ht="13.8" customHeight="1" x14ac:dyDescent="0.3">
      <c r="B121">
        <v>1</v>
      </c>
      <c r="C121" t="str">
        <f>C165</f>
        <v>Zylinderkopfschraube Innensechskant M3 40mm</v>
      </c>
      <c r="D121" s="32" t="s">
        <v>782</v>
      </c>
      <c r="E121" s="9"/>
      <c r="H121" s="22"/>
      <c r="I121" s="22"/>
    </row>
    <row r="122" spans="2:9" ht="13.8" customHeight="1" x14ac:dyDescent="0.3">
      <c r="B122">
        <v>1</v>
      </c>
      <c r="C122" t="str">
        <f>C164</f>
        <v>Zylinderkopfschraube Innensechskant M3 45mm</v>
      </c>
      <c r="D122" s="32" t="s">
        <v>782</v>
      </c>
      <c r="E122" s="9"/>
      <c r="H122" s="22"/>
      <c r="I122" s="22"/>
    </row>
    <row r="123" spans="2:9" ht="13.8" customHeight="1" x14ac:dyDescent="0.3">
      <c r="B123">
        <v>1</v>
      </c>
      <c r="C123" t="str">
        <f>C168</f>
        <v>Zylinderkopfschraube Innensechskant M3 25mm</v>
      </c>
      <c r="D123" s="32" t="s">
        <v>782</v>
      </c>
      <c r="E123" s="9"/>
      <c r="H123" s="22"/>
      <c r="I123" s="22"/>
    </row>
    <row r="124" spans="2:9" ht="13.8" customHeight="1" x14ac:dyDescent="0.3">
      <c r="B124">
        <v>2</v>
      </c>
      <c r="C124" t="str">
        <f>C231</f>
        <v>Rillenkugellager 8x22x7</v>
      </c>
      <c r="D124" s="32" t="s">
        <v>784</v>
      </c>
      <c r="E124" s="9"/>
      <c r="H124" s="22"/>
      <c r="I124" s="22"/>
    </row>
    <row r="125" spans="2:9" ht="13.8" customHeight="1" x14ac:dyDescent="0.3">
      <c r="B125">
        <v>110</v>
      </c>
      <c r="C125" t="str">
        <f>C190</f>
        <v>Silberstahlwelle 8mm Durchmesser</v>
      </c>
      <c r="D125" s="32" t="s">
        <v>784</v>
      </c>
      <c r="E125" s="9"/>
      <c r="H125" s="22"/>
      <c r="I125" s="22"/>
    </row>
    <row r="126" spans="2:9" ht="13.8" customHeight="1" x14ac:dyDescent="0.3">
      <c r="B126">
        <v>1</v>
      </c>
      <c r="C126" t="str">
        <f>C202</f>
        <v>Zahnriemenscheibe T5, 48 Zähne</v>
      </c>
      <c r="D126" s="32" t="s">
        <v>784</v>
      </c>
      <c r="E126" s="9"/>
      <c r="H126" s="22"/>
      <c r="I126" s="22"/>
    </row>
    <row r="127" spans="2:9" ht="13.8" customHeight="1" x14ac:dyDescent="0.3">
      <c r="B127">
        <v>1</v>
      </c>
      <c r="C127" t="str">
        <f>C203</f>
        <v>Zahnriemenscheibe T5, 16 Zähne</v>
      </c>
      <c r="D127" s="32" t="s">
        <v>784</v>
      </c>
      <c r="E127" s="9"/>
      <c r="H127" s="22"/>
      <c r="I127" s="22"/>
    </row>
    <row r="128" spans="2:9" ht="13.8" customHeight="1" x14ac:dyDescent="0.3">
      <c r="B128">
        <v>1</v>
      </c>
      <c r="C128" t="str">
        <f>C210</f>
        <v>Zahnriemen T5 500mm 10mm Breite</v>
      </c>
      <c r="D128" s="32" t="s">
        <v>785</v>
      </c>
      <c r="E128" s="9"/>
      <c r="H128" s="22"/>
      <c r="I128" s="22"/>
    </row>
    <row r="129" spans="1:9" ht="13.8" customHeight="1" x14ac:dyDescent="0.3">
      <c r="B129">
        <v>1</v>
      </c>
      <c r="C129" t="str">
        <f>C211</f>
        <v>Zahnriemen T5 480mm 10mm Breite</v>
      </c>
      <c r="D129" s="32" t="s">
        <v>785</v>
      </c>
      <c r="E129" s="9"/>
      <c r="H129" s="22"/>
      <c r="I129" s="22"/>
    </row>
    <row r="130" spans="1:9" ht="13.8" customHeight="1" x14ac:dyDescent="0.3">
      <c r="B130">
        <v>1</v>
      </c>
      <c r="C130" t="str">
        <f>C203</f>
        <v>Zahnriemenscheibe T5, 16 Zähne</v>
      </c>
      <c r="D130" s="32" t="s">
        <v>790</v>
      </c>
      <c r="E130" s="9"/>
      <c r="H130" s="22"/>
      <c r="I130" s="22"/>
    </row>
    <row r="131" spans="1:9" ht="13.8" customHeight="1" x14ac:dyDescent="0.3">
      <c r="B131">
        <v>1</v>
      </c>
      <c r="C131" t="str">
        <f>C212</f>
        <v>Zahnriemen T5 340mm 10mm Breite</v>
      </c>
      <c r="D131" s="32" t="s">
        <v>791</v>
      </c>
      <c r="E131" s="9"/>
      <c r="H131" s="22"/>
      <c r="I131" s="22"/>
    </row>
    <row r="132" spans="1:9" ht="13.8" customHeight="1" x14ac:dyDescent="0.3">
      <c r="B132">
        <v>4</v>
      </c>
      <c r="C132" t="str">
        <f>C167</f>
        <v>Zylinderkopfschraube Innensechskant M3 20mm</v>
      </c>
      <c r="D132" s="32" t="s">
        <v>792</v>
      </c>
      <c r="E132" s="9"/>
      <c r="H132" s="22"/>
      <c r="I132" s="22"/>
    </row>
    <row r="133" spans="1:9" ht="13.8" customHeight="1" x14ac:dyDescent="0.3">
      <c r="B133">
        <v>4</v>
      </c>
      <c r="C133" t="str">
        <f>C179</f>
        <v>Muttern M3, Schlüsselweite 5.5 mm</v>
      </c>
      <c r="D133" s="32" t="s">
        <v>792</v>
      </c>
      <c r="E133" s="9"/>
      <c r="H133" s="22"/>
      <c r="I133" s="22"/>
    </row>
    <row r="134" spans="1:9" ht="13.8" customHeight="1" x14ac:dyDescent="0.3">
      <c r="B134">
        <v>4</v>
      </c>
      <c r="C134" t="str">
        <f>C184</f>
        <v>Unterlegscheiben M3 Dicke 0,5mm, Außendurchmesser 7mm</v>
      </c>
      <c r="D134" s="32" t="s">
        <v>792</v>
      </c>
      <c r="E134" s="9"/>
      <c r="H134" s="22"/>
      <c r="I134" s="22"/>
    </row>
    <row r="135" spans="1:9" ht="13.8" customHeight="1" x14ac:dyDescent="0.3">
      <c r="B135">
        <v>4</v>
      </c>
      <c r="C135" t="str">
        <f>C164</f>
        <v>Zylinderkopfschraube Innensechskant M3 45mm</v>
      </c>
      <c r="D135" s="32" t="s">
        <v>793</v>
      </c>
      <c r="E135" s="9"/>
      <c r="H135" s="22"/>
      <c r="I135" s="22"/>
    </row>
    <row r="136" spans="1:9" ht="13.8" customHeight="1" x14ac:dyDescent="0.3">
      <c r="B136">
        <v>4</v>
      </c>
      <c r="C136" t="str">
        <f>C184</f>
        <v>Unterlegscheiben M3 Dicke 0,5mm, Außendurchmesser 7mm</v>
      </c>
      <c r="D136" s="32" t="s">
        <v>793</v>
      </c>
      <c r="E136" s="9"/>
      <c r="H136" s="22"/>
      <c r="I136" s="22"/>
    </row>
    <row r="137" spans="1:9" ht="13.8" customHeight="1" x14ac:dyDescent="0.3">
      <c r="B137">
        <v>4</v>
      </c>
      <c r="C137" t="str">
        <f>C192</f>
        <v>Distanzbolzen 2x Innen M3 20mm, Schlüsselweite 5,5mm</v>
      </c>
      <c r="D137" s="32" t="s">
        <v>793</v>
      </c>
      <c r="E137" s="9"/>
      <c r="H137" s="22"/>
      <c r="I137" s="22"/>
    </row>
    <row r="138" spans="1:9" ht="13.8" customHeight="1" x14ac:dyDescent="0.3">
      <c r="B138">
        <f>50*6</f>
        <v>300</v>
      </c>
      <c r="C138" t="str">
        <f>C194</f>
        <v>Gewindestange M3</v>
      </c>
      <c r="D138" s="32" t="s">
        <v>794</v>
      </c>
      <c r="E138" s="9"/>
      <c r="H138" s="22"/>
      <c r="I138" s="22"/>
    </row>
    <row r="139" spans="1:9" ht="13.8" customHeight="1" x14ac:dyDescent="0.3">
      <c r="B139">
        <v>6</v>
      </c>
      <c r="C139" t="str">
        <f>C191</f>
        <v>Unterlegscheiben M3 Stahl  0,8mm, Außendurchmesser 9mm</v>
      </c>
      <c r="D139" s="32" t="s">
        <v>794</v>
      </c>
      <c r="E139" s="9"/>
      <c r="H139" s="22"/>
      <c r="I139" s="22"/>
    </row>
    <row r="140" spans="1:9" ht="13.8" customHeight="1" x14ac:dyDescent="0.3">
      <c r="B140">
        <v>6</v>
      </c>
      <c r="C140" t="str">
        <f>C192</f>
        <v>Distanzbolzen 2x Innen M3 20mm, Schlüsselweite 5,5mm</v>
      </c>
      <c r="D140" s="32" t="s">
        <v>794</v>
      </c>
      <c r="E140" s="9"/>
      <c r="H140" s="22"/>
      <c r="I140" s="22"/>
    </row>
    <row r="141" spans="1:9" ht="13.8" customHeight="1" x14ac:dyDescent="0.3">
      <c r="B141">
        <v>1</v>
      </c>
      <c r="C141" t="str">
        <f>C218</f>
        <v>NEMA 24 - 60x60x87 - 3.1Nm - 8mm Achse</v>
      </c>
      <c r="D141" s="32" t="s">
        <v>647</v>
      </c>
      <c r="E141" s="9"/>
      <c r="H141" s="22"/>
      <c r="I141" s="22"/>
    </row>
    <row r="142" spans="1:9" ht="13.8" customHeight="1" x14ac:dyDescent="0.3">
      <c r="B142">
        <v>2</v>
      </c>
      <c r="C142" t="str">
        <f>C232</f>
        <v>Rillenkugellager DIN 625 SKF - SKF 61818 - 90x115x13</v>
      </c>
      <c r="D142" s="32" t="s">
        <v>798</v>
      </c>
      <c r="E142" s="9"/>
      <c r="H142" s="22"/>
      <c r="I142" s="22"/>
    </row>
    <row r="143" spans="1:9" ht="13.8" customHeight="1" x14ac:dyDescent="0.3">
      <c r="D143" s="32"/>
      <c r="E143" s="9"/>
      <c r="H143" s="22"/>
      <c r="I143" s="22"/>
    </row>
    <row r="144" spans="1:9" ht="13.8" customHeight="1" x14ac:dyDescent="0.3">
      <c r="A144" s="6" t="s">
        <v>800</v>
      </c>
      <c r="B144">
        <v>1</v>
      </c>
      <c r="C144" t="str">
        <f>C233</f>
        <v>Rillenkugellager DIN 625 SKF - SKF 61818 - 85x110x13</v>
      </c>
      <c r="D144" s="32" t="s">
        <v>801</v>
      </c>
      <c r="E144" s="9"/>
      <c r="H144" s="22"/>
      <c r="I144" s="22"/>
    </row>
    <row r="145" spans="2:9" ht="13.8" customHeight="1" x14ac:dyDescent="0.3">
      <c r="B145">
        <v>6</v>
      </c>
      <c r="C145" t="str">
        <f>C165</f>
        <v>Zylinderkopfschraube Innensechskant M3 40mm</v>
      </c>
      <c r="D145" s="32" t="s">
        <v>794</v>
      </c>
      <c r="E145" s="9"/>
      <c r="H145" s="22"/>
      <c r="I145" s="22"/>
    </row>
    <row r="146" spans="2:9" ht="13.8" customHeight="1" x14ac:dyDescent="0.3">
      <c r="B146">
        <v>6</v>
      </c>
      <c r="C146" t="str">
        <f>C191</f>
        <v>Unterlegscheiben M3 Stahl  0,8mm, Außendurchmesser 9mm</v>
      </c>
      <c r="D146" s="32" t="s">
        <v>794</v>
      </c>
      <c r="E146" s="9"/>
      <c r="H146" s="22"/>
      <c r="I146" s="22"/>
    </row>
    <row r="147" spans="2:9" ht="13.8" customHeight="1" x14ac:dyDescent="0.3">
      <c r="B147">
        <v>8</v>
      </c>
      <c r="C147" t="str">
        <f>C175</f>
        <v>Senkkopfschraube Innensechskant M3 10mm</v>
      </c>
      <c r="D147" s="32" t="s">
        <v>812</v>
      </c>
      <c r="E147" s="9"/>
      <c r="H147" s="22"/>
      <c r="I147" s="22"/>
    </row>
    <row r="148" spans="2:9" ht="13.8" customHeight="1" x14ac:dyDescent="0.3">
      <c r="B148">
        <v>8</v>
      </c>
      <c r="C148" t="str">
        <f>C192</f>
        <v>Distanzbolzen 2x Innen M3 20mm, Schlüsselweite 5,5mm</v>
      </c>
      <c r="D148" s="32" t="s">
        <v>812</v>
      </c>
      <c r="E148" s="9"/>
      <c r="H148" s="22"/>
      <c r="I148" s="22"/>
    </row>
    <row r="149" spans="2:9" ht="13.8" customHeight="1" x14ac:dyDescent="0.3">
      <c r="B149">
        <v>8</v>
      </c>
      <c r="C149" t="str">
        <f>C166</f>
        <v>Zylinderkopfschraube Innensechskant M3 30mm</v>
      </c>
      <c r="D149" s="32" t="s">
        <v>812</v>
      </c>
      <c r="E149" s="9"/>
      <c r="H149" s="22"/>
      <c r="I149" s="22"/>
    </row>
    <row r="150" spans="2:9" ht="13.8" customHeight="1" x14ac:dyDescent="0.3">
      <c r="B150">
        <v>1</v>
      </c>
      <c r="C150" t="str">
        <f>C220</f>
        <v>Rotary Sensor</v>
      </c>
      <c r="D150" s="32" t="s">
        <v>660</v>
      </c>
      <c r="E150" s="9"/>
      <c r="H150" s="22"/>
      <c r="I150" s="22"/>
    </row>
    <row r="151" spans="2:9" ht="13.8" customHeight="1" x14ac:dyDescent="0.3">
      <c r="B151">
        <v>4</v>
      </c>
      <c r="C151" t="str">
        <f>C171</f>
        <v>Zylinderkopfschraube Innensechskant M2 6mm</v>
      </c>
      <c r="D151" s="32" t="s">
        <v>660</v>
      </c>
      <c r="E151" s="9"/>
      <c r="H151" s="22"/>
      <c r="I151" s="22"/>
    </row>
    <row r="152" spans="2:9" ht="13.8" customHeight="1" x14ac:dyDescent="0.3">
      <c r="B152">
        <v>4</v>
      </c>
      <c r="C152" t="str">
        <f>C180</f>
        <v>Muttern M2</v>
      </c>
      <c r="D152" s="32" t="s">
        <v>660</v>
      </c>
      <c r="E152" s="9"/>
      <c r="H152" s="22"/>
      <c r="I152" s="22"/>
    </row>
    <row r="153" spans="2:9" ht="13.8" customHeight="1" x14ac:dyDescent="0.3">
      <c r="B153">
        <v>4</v>
      </c>
      <c r="C153" t="str">
        <f>C179</f>
        <v>Muttern M3, Schlüsselweite 5.5 mm</v>
      </c>
      <c r="D153" s="32" t="s">
        <v>813</v>
      </c>
      <c r="E153" s="9"/>
      <c r="H153" s="22"/>
      <c r="I153" s="22"/>
    </row>
    <row r="154" spans="2:9" ht="13.8" customHeight="1" x14ac:dyDescent="0.3">
      <c r="B154">
        <v>4</v>
      </c>
      <c r="C154" t="str">
        <f>C167</f>
        <v>Zylinderkopfschraube Innensechskant M3 20mm</v>
      </c>
      <c r="D154" s="32" t="s">
        <v>813</v>
      </c>
      <c r="E154" s="9"/>
      <c r="H154" s="22"/>
      <c r="I154" s="22"/>
    </row>
    <row r="155" spans="2:9" ht="13.8" customHeight="1" x14ac:dyDescent="0.3">
      <c r="B155">
        <v>4</v>
      </c>
      <c r="C155" t="str">
        <f>C184</f>
        <v>Unterlegscheiben M3 Dicke 0,5mm, Außendurchmesser 7mm</v>
      </c>
      <c r="D155" s="32" t="s">
        <v>813</v>
      </c>
      <c r="E155" s="9"/>
      <c r="H155" s="22"/>
      <c r="I155" s="22"/>
    </row>
    <row r="156" spans="2:9" ht="13.8" customHeight="1" x14ac:dyDescent="0.3">
      <c r="B156">
        <v>6</v>
      </c>
      <c r="C156" t="str">
        <f>C225</f>
        <v xml:space="preserve">Rillenkugellager  4 x13 x 5 mm </v>
      </c>
      <c r="D156" s="32" t="s">
        <v>814</v>
      </c>
      <c r="E156" s="9"/>
      <c r="H156" s="22"/>
      <c r="I156" s="22"/>
    </row>
    <row r="157" spans="2:9" ht="13.8" customHeight="1" x14ac:dyDescent="0.3">
      <c r="B157">
        <v>8</v>
      </c>
      <c r="C157" t="str">
        <f>C187</f>
        <v>Unterlegscheiben M3 Kunststoff 0,8mm, Außendurchmesser 7mm</v>
      </c>
      <c r="D157" s="32" t="s">
        <v>814</v>
      </c>
      <c r="E157" s="9"/>
      <c r="H157" s="22"/>
      <c r="I157" s="22"/>
    </row>
    <row r="158" spans="2:9" ht="13.8" customHeight="1" x14ac:dyDescent="0.3">
      <c r="B158">
        <v>1</v>
      </c>
      <c r="C158" t="str">
        <f>C197</f>
        <v>Zahnriemenscheibe T2,5, 12 Zähne</v>
      </c>
      <c r="D158" s="32" t="s">
        <v>816</v>
      </c>
      <c r="E158" s="9"/>
      <c r="H158" s="22"/>
      <c r="I158" s="22"/>
    </row>
    <row r="159" spans="2:9" ht="13.8" customHeight="1" x14ac:dyDescent="0.3">
      <c r="B159">
        <v>1</v>
      </c>
      <c r="C159" t="str">
        <f>C219</f>
        <v>NEMA 24 - 57x57x56 - 1,26Nm - 6,35mm Achse</v>
      </c>
      <c r="D159" s="32" t="s">
        <v>816</v>
      </c>
      <c r="E159" s="9"/>
      <c r="H159" s="22"/>
      <c r="I159" s="22"/>
    </row>
    <row r="160" spans="2:9" ht="13.8" customHeight="1" x14ac:dyDescent="0.3">
      <c r="B160">
        <v>1</v>
      </c>
      <c r="C160" t="str">
        <f>C213</f>
        <v>Zahnriemen T5 560mm 10mm Breite</v>
      </c>
      <c r="D160" s="32" t="s">
        <v>827</v>
      </c>
      <c r="E160" s="9"/>
      <c r="H160" s="22"/>
      <c r="I160" s="22"/>
    </row>
    <row r="161" spans="1:11" ht="13.8" customHeight="1" x14ac:dyDescent="0.3">
      <c r="D161" s="32"/>
      <c r="E161" s="9"/>
      <c r="H161" s="22"/>
      <c r="I161" s="22"/>
    </row>
    <row r="162" spans="1:11" ht="13.8" customHeight="1" x14ac:dyDescent="0.3">
      <c r="A162" s="6" t="s">
        <v>5</v>
      </c>
      <c r="C162" s="32"/>
      <c r="E162" s="9"/>
      <c r="H162" s="22"/>
      <c r="I162" s="22"/>
    </row>
    <row r="163" spans="1:11" ht="13.8" customHeight="1" x14ac:dyDescent="0.3">
      <c r="B163" t="s">
        <v>808</v>
      </c>
      <c r="C163" s="32" t="s">
        <v>662</v>
      </c>
      <c r="E163" s="9"/>
      <c r="G163" t="s">
        <v>659</v>
      </c>
      <c r="H163" s="22" t="s">
        <v>670</v>
      </c>
      <c r="I163" s="22" t="s">
        <v>671</v>
      </c>
      <c r="J163" t="s">
        <v>672</v>
      </c>
      <c r="K163" t="s">
        <v>703</v>
      </c>
    </row>
    <row r="164" spans="1:11" ht="13.8" customHeight="1" x14ac:dyDescent="0.3">
      <c r="B164" s="33">
        <f t="shared" ref="B164:B192" si="0">ROUNDUP(I164/G164,0)</f>
        <v>1</v>
      </c>
      <c r="C164" s="32" t="s">
        <v>731</v>
      </c>
      <c r="E164" t="s">
        <v>783</v>
      </c>
      <c r="G164">
        <v>25</v>
      </c>
      <c r="H164" s="22">
        <v>7.45</v>
      </c>
      <c r="I164" s="18">
        <f>SUMIF(C$1:C$162,"="&amp;C164,B$1:B$162)</f>
        <v>14</v>
      </c>
      <c r="J164" s="33">
        <f t="shared" ref="J164:J168" si="1">G164*B164-I164</f>
        <v>11</v>
      </c>
      <c r="K164" s="34">
        <f>B164*H164</f>
        <v>7.45</v>
      </c>
    </row>
    <row r="165" spans="1:11" ht="13.8" customHeight="1" x14ac:dyDescent="0.3">
      <c r="B165" s="33">
        <f t="shared" si="0"/>
        <v>1</v>
      </c>
      <c r="C165" s="32" t="s">
        <v>725</v>
      </c>
      <c r="E165" s="9" t="s">
        <v>669</v>
      </c>
      <c r="G165">
        <v>100</v>
      </c>
      <c r="H165" s="22">
        <v>2.63</v>
      </c>
      <c r="I165" s="18">
        <f>SUMIF(C$1:C$162,"="&amp;C165,B$1:B$162)</f>
        <v>11</v>
      </c>
      <c r="J165" s="33">
        <f t="shared" si="1"/>
        <v>89</v>
      </c>
      <c r="K165" s="34">
        <f>B165*H165</f>
        <v>2.63</v>
      </c>
    </row>
    <row r="166" spans="1:11" ht="13.8" customHeight="1" x14ac:dyDescent="0.3">
      <c r="B166" s="33">
        <f t="shared" ref="B166" si="2">ROUNDUP(I166/G166,0)</f>
        <v>1</v>
      </c>
      <c r="C166" s="32" t="s">
        <v>726</v>
      </c>
      <c r="E166" s="9" t="s">
        <v>669</v>
      </c>
      <c r="G166">
        <v>100</v>
      </c>
      <c r="H166" s="22">
        <v>2.63</v>
      </c>
      <c r="I166" s="18">
        <f>SUMIF(C$1:C$162,"="&amp;C166,B$1:B$162)</f>
        <v>16</v>
      </c>
      <c r="J166" s="33">
        <f t="shared" si="1"/>
        <v>84</v>
      </c>
      <c r="K166" s="34">
        <f>B166*H166</f>
        <v>2.63</v>
      </c>
    </row>
    <row r="167" spans="1:11" ht="13.8" customHeight="1" x14ac:dyDescent="0.3">
      <c r="B167" s="33">
        <f t="shared" si="0"/>
        <v>1</v>
      </c>
      <c r="C167" s="32" t="s">
        <v>616</v>
      </c>
      <c r="E167" s="9" t="s">
        <v>669</v>
      </c>
      <c r="G167">
        <v>100</v>
      </c>
      <c r="H167" s="22">
        <v>1.79</v>
      </c>
      <c r="I167" s="18">
        <f>SUMIF(C$1:C$162,"="&amp;C167,B$1:B$162)</f>
        <v>26</v>
      </c>
      <c r="J167" s="33">
        <f t="shared" si="1"/>
        <v>74</v>
      </c>
      <c r="K167" s="34">
        <f>B167*H167</f>
        <v>1.79</v>
      </c>
    </row>
    <row r="168" spans="1:11" ht="13.8" customHeight="1" x14ac:dyDescent="0.3">
      <c r="B168" s="33">
        <f t="shared" ref="B168" si="3">ROUNDUP(I168/G168,0)</f>
        <v>1</v>
      </c>
      <c r="C168" s="32" t="s">
        <v>704</v>
      </c>
      <c r="E168" s="9" t="s">
        <v>669</v>
      </c>
      <c r="G168">
        <v>100</v>
      </c>
      <c r="H168" s="22">
        <v>1.71</v>
      </c>
      <c r="I168" s="18">
        <f>SUMIF(C$1:C$162,"="&amp;C168,B$1:B$162)</f>
        <v>17</v>
      </c>
      <c r="J168" s="33">
        <f t="shared" si="1"/>
        <v>83</v>
      </c>
      <c r="K168" s="34">
        <f t="shared" ref="K168" si="4">B168*H168</f>
        <v>1.71</v>
      </c>
    </row>
    <row r="169" spans="1:11" ht="13.8" customHeight="1" x14ac:dyDescent="0.3">
      <c r="B169" s="33">
        <f t="shared" ref="B169:B174" si="5">ROUNDUP(I169/G169,0)</f>
        <v>1</v>
      </c>
      <c r="C169" s="32" t="s">
        <v>701</v>
      </c>
      <c r="E169" t="s">
        <v>702</v>
      </c>
      <c r="G169">
        <v>100</v>
      </c>
      <c r="H169" s="22">
        <v>1.63</v>
      </c>
      <c r="I169" s="18">
        <f>SUMIF(C$1:C$162,"="&amp;C169,B$1:B$162)</f>
        <v>4</v>
      </c>
      <c r="J169" s="33">
        <f t="shared" ref="J169:J174" si="6">G169*B169-I169</f>
        <v>96</v>
      </c>
      <c r="K169" s="34">
        <f t="shared" ref="K169:K230" si="7">B169*H169</f>
        <v>1.63</v>
      </c>
    </row>
    <row r="170" spans="1:11" ht="13.8" customHeight="1" x14ac:dyDescent="0.3">
      <c r="B170" s="33"/>
      <c r="C170" s="32"/>
      <c r="E170"/>
      <c r="H170" s="22"/>
      <c r="I170" s="18"/>
      <c r="J170" s="33"/>
      <c r="K170" s="34"/>
    </row>
    <row r="171" spans="1:11" ht="13.8" customHeight="1" x14ac:dyDescent="0.3">
      <c r="B171" s="33">
        <f>ROUNDUP(I171/G171,0)</f>
        <v>2</v>
      </c>
      <c r="C171" s="32" t="s">
        <v>654</v>
      </c>
      <c r="E171" t="s">
        <v>657</v>
      </c>
      <c r="G171">
        <v>10</v>
      </c>
      <c r="H171" s="22">
        <v>0.99</v>
      </c>
      <c r="I171" s="18">
        <f>SUMIF(C$1:C$162,"="&amp;C171,B$1:B$162)</f>
        <v>16</v>
      </c>
      <c r="J171" s="33">
        <f>G171*B171-I171</f>
        <v>4</v>
      </c>
      <c r="K171" s="34">
        <f>B171*H171</f>
        <v>1.98</v>
      </c>
    </row>
    <row r="172" spans="1:11" ht="13.8" customHeight="1" x14ac:dyDescent="0.3">
      <c r="B172" s="33">
        <f>ROUNDUP(I172/G172,0)</f>
        <v>1</v>
      </c>
      <c r="C172" s="32" t="s">
        <v>839</v>
      </c>
      <c r="E172" t="s">
        <v>657</v>
      </c>
      <c r="G172">
        <v>10</v>
      </c>
      <c r="H172" s="22">
        <v>0.99</v>
      </c>
      <c r="I172" s="18">
        <f>SUMIF(C$1:C$162,"="&amp;C172,B$1:B$162)</f>
        <v>4</v>
      </c>
      <c r="J172" s="33">
        <f>G172*B172-I172</f>
        <v>6</v>
      </c>
      <c r="K172" s="34">
        <f>B172*H172</f>
        <v>0.99</v>
      </c>
    </row>
    <row r="173" spans="1:11" ht="13.8" customHeight="1" x14ac:dyDescent="0.3">
      <c r="B173" s="33"/>
      <c r="C173" s="32"/>
      <c r="E173"/>
      <c r="H173" s="22"/>
      <c r="I173" s="18"/>
      <c r="J173" s="33"/>
      <c r="K173" s="34"/>
    </row>
    <row r="174" spans="1:11" ht="13.8" customHeight="1" x14ac:dyDescent="0.3">
      <c r="B174" s="33">
        <f t="shared" si="5"/>
        <v>0</v>
      </c>
      <c r="C174" s="32" t="s">
        <v>713</v>
      </c>
      <c r="E174" t="s">
        <v>712</v>
      </c>
      <c r="G174">
        <v>10</v>
      </c>
      <c r="H174" s="22">
        <v>2.35</v>
      </c>
      <c r="I174" s="18">
        <f>SUMIF(C$1:C$162,"="&amp;C174,B$1:B$162)</f>
        <v>0</v>
      </c>
      <c r="J174" s="33">
        <f t="shared" si="6"/>
        <v>0</v>
      </c>
      <c r="K174" s="34">
        <f t="shared" si="7"/>
        <v>0</v>
      </c>
    </row>
    <row r="175" spans="1:11" ht="13.8" customHeight="1" x14ac:dyDescent="0.3">
      <c r="B175" s="33">
        <f t="shared" ref="B175" si="8">ROUNDUP(I175/G175,0)</f>
        <v>1</v>
      </c>
      <c r="C175" s="32" t="s">
        <v>721</v>
      </c>
      <c r="E175" t="s">
        <v>722</v>
      </c>
      <c r="F175" t="s">
        <v>724</v>
      </c>
      <c r="G175">
        <v>50</v>
      </c>
      <c r="H175" s="22">
        <v>3.65</v>
      </c>
      <c r="I175" s="18">
        <f>SUMIF(C$1:C$162,"="&amp;C175,B$1:B$162)</f>
        <v>22</v>
      </c>
      <c r="J175" s="33">
        <f t="shared" ref="J175" si="9">G175*B175-I175</f>
        <v>28</v>
      </c>
      <c r="K175" s="34">
        <f t="shared" ref="K175" si="10">B175*H175</f>
        <v>3.65</v>
      </c>
    </row>
    <row r="176" spans="1:11" ht="13.8" customHeight="1" x14ac:dyDescent="0.3">
      <c r="B176" s="33">
        <f t="shared" ref="B176" si="11">ROUNDUP(I176/G176,0)</f>
        <v>1</v>
      </c>
      <c r="C176" s="32" t="s">
        <v>751</v>
      </c>
      <c r="E176" t="s">
        <v>752</v>
      </c>
      <c r="F176" t="s">
        <v>724</v>
      </c>
      <c r="G176">
        <v>10</v>
      </c>
      <c r="H176" s="22">
        <v>2.41</v>
      </c>
      <c r="I176" s="18">
        <f>SUMIF(C$1:C$162,"="&amp;C176,B$1:B$162)</f>
        <v>4</v>
      </c>
      <c r="J176" s="33">
        <f t="shared" ref="J176" si="12">G176*B176-I176</f>
        <v>6</v>
      </c>
      <c r="K176" s="34">
        <f t="shared" ref="K176" si="13">B176*H176</f>
        <v>2.41</v>
      </c>
    </row>
    <row r="177" spans="2:11" ht="13.8" customHeight="1" x14ac:dyDescent="0.3">
      <c r="B177" s="33">
        <v>4</v>
      </c>
      <c r="C177" t="s">
        <v>809</v>
      </c>
      <c r="E177" t="s">
        <v>711</v>
      </c>
      <c r="G177">
        <v>10</v>
      </c>
      <c r="H177" s="22">
        <v>2.41</v>
      </c>
      <c r="I177" s="18">
        <f>SUMIF(C$1:C$162,"="&amp;C177,B$1:B$162)</f>
        <v>0</v>
      </c>
      <c r="J177" s="33">
        <f t="shared" ref="J177" si="14">G177*B177-I177</f>
        <v>40</v>
      </c>
      <c r="K177" s="34">
        <f t="shared" ref="K177" si="15">B177*H177</f>
        <v>9.64</v>
      </c>
    </row>
    <row r="178" spans="2:11" ht="13.8" customHeight="1" x14ac:dyDescent="0.3">
      <c r="B178" s="33">
        <f t="shared" si="0"/>
        <v>1</v>
      </c>
      <c r="C178" s="32" t="s">
        <v>715</v>
      </c>
      <c r="E178" t="s">
        <v>606</v>
      </c>
      <c r="G178">
        <v>100</v>
      </c>
      <c r="H178" s="22">
        <v>2.09</v>
      </c>
      <c r="I178" s="18">
        <f>SUMIF(C$1:C$162,"="&amp;C178,B$1:B$162)</f>
        <v>16</v>
      </c>
      <c r="J178" s="33">
        <f t="shared" ref="J178:J226" si="16">G178*B178-I178</f>
        <v>84</v>
      </c>
      <c r="K178" s="34">
        <f t="shared" si="7"/>
        <v>2.09</v>
      </c>
    </row>
    <row r="179" spans="2:11" ht="13.8" customHeight="1" x14ac:dyDescent="0.3">
      <c r="B179" s="33">
        <f t="shared" ref="B179" si="17">ROUNDUP(I179/G179,0)</f>
        <v>1</v>
      </c>
      <c r="C179" s="32" t="s">
        <v>714</v>
      </c>
      <c r="E179" s="29" t="s">
        <v>618</v>
      </c>
      <c r="G179">
        <v>100</v>
      </c>
      <c r="H179" s="22">
        <v>2.09</v>
      </c>
      <c r="I179" s="18">
        <f>SUMIF(C$1:C$162,"="&amp;C179,B$1:B$162)</f>
        <v>24</v>
      </c>
      <c r="J179" s="33">
        <f t="shared" ref="J179" si="18">G179*B179-I179</f>
        <v>76</v>
      </c>
      <c r="K179" s="34">
        <f t="shared" si="7"/>
        <v>2.09</v>
      </c>
    </row>
    <row r="180" spans="2:11" ht="13.8" customHeight="1" x14ac:dyDescent="0.3">
      <c r="B180" s="33">
        <f t="shared" ref="B180:B182" si="19">ROUNDUP(I180/G180,0)</f>
        <v>1</v>
      </c>
      <c r="C180" s="32" t="s">
        <v>716</v>
      </c>
      <c r="G180">
        <v>100</v>
      </c>
      <c r="H180" s="22">
        <v>2.09</v>
      </c>
      <c r="I180" s="18">
        <f>SUMIF(C$1:C$162,"="&amp;C180,B$1:B$162)</f>
        <v>16</v>
      </c>
      <c r="J180" s="33">
        <f t="shared" ref="J180:J182" si="20">G180*B180-I180</f>
        <v>84</v>
      </c>
      <c r="K180" s="34">
        <f t="shared" ref="K180:K182" si="21">B180*H180</f>
        <v>2.09</v>
      </c>
    </row>
    <row r="181" spans="2:11" ht="13.8" customHeight="1" x14ac:dyDescent="0.3">
      <c r="B181" s="33"/>
      <c r="C181" s="32"/>
      <c r="H181" s="22"/>
      <c r="I181" s="18"/>
      <c r="J181" s="33"/>
      <c r="K181" s="34"/>
    </row>
    <row r="182" spans="2:11" ht="13.8" customHeight="1" x14ac:dyDescent="0.3">
      <c r="B182" s="33">
        <f t="shared" si="19"/>
        <v>1</v>
      </c>
      <c r="C182" s="32" t="s">
        <v>747</v>
      </c>
      <c r="E182" s="29" t="s">
        <v>626</v>
      </c>
      <c r="G182">
        <v>50</v>
      </c>
      <c r="H182" s="22">
        <v>4.8899999999999997</v>
      </c>
      <c r="I182" s="18">
        <f>SUMIF(C$1:C$162,"="&amp;C182,B$1:B$162)</f>
        <v>1</v>
      </c>
      <c r="J182" s="33">
        <f t="shared" si="20"/>
        <v>49</v>
      </c>
      <c r="K182" s="34">
        <f t="shared" si="21"/>
        <v>4.8899999999999997</v>
      </c>
    </row>
    <row r="183" spans="2:11" ht="13.8" customHeight="1" x14ac:dyDescent="0.3">
      <c r="B183" s="33">
        <f t="shared" ref="B183" si="22">ROUNDUP(I183/G183,0)</f>
        <v>1</v>
      </c>
      <c r="C183" s="32" t="s">
        <v>745</v>
      </c>
      <c r="E183" s="29" t="s">
        <v>746</v>
      </c>
      <c r="G183">
        <v>20</v>
      </c>
      <c r="H183" s="22">
        <v>3.89</v>
      </c>
      <c r="I183" s="18">
        <f>SUMIF(C$1:C$162,"="&amp;C183,B$1:B$162)</f>
        <v>2</v>
      </c>
      <c r="J183" s="33">
        <f t="shared" ref="J183" si="23">G183*B183-I183</f>
        <v>18</v>
      </c>
      <c r="K183" s="34">
        <f t="shared" ref="K183" si="24">B183*H183</f>
        <v>3.89</v>
      </c>
    </row>
    <row r="184" spans="2:11" ht="13.8" customHeight="1" x14ac:dyDescent="0.3">
      <c r="B184" s="33">
        <f t="shared" si="0"/>
        <v>1</v>
      </c>
      <c r="C184" s="32" t="s">
        <v>780</v>
      </c>
      <c r="E184" s="29" t="s">
        <v>650</v>
      </c>
      <c r="G184">
        <v>100</v>
      </c>
      <c r="H184" s="22">
        <v>1.79</v>
      </c>
      <c r="I184" s="18">
        <f>SUMIF(C$1:C$162,"="&amp;C184,B$1:B$162)</f>
        <v>71</v>
      </c>
      <c r="J184" s="33">
        <f t="shared" si="16"/>
        <v>29</v>
      </c>
      <c r="K184" s="34">
        <f t="shared" si="7"/>
        <v>1.79</v>
      </c>
    </row>
    <row r="185" spans="2:11" ht="13.8" customHeight="1" x14ac:dyDescent="0.3">
      <c r="B185" s="33">
        <f t="shared" si="0"/>
        <v>1</v>
      </c>
      <c r="C185" s="32" t="s">
        <v>662</v>
      </c>
      <c r="E185" s="9" t="s">
        <v>663</v>
      </c>
      <c r="G185">
        <v>100</v>
      </c>
      <c r="H185" s="22">
        <v>1.79</v>
      </c>
      <c r="I185" s="18">
        <f>SUMIF(C$1:C$162,"="&amp;C185,B$1:B$162)</f>
        <v>6</v>
      </c>
      <c r="J185" s="33">
        <f>G185*B185-I185</f>
        <v>94</v>
      </c>
      <c r="K185" s="34">
        <f t="shared" si="7"/>
        <v>1.79</v>
      </c>
    </row>
    <row r="186" spans="2:11" ht="13.8" customHeight="1" x14ac:dyDescent="0.3">
      <c r="B186" s="33">
        <f t="shared" ref="B186:B187" si="25">ROUNDUP(I186/G186,0)</f>
        <v>1</v>
      </c>
      <c r="C186" s="32" t="s">
        <v>748</v>
      </c>
      <c r="E186" s="9" t="s">
        <v>775</v>
      </c>
      <c r="G186">
        <v>50</v>
      </c>
      <c r="H186" s="22">
        <v>4.33</v>
      </c>
      <c r="I186" s="18">
        <f>SUMIF(C$1:C$162,"="&amp;C186,B$1:B$162)</f>
        <v>4</v>
      </c>
      <c r="J186" s="33">
        <f>G186*B186-I186</f>
        <v>46</v>
      </c>
      <c r="K186" s="34">
        <f t="shared" ref="K186:K187" si="26">B186*H186</f>
        <v>4.33</v>
      </c>
    </row>
    <row r="187" spans="2:11" ht="13.8" customHeight="1" x14ac:dyDescent="0.3">
      <c r="B187" s="33">
        <f t="shared" si="25"/>
        <v>2</v>
      </c>
      <c r="C187" s="32" t="s">
        <v>779</v>
      </c>
      <c r="E187" s="9" t="s">
        <v>774</v>
      </c>
      <c r="G187">
        <v>10</v>
      </c>
      <c r="H187" s="22">
        <v>1.98</v>
      </c>
      <c r="I187" s="18">
        <f>SUMIF(C$1:C$162,"="&amp;C187,B$1:B$162)</f>
        <v>16</v>
      </c>
      <c r="J187" s="33">
        <f>G187*B187-I187</f>
        <v>4</v>
      </c>
      <c r="K187" s="34">
        <f t="shared" si="26"/>
        <v>3.96</v>
      </c>
    </row>
    <row r="188" spans="2:11" ht="13.8" customHeight="1" x14ac:dyDescent="0.3">
      <c r="B188" s="33">
        <f>ROUNDUP(I188/G188,0)</f>
        <v>1</v>
      </c>
      <c r="C188" t="s">
        <v>673</v>
      </c>
      <c r="E188" s="26" t="s">
        <v>646</v>
      </c>
      <c r="G188">
        <v>500</v>
      </c>
      <c r="H188" s="22">
        <v>4.49</v>
      </c>
      <c r="I188" s="18">
        <f>SUMIF(C$1:C$162,"="&amp;C188,B$1:B$162)</f>
        <v>136</v>
      </c>
      <c r="J188" s="33">
        <f t="shared" ref="J188" si="27">G188*B188-I188</f>
        <v>364</v>
      </c>
      <c r="K188" s="34">
        <f t="shared" si="7"/>
        <v>4.49</v>
      </c>
    </row>
    <row r="189" spans="2:11" ht="13.8" customHeight="1" x14ac:dyDescent="0.3">
      <c r="B189" s="33">
        <f>ROUNDUP(I189/G189,0)</f>
        <v>1</v>
      </c>
      <c r="C189" t="s">
        <v>695</v>
      </c>
      <c r="E189" s="26" t="s">
        <v>604</v>
      </c>
      <c r="G189">
        <v>500</v>
      </c>
      <c r="H189" s="22">
        <v>2.4900000000000002</v>
      </c>
      <c r="I189" s="18">
        <f>SUMIF(C$1:C$162,"="&amp;C189,B$1:B$162)</f>
        <v>50</v>
      </c>
      <c r="J189" s="33">
        <f t="shared" ref="J189:J190" si="28">G189*B189-I189</f>
        <v>450</v>
      </c>
      <c r="K189" s="34">
        <f t="shared" si="7"/>
        <v>2.4900000000000002</v>
      </c>
    </row>
    <row r="190" spans="2:11" ht="13.8" customHeight="1" x14ac:dyDescent="0.3">
      <c r="B190" s="33">
        <f>ROUNDUP(I190/G190,0)</f>
        <v>1</v>
      </c>
      <c r="C190" t="s">
        <v>734</v>
      </c>
      <c r="E190" s="26" t="s">
        <v>735</v>
      </c>
      <c r="G190">
        <v>500</v>
      </c>
      <c r="H190" s="22">
        <v>4.49</v>
      </c>
      <c r="I190" s="18">
        <f>SUMIF(C$1:C$162,"="&amp;C190,B$1:B$162)</f>
        <v>182</v>
      </c>
      <c r="J190" s="33">
        <f t="shared" si="28"/>
        <v>318</v>
      </c>
      <c r="K190" s="34">
        <f t="shared" ref="K190" si="29">B190*H190</f>
        <v>4.49</v>
      </c>
    </row>
    <row r="191" spans="2:11" ht="13.8" customHeight="1" x14ac:dyDescent="0.3">
      <c r="B191" s="33">
        <f>ROUNDUP(I191/G191,0)</f>
        <v>1</v>
      </c>
      <c r="C191" s="32" t="s">
        <v>807</v>
      </c>
      <c r="E191" s="26" t="s">
        <v>806</v>
      </c>
      <c r="G191">
        <v>100</v>
      </c>
      <c r="H191" s="22">
        <v>1.59</v>
      </c>
      <c r="I191" s="18">
        <f>SUMIF(C$1:C$162,"="&amp;C191,B$1:B$162)</f>
        <v>12</v>
      </c>
      <c r="J191" s="33">
        <f t="shared" ref="J191" si="30">G191*B191-I191</f>
        <v>88</v>
      </c>
      <c r="K191" s="34">
        <f t="shared" ref="K191" si="31">B191*H191</f>
        <v>1.59</v>
      </c>
    </row>
    <row r="192" spans="2:11" ht="13.8" customHeight="1" x14ac:dyDescent="0.3">
      <c r="B192" s="33">
        <f t="shared" si="0"/>
        <v>33</v>
      </c>
      <c r="C192" s="32" t="s">
        <v>803</v>
      </c>
      <c r="E192" t="s">
        <v>802</v>
      </c>
      <c r="G192">
        <v>1</v>
      </c>
      <c r="H192" s="22">
        <v>0.3</v>
      </c>
      <c r="I192" s="18">
        <f>SUMIF(C$1:C$162,"="&amp;C192,B$1:B$162)</f>
        <v>33</v>
      </c>
      <c r="J192" s="33">
        <f t="shared" ref="J192" si="32">G192*B192-I192</f>
        <v>0</v>
      </c>
      <c r="K192" s="34">
        <f t="shared" ref="K192" si="33">B192*H192</f>
        <v>9.9</v>
      </c>
    </row>
    <row r="193" spans="2:11" ht="13.8" customHeight="1" x14ac:dyDescent="0.3">
      <c r="B193" s="33">
        <f>ROUNDUP(I193/G193,0)</f>
        <v>1</v>
      </c>
      <c r="C193" t="s">
        <v>689</v>
      </c>
      <c r="E193" s="26" t="s">
        <v>690</v>
      </c>
      <c r="G193">
        <v>10</v>
      </c>
      <c r="H193" s="22">
        <v>2.59</v>
      </c>
      <c r="I193" s="18">
        <f>SUMIF(C$1:C$162,"="&amp;C193,B$1:B$162)</f>
        <v>2</v>
      </c>
      <c r="J193" s="33">
        <f t="shared" ref="J193" si="34">G193*B193-I193</f>
        <v>8</v>
      </c>
      <c r="K193" s="34">
        <f>B193*H193</f>
        <v>2.59</v>
      </c>
    </row>
    <row r="194" spans="2:11" ht="13.8" customHeight="1" x14ac:dyDescent="0.3">
      <c r="B194" s="33">
        <f>ROUNDUP(I194/G194,0)</f>
        <v>1</v>
      </c>
      <c r="C194" s="32" t="s">
        <v>805</v>
      </c>
      <c r="E194" t="s">
        <v>804</v>
      </c>
      <c r="G194">
        <v>500</v>
      </c>
      <c r="H194" s="22">
        <v>1.69</v>
      </c>
      <c r="I194" s="18">
        <f>SUMIF(C$1:C$162,"="&amp;C194,B$1:B$162)</f>
        <v>300</v>
      </c>
      <c r="J194" s="33">
        <f t="shared" ref="J194" si="35">G194*B194-I194</f>
        <v>200</v>
      </c>
      <c r="K194" s="34">
        <f>B194*H194</f>
        <v>1.69</v>
      </c>
    </row>
    <row r="195" spans="2:11" ht="13.8" customHeight="1" x14ac:dyDescent="0.3">
      <c r="B195" s="33"/>
      <c r="H195" s="22"/>
      <c r="I195" s="18"/>
      <c r="J195" s="33"/>
      <c r="K195" s="34"/>
    </row>
    <row r="196" spans="2:11" ht="13.8" customHeight="1" x14ac:dyDescent="0.3">
      <c r="B196" s="33">
        <f t="shared" ref="B196:B201" si="36">ROUNDUP(I196/G196,0)</f>
        <v>4</v>
      </c>
      <c r="C196" t="s">
        <v>632</v>
      </c>
      <c r="E196" s="29" t="s">
        <v>637</v>
      </c>
      <c r="G196">
        <v>1</v>
      </c>
      <c r="H196" s="22">
        <v>5.0999999999999996</v>
      </c>
      <c r="I196" s="18">
        <f>SUMIF(C$1:C$162,"="&amp;C196,B$1:B$162)</f>
        <v>4</v>
      </c>
      <c r="J196" s="33">
        <f t="shared" ref="J196" si="37">G196*B196-I196</f>
        <v>0</v>
      </c>
      <c r="K196" s="34">
        <f t="shared" si="7"/>
        <v>20.399999999999999</v>
      </c>
    </row>
    <row r="197" spans="2:11" ht="13.8" customHeight="1" x14ac:dyDescent="0.3">
      <c r="B197" s="33">
        <f t="shared" ref="B197" si="38">ROUNDUP(I197/G197,0)</f>
        <v>1</v>
      </c>
      <c r="C197" t="s">
        <v>821</v>
      </c>
      <c r="E197" s="29" t="s">
        <v>822</v>
      </c>
      <c r="G197">
        <v>1</v>
      </c>
      <c r="H197" s="22">
        <v>5.0999999999999996</v>
      </c>
      <c r="I197" s="18">
        <f>SUMIF(C$1:C$162,"="&amp;C197,B$1:B$162)</f>
        <v>1</v>
      </c>
      <c r="J197" s="33">
        <f t="shared" ref="J197" si="39">G197*B197-I197</f>
        <v>0</v>
      </c>
      <c r="K197" s="34">
        <f t="shared" ref="K197" si="40">B197*H197</f>
        <v>5.0999999999999996</v>
      </c>
    </row>
    <row r="198" spans="2:11" ht="13.8" customHeight="1" x14ac:dyDescent="0.3">
      <c r="B198" s="33">
        <f t="shared" si="36"/>
        <v>1</v>
      </c>
      <c r="C198" t="s">
        <v>639</v>
      </c>
      <c r="E198" s="29" t="s">
        <v>638</v>
      </c>
      <c r="G198">
        <v>1</v>
      </c>
      <c r="H198" s="22">
        <v>5.44</v>
      </c>
      <c r="I198" s="18">
        <f>SUMIF(C$1:C$162,"="&amp;C198,B$1:B$162)</f>
        <v>1</v>
      </c>
      <c r="J198" s="33">
        <f t="shared" ref="J198:J200" si="41">G198*B198-I198</f>
        <v>0</v>
      </c>
      <c r="K198" s="34">
        <f t="shared" si="7"/>
        <v>5.44</v>
      </c>
    </row>
    <row r="199" spans="2:11" ht="13.8" customHeight="1" x14ac:dyDescent="0.3">
      <c r="B199" s="33">
        <f t="shared" si="36"/>
        <v>0</v>
      </c>
      <c r="C199" t="s">
        <v>674</v>
      </c>
      <c r="E199" s="29" t="s">
        <v>642</v>
      </c>
      <c r="G199">
        <v>1</v>
      </c>
      <c r="H199" s="22">
        <v>4.46</v>
      </c>
      <c r="I199" s="18">
        <f>SUMIF(C$1:C$162,"="&amp;C199,B$1:B$162)</f>
        <v>0</v>
      </c>
      <c r="J199" s="33">
        <f t="shared" si="41"/>
        <v>0</v>
      </c>
      <c r="K199" s="34">
        <f t="shared" si="7"/>
        <v>0</v>
      </c>
    </row>
    <row r="200" spans="2:11" ht="13.8" customHeight="1" x14ac:dyDescent="0.3">
      <c r="B200" s="33">
        <f t="shared" si="36"/>
        <v>0</v>
      </c>
      <c r="C200" t="s">
        <v>675</v>
      </c>
      <c r="E200" s="29" t="s">
        <v>640</v>
      </c>
      <c r="G200">
        <v>1</v>
      </c>
      <c r="H200" s="22">
        <v>5.01</v>
      </c>
      <c r="I200" s="18">
        <f>SUMIF(C$1:C$162,"="&amp;C200,B$1:B$162)</f>
        <v>0</v>
      </c>
      <c r="J200" s="33">
        <f t="shared" si="41"/>
        <v>0</v>
      </c>
      <c r="K200" s="34">
        <f t="shared" si="7"/>
        <v>0</v>
      </c>
    </row>
    <row r="201" spans="2:11" ht="13.8" customHeight="1" x14ac:dyDescent="0.3">
      <c r="B201" s="33">
        <f t="shared" si="36"/>
        <v>1</v>
      </c>
      <c r="C201" t="s">
        <v>710</v>
      </c>
      <c r="E201" s="26" t="s">
        <v>709</v>
      </c>
      <c r="G201">
        <v>1</v>
      </c>
      <c r="H201" s="22">
        <v>6.34</v>
      </c>
      <c r="I201" s="18">
        <f>SUMIF(C$1:C$162,"="&amp;C201,B$1:B$162)</f>
        <v>1</v>
      </c>
      <c r="J201" s="33">
        <f t="shared" ref="J201" si="42">G201*B201-I201</f>
        <v>0</v>
      </c>
      <c r="K201" s="34">
        <f t="shared" ref="K201" si="43">B201*H201</f>
        <v>6.34</v>
      </c>
    </row>
    <row r="202" spans="2:11" ht="13.8" customHeight="1" x14ac:dyDescent="0.3">
      <c r="B202" s="33">
        <v>1</v>
      </c>
      <c r="C202" t="s">
        <v>738</v>
      </c>
      <c r="D202" s="32"/>
      <c r="E202" s="26" t="s">
        <v>737</v>
      </c>
      <c r="G202">
        <v>1</v>
      </c>
      <c r="H202" s="22">
        <v>11.6</v>
      </c>
      <c r="I202" s="18">
        <f>SUMIF(C$1:C$162,"="&amp;C202,B$1:B$162)</f>
        <v>2</v>
      </c>
      <c r="J202" s="33">
        <f t="shared" ref="J202:J203" si="44">G202*B202-I202</f>
        <v>-1</v>
      </c>
      <c r="K202" s="34">
        <f t="shared" ref="K202:K203" si="45">B202*H202</f>
        <v>11.6</v>
      </c>
    </row>
    <row r="203" spans="2:11" ht="13.8" customHeight="1" x14ac:dyDescent="0.3">
      <c r="B203" s="33">
        <v>1</v>
      </c>
      <c r="C203" t="s">
        <v>758</v>
      </c>
      <c r="D203" s="32"/>
      <c r="E203" s="29" t="s">
        <v>759</v>
      </c>
      <c r="G203">
        <v>1</v>
      </c>
      <c r="H203" s="22">
        <v>5.66</v>
      </c>
      <c r="I203" s="18">
        <f>SUMIF(C$1:C$162,"="&amp;C203,B$1:B$162)</f>
        <v>4</v>
      </c>
      <c r="J203" s="33">
        <f t="shared" si="44"/>
        <v>-3</v>
      </c>
      <c r="K203" s="34">
        <f t="shared" si="45"/>
        <v>5.66</v>
      </c>
    </row>
    <row r="204" spans="2:11" ht="13.8" customHeight="1" x14ac:dyDescent="0.3">
      <c r="B204" s="33">
        <v>1</v>
      </c>
      <c r="C204" t="s">
        <v>740</v>
      </c>
      <c r="D204" s="32"/>
      <c r="E204" s="29" t="s">
        <v>739</v>
      </c>
      <c r="G204">
        <v>1</v>
      </c>
      <c r="H204" s="22">
        <v>5.23</v>
      </c>
      <c r="I204" s="18">
        <f>SUMIF(C$1:C$162,"="&amp;C204,B$1:B$162)</f>
        <v>0</v>
      </c>
      <c r="J204" s="33">
        <f t="shared" ref="J204" si="46">G204*B204-I204</f>
        <v>1</v>
      </c>
      <c r="K204" s="34">
        <f t="shared" ref="K204" si="47">B204*H204</f>
        <v>5.23</v>
      </c>
    </row>
    <row r="205" spans="2:11" ht="13.8" customHeight="1" x14ac:dyDescent="0.3">
      <c r="B205" s="33">
        <v>1</v>
      </c>
      <c r="C205" s="32" t="s">
        <v>763</v>
      </c>
      <c r="D205" s="32"/>
      <c r="E205" s="29" t="s">
        <v>653</v>
      </c>
      <c r="G205">
        <v>1</v>
      </c>
      <c r="H205" s="22">
        <v>4.96</v>
      </c>
      <c r="I205" s="18">
        <f>SUMIF(C$1:C$162,"="&amp;C205,B$1:B$162)</f>
        <v>1</v>
      </c>
      <c r="J205" s="33">
        <f>G205*B205-I205</f>
        <v>0</v>
      </c>
      <c r="K205" s="34">
        <f>B205*H205</f>
        <v>4.96</v>
      </c>
    </row>
    <row r="206" spans="2:11" ht="13.8" customHeight="1" x14ac:dyDescent="0.3">
      <c r="B206" s="33">
        <v>1</v>
      </c>
      <c r="C206" t="s">
        <v>764</v>
      </c>
      <c r="D206" s="32"/>
      <c r="E206" s="29" t="s">
        <v>676</v>
      </c>
      <c r="G206">
        <v>1</v>
      </c>
      <c r="H206" s="22">
        <v>4.24</v>
      </c>
      <c r="I206" s="18">
        <f>SUMIF(C$1:C$162,"="&amp;C206,B$1:B$162)</f>
        <v>1</v>
      </c>
      <c r="J206" s="33">
        <f t="shared" ref="J206" si="48">G206*B206-I206</f>
        <v>0</v>
      </c>
      <c r="K206" s="34">
        <f>B206*H206</f>
        <v>4.24</v>
      </c>
    </row>
    <row r="207" spans="2:11" ht="13.8" customHeight="1" x14ac:dyDescent="0.3">
      <c r="B207" s="33">
        <f>ROUNDUP(I207/G207,0)</f>
        <v>2</v>
      </c>
      <c r="C207" t="s">
        <v>767</v>
      </c>
      <c r="E207" s="26" t="s">
        <v>697</v>
      </c>
      <c r="G207">
        <v>1</v>
      </c>
      <c r="H207" s="22">
        <v>4.4400000000000004</v>
      </c>
      <c r="I207" s="18">
        <f>SUMIF(C$1:C$162,"="&amp;C207,B$1:B$162)</f>
        <v>2</v>
      </c>
      <c r="J207" s="33">
        <f t="shared" ref="J207" si="49">G207*B207-I207</f>
        <v>0</v>
      </c>
      <c r="K207" s="34">
        <f>B207*H207</f>
        <v>8.8800000000000008</v>
      </c>
    </row>
    <row r="208" spans="2:11" ht="13.8" customHeight="1" x14ac:dyDescent="0.3">
      <c r="B208" s="33">
        <v>1</v>
      </c>
      <c r="C208" t="s">
        <v>765</v>
      </c>
      <c r="D208" s="32"/>
      <c r="E208" s="29" t="s">
        <v>756</v>
      </c>
      <c r="G208">
        <v>1</v>
      </c>
      <c r="H208" s="22">
        <v>7.44</v>
      </c>
      <c r="I208" s="18">
        <f>SUMIF(C$1:C$162,"="&amp;C208,B$1:B$162)</f>
        <v>2</v>
      </c>
      <c r="J208" s="33">
        <f t="shared" ref="J208" si="50">G208*B208-I208</f>
        <v>-1</v>
      </c>
      <c r="K208" s="34">
        <f t="shared" ref="K208" si="51">B208*H208</f>
        <v>7.44</v>
      </c>
    </row>
    <row r="209" spans="2:12" ht="14.4" customHeight="1" x14ac:dyDescent="0.3">
      <c r="B209" s="33">
        <v>1</v>
      </c>
      <c r="C209" t="s">
        <v>766</v>
      </c>
      <c r="D209" s="32"/>
      <c r="E209" s="29" t="s">
        <v>756</v>
      </c>
      <c r="G209">
        <v>1</v>
      </c>
      <c r="H209" s="22">
        <v>8.8699999999999992</v>
      </c>
      <c r="I209" s="18">
        <f>SUMIF(C$1:C$162,"="&amp;C209,B$1:B$162)</f>
        <v>1</v>
      </c>
      <c r="J209" s="33">
        <f t="shared" ref="J209" si="52">G209*B209-I209</f>
        <v>0</v>
      </c>
      <c r="K209" s="34">
        <f t="shared" ref="K209" si="53">B209*H209</f>
        <v>8.8699999999999992</v>
      </c>
    </row>
    <row r="210" spans="2:12" ht="13.8" customHeight="1" x14ac:dyDescent="0.3">
      <c r="B210" s="33">
        <v>1</v>
      </c>
      <c r="C210" t="s">
        <v>787</v>
      </c>
      <c r="D210" s="32"/>
      <c r="E210" s="29" t="s">
        <v>786</v>
      </c>
      <c r="G210">
        <v>1</v>
      </c>
      <c r="H210" s="22">
        <v>7.88</v>
      </c>
      <c r="I210" s="18">
        <f>SUMIF(C$1:C$162,"="&amp;C210,B$1:B$162)</f>
        <v>1</v>
      </c>
      <c r="J210" s="33">
        <f t="shared" ref="J210" si="54">G210*B210-I210</f>
        <v>0</v>
      </c>
      <c r="K210" s="34">
        <f t="shared" ref="K210" si="55">B210*H210</f>
        <v>7.88</v>
      </c>
    </row>
    <row r="211" spans="2:12" ht="13.8" customHeight="1" x14ac:dyDescent="0.3">
      <c r="B211" s="33">
        <v>1</v>
      </c>
      <c r="C211" t="s">
        <v>788</v>
      </c>
      <c r="D211" s="32"/>
      <c r="E211" s="29" t="s">
        <v>789</v>
      </c>
      <c r="G211">
        <v>1</v>
      </c>
      <c r="H211" s="22">
        <v>7.88</v>
      </c>
      <c r="I211" s="18">
        <f>SUMIF(C$1:C$162,"="&amp;C211,B$1:B$162)</f>
        <v>1</v>
      </c>
      <c r="J211" s="33">
        <f t="shared" ref="J211" si="56">G211*B211-I211</f>
        <v>0</v>
      </c>
      <c r="K211" s="34">
        <f t="shared" ref="K211" si="57">B211*H211</f>
        <v>7.88</v>
      </c>
    </row>
    <row r="212" spans="2:12" ht="13.8" customHeight="1" x14ac:dyDescent="0.3">
      <c r="B212" s="33">
        <v>1</v>
      </c>
      <c r="C212" t="s">
        <v>765</v>
      </c>
      <c r="D212" s="32"/>
      <c r="E212" s="29" t="s">
        <v>756</v>
      </c>
      <c r="G212">
        <v>1</v>
      </c>
      <c r="H212" s="22">
        <v>7.13</v>
      </c>
      <c r="I212" s="18">
        <f>SUMIF(C$1:C$162,"="&amp;C212,B$1:B$162)</f>
        <v>2</v>
      </c>
      <c r="J212" s="33">
        <f t="shared" ref="J212" si="58">G212*B212-I212</f>
        <v>-1</v>
      </c>
      <c r="K212" s="34">
        <f t="shared" ref="K212" si="59">B212*H212</f>
        <v>7.13</v>
      </c>
    </row>
    <row r="213" spans="2:12" ht="13.8" customHeight="1" x14ac:dyDescent="0.3">
      <c r="B213" s="33">
        <v>1</v>
      </c>
      <c r="C213" t="s">
        <v>829</v>
      </c>
      <c r="D213" s="32"/>
      <c r="E213" s="29" t="s">
        <v>828</v>
      </c>
      <c r="G213">
        <v>1</v>
      </c>
      <c r="H213" s="22">
        <v>7.13</v>
      </c>
      <c r="I213" s="18">
        <f>SUMIF(C$1:C$162,"="&amp;C213,B$1:B$162)</f>
        <v>1</v>
      </c>
      <c r="J213" s="33">
        <f t="shared" ref="J213" si="60">G213*B213-I213</f>
        <v>0</v>
      </c>
      <c r="K213" s="34">
        <f t="shared" ref="K213" si="61">B213*H213</f>
        <v>7.13</v>
      </c>
    </row>
    <row r="214" spans="2:12" ht="13.8" customHeight="1" x14ac:dyDescent="0.3">
      <c r="B214" s="33"/>
      <c r="D214" s="32"/>
      <c r="H214" s="22"/>
      <c r="I214" s="18"/>
      <c r="J214" s="33"/>
      <c r="K214" s="34"/>
    </row>
    <row r="215" spans="2:12" ht="13.8" customHeight="1" x14ac:dyDescent="0.3">
      <c r="B215" s="33">
        <v>1</v>
      </c>
      <c r="C215" s="32" t="s">
        <v>825</v>
      </c>
      <c r="E215" s="26" t="s">
        <v>648</v>
      </c>
      <c r="G215">
        <v>1</v>
      </c>
      <c r="H215" s="22">
        <v>14.5</v>
      </c>
      <c r="I215" s="18">
        <f>SUMIF(C$1:C$162,"="&amp;C215,B$1:B$162)</f>
        <v>1</v>
      </c>
      <c r="J215" s="33">
        <f t="shared" si="16"/>
        <v>0</v>
      </c>
      <c r="K215" s="34">
        <f t="shared" si="7"/>
        <v>14.5</v>
      </c>
    </row>
    <row r="216" spans="2:12" ht="13.8" customHeight="1" x14ac:dyDescent="0.3">
      <c r="B216" s="33">
        <v>1</v>
      </c>
      <c r="C216" s="32" t="s">
        <v>820</v>
      </c>
      <c r="E216" s="26" t="s">
        <v>706</v>
      </c>
      <c r="G216">
        <v>1</v>
      </c>
      <c r="H216" s="22">
        <v>8.5</v>
      </c>
      <c r="I216" s="18">
        <f>SUMIF(C$1:C$162,"="&amp;C216,B$1:B$162)</f>
        <v>1</v>
      </c>
      <c r="J216" s="33">
        <f t="shared" ref="J216" si="62">G216*B216-I216</f>
        <v>0</v>
      </c>
      <c r="K216" s="34">
        <f t="shared" ref="K216" si="63">B216*H216</f>
        <v>8.5</v>
      </c>
    </row>
    <row r="217" spans="2:12" ht="13.8" customHeight="1" x14ac:dyDescent="0.3">
      <c r="B217" s="33">
        <v>1</v>
      </c>
      <c r="C217" s="32" t="s">
        <v>819</v>
      </c>
      <c r="E217" s="26" t="s">
        <v>762</v>
      </c>
      <c r="G217">
        <v>1</v>
      </c>
      <c r="H217" s="22">
        <v>54.2</v>
      </c>
      <c r="I217" s="18">
        <f>SUMIF(C$1:C$162,"="&amp;C217,B$1:B$162)</f>
        <v>1</v>
      </c>
      <c r="J217" s="33">
        <f t="shared" ref="J217" si="64">G217*B217-I217</f>
        <v>0</v>
      </c>
      <c r="K217" s="34">
        <f t="shared" ref="K217" si="65">B217*H217</f>
        <v>54.2</v>
      </c>
    </row>
    <row r="218" spans="2:12" ht="13.8" customHeight="1" x14ac:dyDescent="0.3">
      <c r="B218" s="33">
        <v>1</v>
      </c>
      <c r="C218" s="32" t="s">
        <v>818</v>
      </c>
      <c r="E218" s="26" t="s">
        <v>795</v>
      </c>
      <c r="G218">
        <v>1</v>
      </c>
      <c r="H218" s="22">
        <v>37</v>
      </c>
      <c r="I218" s="18">
        <f>SUMIF(C$1:C$162,"="&amp;C218,B$1:B$162)</f>
        <v>1</v>
      </c>
      <c r="J218" s="33">
        <f t="shared" ref="J218" si="66">G218*B218-I218</f>
        <v>0</v>
      </c>
      <c r="K218" s="34">
        <f t="shared" ref="K218" si="67">B218*H218</f>
        <v>37</v>
      </c>
    </row>
    <row r="219" spans="2:12" ht="13.8" customHeight="1" x14ac:dyDescent="0.3">
      <c r="B219" s="33">
        <v>1</v>
      </c>
      <c r="C219" s="32" t="s">
        <v>817</v>
      </c>
      <c r="E219" s="26" t="s">
        <v>815</v>
      </c>
      <c r="G219">
        <v>1</v>
      </c>
      <c r="H219" s="22">
        <v>18</v>
      </c>
      <c r="I219" s="18">
        <f>SUMIF(C$1:C$162,"="&amp;C219,B$1:B$162)</f>
        <v>1</v>
      </c>
      <c r="J219" s="33">
        <f t="shared" ref="J219" si="68">G219*B219-I219</f>
        <v>0</v>
      </c>
      <c r="K219" s="34">
        <f t="shared" ref="K219" si="69">B219*H219</f>
        <v>18</v>
      </c>
    </row>
    <row r="220" spans="2:12" ht="13.8" customHeight="1" x14ac:dyDescent="0.3">
      <c r="B220" s="33">
        <f t="shared" ref="B220:B230" si="70">ROUNDUP(I220/G220,0)</f>
        <v>5</v>
      </c>
      <c r="C220" s="32" t="s">
        <v>656</v>
      </c>
      <c r="E220" s="9" t="s">
        <v>562</v>
      </c>
      <c r="G220">
        <v>1</v>
      </c>
      <c r="H220" s="22">
        <v>14.53</v>
      </c>
      <c r="I220" s="18">
        <f>SUMIF(C$1:C$162,"="&amp;C220,B$1:B$162)</f>
        <v>5</v>
      </c>
      <c r="J220" s="33">
        <f t="shared" si="16"/>
        <v>0</v>
      </c>
      <c r="K220" s="34">
        <f t="shared" si="7"/>
        <v>72.649999999999991</v>
      </c>
      <c r="L220" t="s">
        <v>832</v>
      </c>
    </row>
    <row r="221" spans="2:12" ht="13.8" customHeight="1" x14ac:dyDescent="0.3">
      <c r="B221" s="33">
        <f t="shared" si="70"/>
        <v>1</v>
      </c>
      <c r="C221" s="32" t="s">
        <v>768</v>
      </c>
      <c r="E221" s="9" t="s">
        <v>770</v>
      </c>
      <c r="G221">
        <v>1</v>
      </c>
      <c r="H221" s="22">
        <v>36.42</v>
      </c>
      <c r="I221" s="18">
        <f>SUMIF(C$1:C$162,"="&amp;C221,B$1:B$162)</f>
        <v>1</v>
      </c>
      <c r="J221" s="33">
        <f t="shared" ref="J221" si="71">G221*B221-I221</f>
        <v>0</v>
      </c>
      <c r="K221" s="34">
        <f t="shared" ref="K221" si="72">B221*H221</f>
        <v>36.42</v>
      </c>
      <c r="L221" t="s">
        <v>832</v>
      </c>
    </row>
    <row r="222" spans="2:12" ht="13.8" customHeight="1" x14ac:dyDescent="0.3">
      <c r="B222" s="33"/>
      <c r="C222" s="32"/>
      <c r="E222" s="9"/>
      <c r="H222" s="22"/>
      <c r="I222" s="18"/>
      <c r="J222" s="33"/>
      <c r="K222" s="34"/>
    </row>
    <row r="223" spans="2:12" ht="13.8" customHeight="1" x14ac:dyDescent="0.3">
      <c r="B223" s="33">
        <f t="shared" si="70"/>
        <v>2</v>
      </c>
      <c r="C223" s="32" t="s">
        <v>666</v>
      </c>
      <c r="D223" s="32"/>
      <c r="E223" s="29" t="s">
        <v>664</v>
      </c>
      <c r="G223">
        <v>1</v>
      </c>
      <c r="H223" s="22">
        <v>1.54</v>
      </c>
      <c r="I223" s="18">
        <f>SUMIF(C$1:C$162,"="&amp;C223,B$1:B$162)</f>
        <v>2</v>
      </c>
      <c r="J223" s="33">
        <f t="shared" si="16"/>
        <v>0</v>
      </c>
      <c r="K223" s="34">
        <f t="shared" si="7"/>
        <v>3.08</v>
      </c>
    </row>
    <row r="224" spans="2:12" ht="13.8" customHeight="1" x14ac:dyDescent="0.3">
      <c r="B224" s="33">
        <f t="shared" ref="B224" si="73">ROUNDUP(I224/G224,0)</f>
        <v>8</v>
      </c>
      <c r="C224" s="32" t="s">
        <v>755</v>
      </c>
      <c r="D224" s="32"/>
      <c r="E224" s="29" t="s">
        <v>771</v>
      </c>
      <c r="G224">
        <v>1</v>
      </c>
      <c r="H224" s="22">
        <v>1.54</v>
      </c>
      <c r="I224" s="18">
        <f>SUMIF(C$1:C$162,"="&amp;C224,B$1:B$162)</f>
        <v>8</v>
      </c>
      <c r="J224" s="33">
        <f t="shared" ref="J224" si="74">G224*B224-I224</f>
        <v>0</v>
      </c>
      <c r="K224" s="34">
        <f t="shared" ref="K224" si="75">B224*H224</f>
        <v>12.32</v>
      </c>
    </row>
    <row r="225" spans="1:11" ht="13.8" customHeight="1" x14ac:dyDescent="0.3">
      <c r="B225" s="33">
        <f t="shared" ref="B225" si="76">ROUNDUP(I225/G225,0)</f>
        <v>14</v>
      </c>
      <c r="C225" s="32" t="s">
        <v>773</v>
      </c>
      <c r="D225" s="32"/>
      <c r="E225" s="29" t="s">
        <v>772</v>
      </c>
      <c r="G225">
        <v>1</v>
      </c>
      <c r="H225" s="22">
        <v>1.54</v>
      </c>
      <c r="I225" s="18">
        <f>SUMIF(C$1:C$162,"="&amp;C225,B$1:B$162)</f>
        <v>14</v>
      </c>
      <c r="J225" s="33">
        <f t="shared" ref="J225" si="77">G225*B225-I225</f>
        <v>0</v>
      </c>
      <c r="K225" s="34">
        <f t="shared" ref="K225" si="78">B225*H225</f>
        <v>21.560000000000002</v>
      </c>
    </row>
    <row r="226" spans="1:11" ht="13.8" customHeight="1" x14ac:dyDescent="0.3">
      <c r="B226" s="33">
        <f t="shared" si="70"/>
        <v>6</v>
      </c>
      <c r="C226" t="s">
        <v>644</v>
      </c>
      <c r="E226" s="26" t="s">
        <v>643</v>
      </c>
      <c r="G226">
        <v>1</v>
      </c>
      <c r="H226" s="22">
        <v>1.95</v>
      </c>
      <c r="I226" s="18">
        <f>SUMIF(C$1:C$162,"="&amp;C226,B$1:B$162)</f>
        <v>6</v>
      </c>
      <c r="J226" s="33">
        <f t="shared" si="16"/>
        <v>0</v>
      </c>
      <c r="K226" s="34">
        <f t="shared" si="7"/>
        <v>11.7</v>
      </c>
    </row>
    <row r="227" spans="1:11" ht="13.8" customHeight="1" x14ac:dyDescent="0.3">
      <c r="B227" s="33">
        <f t="shared" si="70"/>
        <v>2</v>
      </c>
      <c r="C227" t="s">
        <v>620</v>
      </c>
      <c r="E227" s="29" t="s">
        <v>622</v>
      </c>
      <c r="G227">
        <v>1</v>
      </c>
      <c r="H227" s="22">
        <v>1.39</v>
      </c>
      <c r="I227" s="18">
        <f>SUMIF(C$1:C$162,"="&amp;C227,B$1:B$162)</f>
        <v>2</v>
      </c>
      <c r="J227" s="33">
        <f t="shared" ref="J227" si="79">G227*B227-I227</f>
        <v>0</v>
      </c>
      <c r="K227" s="34">
        <f t="shared" si="7"/>
        <v>2.78</v>
      </c>
    </row>
    <row r="228" spans="1:11" ht="13.8" customHeight="1" x14ac:dyDescent="0.3">
      <c r="B228" s="33">
        <f t="shared" si="70"/>
        <v>5</v>
      </c>
      <c r="C228" t="s">
        <v>613</v>
      </c>
      <c r="E228" s="29" t="s">
        <v>557</v>
      </c>
      <c r="G228">
        <v>1</v>
      </c>
      <c r="H228" s="22">
        <v>3.29</v>
      </c>
      <c r="I228" s="18">
        <f>SUMIF(C$1:C$162,"="&amp;C228,B$1:B$162)</f>
        <v>5</v>
      </c>
      <c r="J228" s="33">
        <f t="shared" ref="J228" si="80">G228*B228-I228</f>
        <v>0</v>
      </c>
      <c r="K228" s="34">
        <f t="shared" si="7"/>
        <v>16.45</v>
      </c>
    </row>
    <row r="229" spans="1:11" ht="13.8" customHeight="1" x14ac:dyDescent="0.3">
      <c r="B229" s="33">
        <f t="shared" si="70"/>
        <v>2</v>
      </c>
      <c r="C229" t="s">
        <v>685</v>
      </c>
      <c r="E229" s="26" t="s">
        <v>686</v>
      </c>
      <c r="G229">
        <v>1</v>
      </c>
      <c r="H229" s="22">
        <v>1</v>
      </c>
      <c r="I229" s="18">
        <f>SUMIF(C$1:C$162,"="&amp;C229,B$1:B$162)</f>
        <v>2</v>
      </c>
      <c r="J229" s="33">
        <f t="shared" ref="J229" si="81">G229*B229-I229</f>
        <v>0</v>
      </c>
      <c r="K229" s="34">
        <f t="shared" si="7"/>
        <v>2</v>
      </c>
    </row>
    <row r="230" spans="1:11" ht="13.8" customHeight="1" x14ac:dyDescent="0.3">
      <c r="B230" s="33">
        <f t="shared" si="70"/>
        <v>4</v>
      </c>
      <c r="C230" s="32" t="s">
        <v>693</v>
      </c>
      <c r="E230" s="26" t="s">
        <v>692</v>
      </c>
      <c r="G230">
        <v>1</v>
      </c>
      <c r="H230" s="22">
        <v>1.05</v>
      </c>
      <c r="I230" s="18">
        <f>SUMIF(C$1:C$162,"="&amp;C230,B$1:B$162)</f>
        <v>4</v>
      </c>
      <c r="J230" s="33">
        <f t="shared" ref="J230" si="82">G230*B230-I230</f>
        <v>0</v>
      </c>
      <c r="K230" s="34">
        <f t="shared" si="7"/>
        <v>4.2</v>
      </c>
    </row>
    <row r="231" spans="1:11" ht="13.8" customHeight="1" x14ac:dyDescent="0.3">
      <c r="B231" s="33">
        <f t="shared" ref="B231:B233" si="83">ROUNDUP(I231/G231,0)</f>
        <v>4</v>
      </c>
      <c r="C231" s="32" t="s">
        <v>796</v>
      </c>
      <c r="E231" s="26" t="s">
        <v>797</v>
      </c>
      <c r="G231">
        <v>1</v>
      </c>
      <c r="H231" s="22">
        <v>1</v>
      </c>
      <c r="I231" s="18">
        <f>SUMIF(C$1:C$162,"="&amp;C231,B$1:B$162)</f>
        <v>4</v>
      </c>
      <c r="J231" s="33">
        <f t="shared" ref="J231" si="84">G231*B231-I231</f>
        <v>0</v>
      </c>
      <c r="K231" s="34">
        <f t="shared" ref="K231" si="85">B231*H231</f>
        <v>4</v>
      </c>
    </row>
    <row r="232" spans="1:11" ht="13.8" customHeight="1" x14ac:dyDescent="0.3">
      <c r="B232" s="33">
        <f t="shared" si="83"/>
        <v>2</v>
      </c>
      <c r="C232" t="s">
        <v>599</v>
      </c>
      <c r="E232" s="29" t="s">
        <v>810</v>
      </c>
      <c r="G232">
        <v>1</v>
      </c>
      <c r="H232" s="22">
        <v>20</v>
      </c>
      <c r="I232" s="18">
        <f>SUMIF(C$1:C$162,"="&amp;C232,B$1:B$162)</f>
        <v>2</v>
      </c>
      <c r="J232" s="33">
        <f t="shared" ref="J232" si="86">G232*B232-I232</f>
        <v>0</v>
      </c>
      <c r="K232" s="34">
        <f t="shared" ref="K232" si="87">B232*H232</f>
        <v>40</v>
      </c>
    </row>
    <row r="233" spans="1:11" ht="13.8" customHeight="1" x14ac:dyDescent="0.3">
      <c r="B233" s="33">
        <f t="shared" si="83"/>
        <v>1</v>
      </c>
      <c r="C233" t="s">
        <v>811</v>
      </c>
      <c r="E233" s="29" t="s">
        <v>838</v>
      </c>
      <c r="G233">
        <v>1</v>
      </c>
      <c r="H233" s="22">
        <v>18.079999999999998</v>
      </c>
      <c r="I233" s="18">
        <f>SUMIF(C$1:C$162,"="&amp;C233,B$1:B$162)</f>
        <v>1</v>
      </c>
      <c r="J233" s="33">
        <f t="shared" ref="J233" si="88">G233*B233-I233</f>
        <v>0</v>
      </c>
      <c r="K233" s="34">
        <f t="shared" ref="K233" si="89">B233*H233</f>
        <v>18.079999999999998</v>
      </c>
    </row>
    <row r="234" spans="1:11" ht="13.8" customHeight="1" x14ac:dyDescent="0.3">
      <c r="C234" s="6"/>
      <c r="D234" s="29"/>
      <c r="E234"/>
      <c r="G234" s="22"/>
      <c r="H234" s="22"/>
      <c r="I234" s="18"/>
      <c r="J234" s="33"/>
      <c r="K234" s="34"/>
    </row>
    <row r="235" spans="1:11" ht="13.8" customHeight="1" x14ac:dyDescent="0.3">
      <c r="A235" s="6" t="s">
        <v>744</v>
      </c>
      <c r="B235" s="33"/>
      <c r="E235"/>
      <c r="H235" s="22"/>
      <c r="I235" s="18"/>
      <c r="J235" s="33"/>
      <c r="K235" s="34"/>
    </row>
    <row r="236" spans="1:11" ht="13.8" customHeight="1" x14ac:dyDescent="0.3">
      <c r="B236" s="33">
        <v>1</v>
      </c>
      <c r="C236" t="s">
        <v>732</v>
      </c>
      <c r="E236" s="29" t="s">
        <v>733</v>
      </c>
      <c r="G236">
        <v>1</v>
      </c>
      <c r="H236" s="22">
        <v>4.09</v>
      </c>
      <c r="I236" s="18">
        <f>SUMIF(C$1:C$162,"="&amp;C236,B$1:B$162)</f>
        <v>3</v>
      </c>
      <c r="J236" s="33">
        <f t="shared" ref="J236:J237" si="90">G236*B236-I236</f>
        <v>-2</v>
      </c>
      <c r="K236" s="34">
        <f t="shared" ref="K236:K237" si="91">B236*H236</f>
        <v>4.09</v>
      </c>
    </row>
    <row r="237" spans="1:11" ht="13.8" customHeight="1" x14ac:dyDescent="0.3">
      <c r="B237" s="33">
        <v>1</v>
      </c>
      <c r="C237" t="s">
        <v>741</v>
      </c>
      <c r="E237" s="29" t="s">
        <v>776</v>
      </c>
      <c r="G237">
        <v>1</v>
      </c>
      <c r="H237" s="22">
        <v>2.8</v>
      </c>
      <c r="I237" s="18">
        <f>SUMIF(C$1:C$162,"="&amp;C237,B$1:B$162)</f>
        <v>1</v>
      </c>
      <c r="J237" s="33">
        <f t="shared" si="90"/>
        <v>0</v>
      </c>
      <c r="K237" s="34">
        <f t="shared" si="91"/>
        <v>2.8</v>
      </c>
    </row>
    <row r="238" spans="1:11" ht="13.8" customHeight="1" x14ac:dyDescent="0.3">
      <c r="B238" s="33">
        <v>1</v>
      </c>
      <c r="C238" t="s">
        <v>742</v>
      </c>
      <c r="E238" s="29" t="s">
        <v>776</v>
      </c>
      <c r="G238">
        <v>1</v>
      </c>
      <c r="H238" s="22">
        <v>2.8</v>
      </c>
      <c r="I238" s="18">
        <f>SUMIF(C$1:C$162,"="&amp;C238,B$1:B$162)</f>
        <v>2</v>
      </c>
      <c r="J238" s="33">
        <f t="shared" ref="J238" si="92">G238*B238-I238</f>
        <v>-1</v>
      </c>
      <c r="K238" s="34">
        <f t="shared" ref="K238" si="93">B238*H238</f>
        <v>2.8</v>
      </c>
    </row>
    <row r="239" spans="1:11" ht="13.8" customHeight="1" x14ac:dyDescent="0.3">
      <c r="B239" s="33">
        <v>1</v>
      </c>
      <c r="C239" t="s">
        <v>743</v>
      </c>
      <c r="E239" s="29" t="s">
        <v>776</v>
      </c>
      <c r="G239">
        <v>1</v>
      </c>
      <c r="H239" s="22">
        <v>2.8</v>
      </c>
      <c r="I239" s="18">
        <f>SUMIF(C$1:C$162,"="&amp;C239,B$1:B$162)</f>
        <v>3</v>
      </c>
      <c r="J239" s="33">
        <f t="shared" ref="J239" si="94">G239*B239-I239</f>
        <v>-2</v>
      </c>
      <c r="K239" s="34">
        <f t="shared" ref="K239" si="95">B239*H239</f>
        <v>2.8</v>
      </c>
    </row>
    <row r="240" spans="1:11" ht="13.8" customHeight="1" x14ac:dyDescent="0.3">
      <c r="B240" s="33">
        <v>1</v>
      </c>
      <c r="C240" t="s">
        <v>550</v>
      </c>
      <c r="E240" s="29" t="s">
        <v>836</v>
      </c>
      <c r="G240">
        <v>1</v>
      </c>
      <c r="H240" s="22">
        <v>1869</v>
      </c>
      <c r="I240" s="18">
        <f>SUMIF(C$1:C$162,"="&amp;C240,B$1:B$162)</f>
        <v>0</v>
      </c>
      <c r="J240" s="33">
        <f t="shared" ref="J240" si="96">G240*B240-I240</f>
        <v>1</v>
      </c>
      <c r="K240" s="34">
        <f t="shared" ref="K240" si="97">B240*H240</f>
        <v>1869</v>
      </c>
    </row>
    <row r="241" spans="1:12" ht="13.8" customHeight="1" x14ac:dyDescent="0.3">
      <c r="B241" s="33"/>
      <c r="H241" s="22"/>
      <c r="I241" s="18"/>
      <c r="J241" s="33"/>
      <c r="K241" s="34"/>
    </row>
    <row r="242" spans="1:12" ht="13.8" customHeight="1" x14ac:dyDescent="0.3">
      <c r="A242" s="6" t="s">
        <v>845</v>
      </c>
      <c r="H242" s="22"/>
      <c r="I242" s="18"/>
      <c r="J242" s="33"/>
      <c r="K242" s="34"/>
    </row>
    <row r="243" spans="1:12" ht="13.8" customHeight="1" x14ac:dyDescent="0.3">
      <c r="B243" s="33"/>
      <c r="C243" t="s">
        <v>846</v>
      </c>
      <c r="E243" s="29" t="s">
        <v>847</v>
      </c>
      <c r="G243">
        <v>1</v>
      </c>
      <c r="H243" s="22">
        <v>0.24</v>
      </c>
      <c r="I243" s="18">
        <f>SUMIF(C$1:C$162,"="&amp;C243,B$1:B$162)</f>
        <v>0</v>
      </c>
      <c r="J243" s="33">
        <f t="shared" ref="J243" si="98">G243*B243-I243</f>
        <v>0</v>
      </c>
      <c r="K243" s="34">
        <f t="shared" ref="K243" si="99">B243*H243</f>
        <v>0</v>
      </c>
    </row>
    <row r="244" spans="1:12" ht="13.8" customHeight="1" x14ac:dyDescent="0.3">
      <c r="B244" s="33"/>
      <c r="H244" s="22"/>
      <c r="I244" s="18"/>
      <c r="J244" s="33"/>
      <c r="K244" s="34"/>
    </row>
    <row r="245" spans="1:12" ht="13.8" customHeight="1" x14ac:dyDescent="0.3">
      <c r="B245" s="33"/>
      <c r="H245" s="22"/>
      <c r="I245" s="18"/>
      <c r="J245" s="33"/>
      <c r="K245" s="34"/>
    </row>
    <row r="246" spans="1:12" ht="13.8" customHeight="1" x14ac:dyDescent="0.3">
      <c r="B246" s="33"/>
      <c r="H246" s="22"/>
      <c r="I246" s="18"/>
      <c r="J246" s="33"/>
      <c r="K246" s="34"/>
    </row>
    <row r="247" spans="1:12" ht="13.8" customHeight="1" x14ac:dyDescent="0.3">
      <c r="B247" s="33"/>
      <c r="H247" s="22"/>
      <c r="I247" s="18"/>
      <c r="J247" s="33"/>
      <c r="K247" s="34"/>
    </row>
    <row r="248" spans="1:12" ht="13.8" customHeight="1" x14ac:dyDescent="0.3">
      <c r="B248" s="33"/>
      <c r="C248" t="s">
        <v>849</v>
      </c>
      <c r="E248" s="29" t="s">
        <v>848</v>
      </c>
      <c r="G248">
        <v>1</v>
      </c>
      <c r="H248" s="22">
        <v>0.87</v>
      </c>
      <c r="I248" s="18">
        <f>SUMIF(C$1:C$162,"="&amp;C248,B$1:B$162)</f>
        <v>0</v>
      </c>
      <c r="J248" s="33">
        <f t="shared" ref="J248" si="100">G248*B248-I248</f>
        <v>0</v>
      </c>
      <c r="K248" s="34">
        <f t="shared" ref="K248" si="101">B248*H248</f>
        <v>0</v>
      </c>
    </row>
    <row r="249" spans="1:12" ht="13.8" customHeight="1" x14ac:dyDescent="0.3">
      <c r="B249" s="33"/>
      <c r="H249" s="22"/>
      <c r="I249" s="18"/>
      <c r="J249" s="33"/>
      <c r="K249" s="34"/>
    </row>
    <row r="250" spans="1:12" ht="13.8" customHeight="1" x14ac:dyDescent="0.3">
      <c r="B250" s="33"/>
      <c r="H250" s="22"/>
      <c r="I250" s="18"/>
      <c r="J250" s="33"/>
      <c r="K250" s="34"/>
    </row>
    <row r="251" spans="1:12" ht="13.8" customHeight="1" x14ac:dyDescent="0.3">
      <c r="B251" s="33"/>
      <c r="H251" s="22"/>
      <c r="I251" s="18"/>
      <c r="J251" s="33"/>
      <c r="K251" s="34"/>
    </row>
    <row r="252" spans="1:12" ht="13.8" customHeight="1" x14ac:dyDescent="0.3">
      <c r="B252" s="33"/>
      <c r="H252" s="22"/>
      <c r="I252" s="18"/>
      <c r="J252" s="33"/>
      <c r="K252" s="34"/>
    </row>
    <row r="253" spans="1:12" ht="13.8" customHeight="1" x14ac:dyDescent="0.3">
      <c r="H253" s="22"/>
      <c r="I253" s="18"/>
      <c r="J253" s="33"/>
      <c r="K253" s="38" t="s">
        <v>834</v>
      </c>
      <c r="L253" s="1" t="s">
        <v>835</v>
      </c>
    </row>
    <row r="254" spans="1:12" ht="13.8" customHeight="1" x14ac:dyDescent="0.35">
      <c r="B254" s="33"/>
      <c r="E254" s="26"/>
      <c r="H254" s="22"/>
      <c r="I254" s="18"/>
      <c r="J254" s="33"/>
      <c r="K254" s="37">
        <f>SUM(K164:K252)</f>
        <v>2473.7799999999997</v>
      </c>
      <c r="L254" s="35">
        <f>SUMIF(L1:L252,"&lt;&gt;Got it",K1:K252)</f>
        <v>2364.71</v>
      </c>
    </row>
    <row r="255" spans="1:12" ht="13.8" customHeight="1" x14ac:dyDescent="0.3">
      <c r="B255" s="33"/>
      <c r="E255" s="26"/>
      <c r="H255" s="22"/>
      <c r="I255" s="18"/>
      <c r="J255" s="33"/>
    </row>
    <row r="256" spans="1:12" ht="13.8" customHeight="1" x14ac:dyDescent="0.3">
      <c r="B256" s="33"/>
      <c r="E256" s="26"/>
      <c r="H256" s="22"/>
      <c r="I256" s="18"/>
      <c r="J256" s="33"/>
    </row>
    <row r="257" spans="2:10" ht="13.8" customHeight="1" x14ac:dyDescent="0.3">
      <c r="B257" s="33"/>
      <c r="E257" s="26"/>
      <c r="H257" s="22"/>
      <c r="I257" s="18"/>
      <c r="J257" s="33"/>
    </row>
    <row r="258" spans="2:10" x14ac:dyDescent="0.3">
      <c r="D258" s="6"/>
      <c r="H258" s="22"/>
      <c r="I258" s="22"/>
    </row>
    <row r="259" spans="2:10" x14ac:dyDescent="0.3">
      <c r="E259" s="30"/>
      <c r="I259" s="22"/>
    </row>
    <row r="261" spans="2:10" x14ac:dyDescent="0.3">
      <c r="E261" s="26"/>
      <c r="I261" s="22"/>
    </row>
    <row r="262" spans="2:10" x14ac:dyDescent="0.3">
      <c r="E262" s="26"/>
      <c r="I262" s="22"/>
    </row>
    <row r="263" spans="2:10" x14ac:dyDescent="0.3">
      <c r="D263" s="6"/>
      <c r="E263" s="26"/>
      <c r="I263" s="22"/>
    </row>
    <row r="264" spans="2:10" x14ac:dyDescent="0.3">
      <c r="D264" s="8"/>
      <c r="I264" s="22"/>
    </row>
    <row r="265" spans="2:10" x14ac:dyDescent="0.3">
      <c r="E265" s="26"/>
      <c r="I265" s="22"/>
    </row>
    <row r="266" spans="2:10" x14ac:dyDescent="0.3">
      <c r="E266" s="30"/>
      <c r="I266" s="22"/>
    </row>
    <row r="267" spans="2:10" x14ac:dyDescent="0.3">
      <c r="E267" s="26"/>
      <c r="I267" s="22"/>
    </row>
    <row r="268" spans="2:10" x14ac:dyDescent="0.3">
      <c r="I268" s="22"/>
    </row>
    <row r="269" spans="2:10" x14ac:dyDescent="0.3">
      <c r="E269" s="26"/>
      <c r="I269" s="22"/>
    </row>
    <row r="270" spans="2:10" x14ac:dyDescent="0.3">
      <c r="D270" s="6"/>
      <c r="E270" s="26"/>
      <c r="I270" s="22"/>
    </row>
    <row r="271" spans="2:10" x14ac:dyDescent="0.3">
      <c r="E271" s="25"/>
      <c r="I271" s="22"/>
    </row>
    <row r="272" spans="2:10" ht="15" customHeight="1" x14ac:dyDescent="0.3">
      <c r="E272" s="26"/>
      <c r="I272" s="22"/>
    </row>
    <row r="273" spans="5:9" x14ac:dyDescent="0.3">
      <c r="E273" s="25"/>
      <c r="I273" s="22"/>
    </row>
    <row r="274" spans="5:9" x14ac:dyDescent="0.3">
      <c r="E274" s="26"/>
      <c r="I274" s="22"/>
    </row>
    <row r="275" spans="5:9" x14ac:dyDescent="0.3">
      <c r="E275" s="25"/>
      <c r="I275" s="22"/>
    </row>
    <row r="276" spans="5:9" ht="15" customHeight="1" x14ac:dyDescent="0.3">
      <c r="E276" s="25"/>
      <c r="I276" s="22"/>
    </row>
    <row r="277" spans="5:9" ht="15" customHeight="1" x14ac:dyDescent="0.3">
      <c r="E277" s="25"/>
      <c r="I277" s="22"/>
    </row>
    <row r="278" spans="5:9" x14ac:dyDescent="0.3">
      <c r="E278" s="25"/>
      <c r="I278" s="22"/>
    </row>
    <row r="279" spans="5:9" x14ac:dyDescent="0.3">
      <c r="H279" s="22"/>
      <c r="I279" s="22"/>
    </row>
    <row r="280" spans="5:9" x14ac:dyDescent="0.3">
      <c r="H280" s="23"/>
      <c r="I280" s="22"/>
    </row>
  </sheetData>
  <dataValidations disablePrompts="1" count="1">
    <dataValidation type="list" allowBlank="1" showInputMessage="1" showErrorMessage="1" sqref="L220:L221">
      <formula1>$M$1:$M$4</formula1>
    </dataValidation>
  </dataValidations>
  <hyperlinks>
    <hyperlink ref="E226" r:id="rId1"/>
    <hyperlink ref="E220" r:id="rId2"/>
  </hyperlinks>
  <pageMargins left="0.7" right="0.7" top="0.78740157499999996" bottom="0.78740157499999996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58" zoomScale="80" zoomScaleNormal="80" workbookViewId="0">
      <selection activeCell="C78" sqref="C7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0.97</v>
      </c>
      <c r="D7" t="s">
        <v>315</v>
      </c>
    </row>
    <row r="8" spans="1:4" x14ac:dyDescent="0.3">
      <c r="A8" t="s">
        <v>320</v>
      </c>
      <c r="C8">
        <f>N77+N78 +0.4</f>
        <v>0.77</v>
      </c>
      <c r="D8" t="s">
        <v>315</v>
      </c>
    </row>
    <row r="9" spans="1:4" x14ac:dyDescent="0.3">
      <c r="A9" t="s">
        <v>321</v>
      </c>
      <c r="C9">
        <f>N78+0.1</f>
        <v>0.25</v>
      </c>
      <c r="D9" t="s">
        <v>315</v>
      </c>
    </row>
    <row r="10" spans="1:4" x14ac:dyDescent="0.3">
      <c r="A10" t="s">
        <v>329</v>
      </c>
      <c r="C10" s="5">
        <f>C14/C12</f>
        <v>7.5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12</v>
      </c>
      <c r="D12" t="s">
        <v>338</v>
      </c>
    </row>
    <row r="13" spans="1:4" x14ac:dyDescent="0.3">
      <c r="B13" t="s">
        <v>351</v>
      </c>
      <c r="C13" s="4">
        <f>C12*C11/PI()</f>
        <v>19.098593171027442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16</v>
      </c>
      <c r="D18" t="s">
        <v>338</v>
      </c>
    </row>
    <row r="19" spans="1:4" x14ac:dyDescent="0.3">
      <c r="B19" t="s">
        <v>351</v>
      </c>
      <c r="C19" s="4">
        <f>C18*C17/PI()</f>
        <v>25.464790894703256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11.25</v>
      </c>
      <c r="D26" t="s">
        <v>325</v>
      </c>
    </row>
    <row r="27" spans="1:4" x14ac:dyDescent="0.3">
      <c r="B27" t="s">
        <v>339</v>
      </c>
      <c r="C27">
        <v>5</v>
      </c>
      <c r="D27" t="s">
        <v>340</v>
      </c>
    </row>
    <row r="28" spans="1:4" x14ac:dyDescent="0.3">
      <c r="B28" t="s">
        <v>341</v>
      </c>
      <c r="C28" s="6">
        <v>16</v>
      </c>
      <c r="D28" t="s">
        <v>338</v>
      </c>
    </row>
    <row r="29" spans="1:4" x14ac:dyDescent="0.3">
      <c r="B29" t="s">
        <v>351</v>
      </c>
      <c r="C29" s="4">
        <f>C28*C27/PI()</f>
        <v>25.464790894703256</v>
      </c>
      <c r="D29" t="s">
        <v>340</v>
      </c>
    </row>
    <row r="30" spans="1:4" x14ac:dyDescent="0.3">
      <c r="B30" t="s">
        <v>342</v>
      </c>
      <c r="C30" s="7">
        <v>48</v>
      </c>
      <c r="D30" t="s">
        <v>338</v>
      </c>
    </row>
    <row r="31" spans="1:4" x14ac:dyDescent="0.3">
      <c r="B31" t="s">
        <v>343</v>
      </c>
      <c r="C31" s="4">
        <f>C30*C27/PI()</f>
        <v>76.394372684109769</v>
      </c>
      <c r="D31" t="s">
        <v>340</v>
      </c>
    </row>
    <row r="32" spans="1:4" x14ac:dyDescent="0.3">
      <c r="B32" t="s">
        <v>344</v>
      </c>
      <c r="C32" s="6">
        <v>16</v>
      </c>
      <c r="D32" t="s">
        <v>338</v>
      </c>
    </row>
    <row r="33" spans="1:4" x14ac:dyDescent="0.3">
      <c r="B33" t="s">
        <v>353</v>
      </c>
      <c r="C33" s="4">
        <f>C32*C27/PI()</f>
        <v>25.464790894703256</v>
      </c>
      <c r="D33" t="s">
        <v>340</v>
      </c>
    </row>
    <row r="34" spans="1:4" x14ac:dyDescent="0.3">
      <c r="B34" t="s">
        <v>345</v>
      </c>
      <c r="C34" s="7">
        <v>60</v>
      </c>
      <c r="D34" t="s">
        <v>338</v>
      </c>
    </row>
    <row r="35" spans="1:4" x14ac:dyDescent="0.3">
      <c r="B35" t="s">
        <v>354</v>
      </c>
      <c r="C35" s="4">
        <f>C34*C27/PI()</f>
        <v>95.4929658551372</v>
      </c>
      <c r="D35" t="s">
        <v>340</v>
      </c>
    </row>
    <row r="36" spans="1:4" x14ac:dyDescent="0.3">
      <c r="A36" t="s">
        <v>573</v>
      </c>
      <c r="C36" s="5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352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677</v>
      </c>
      <c r="C46" s="5">
        <f>C50/C48*(C54/C52)</f>
        <v>9.1875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16</v>
      </c>
      <c r="D48" t="s">
        <v>338</v>
      </c>
    </row>
    <row r="49" spans="1:4" x14ac:dyDescent="0.3">
      <c r="B49" t="s">
        <v>351</v>
      </c>
      <c r="C49" s="4">
        <f>C48*C47/PI()</f>
        <v>12.732395447351628</v>
      </c>
      <c r="D49" t="s">
        <v>340</v>
      </c>
    </row>
    <row r="50" spans="1:4" x14ac:dyDescent="0.3">
      <c r="B50" t="s">
        <v>342</v>
      </c>
      <c r="C50" s="7">
        <v>42</v>
      </c>
      <c r="D50" t="s">
        <v>338</v>
      </c>
    </row>
    <row r="51" spans="1:4" x14ac:dyDescent="0.3">
      <c r="B51" t="s">
        <v>343</v>
      </c>
      <c r="C51" s="4">
        <f>C50*C47/PI()</f>
        <v>33.422538049298019</v>
      </c>
      <c r="D51" t="s">
        <v>340</v>
      </c>
    </row>
    <row r="52" spans="1:4" x14ac:dyDescent="0.3">
      <c r="B52" t="s">
        <v>344</v>
      </c>
      <c r="C52" s="6">
        <v>16</v>
      </c>
      <c r="D52" t="s">
        <v>338</v>
      </c>
    </row>
    <row r="53" spans="1:4" x14ac:dyDescent="0.3">
      <c r="B53" t="s">
        <v>353</v>
      </c>
      <c r="C53" s="4">
        <f>C52*C47/PI()</f>
        <v>12.732395447351628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8.7848550000000003</v>
      </c>
      <c r="D62" t="s">
        <v>322</v>
      </c>
    </row>
    <row r="63" spans="1:4" x14ac:dyDescent="0.3">
      <c r="A63" t="s">
        <v>336</v>
      </c>
      <c r="C63" s="4">
        <f>((C3+C4+C5)*(C7+C8+C9)*(C58+C59))/1000</f>
        <v>26.354564999999997</v>
      </c>
      <c r="D63" t="s">
        <v>322</v>
      </c>
    </row>
    <row r="64" spans="1:4" x14ac:dyDescent="0.3">
      <c r="A64" t="s">
        <v>337</v>
      </c>
      <c r="C64" s="2">
        <f>((C4+C5)*(C8+C9)*(C58+C59))/1000</f>
        <v>7.5046499999999998</v>
      </c>
      <c r="D64" t="s">
        <v>322</v>
      </c>
    </row>
    <row r="65" spans="1:30" x14ac:dyDescent="0.3">
      <c r="A65" t="s">
        <v>572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574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1.171314</v>
      </c>
      <c r="D67" t="s">
        <v>322</v>
      </c>
    </row>
    <row r="68" spans="1:30" x14ac:dyDescent="0.3">
      <c r="A68" t="s">
        <v>335</v>
      </c>
      <c r="C68" s="2">
        <f>C63/C16</f>
        <v>1.6471603124999998</v>
      </c>
      <c r="D68" t="s">
        <v>322</v>
      </c>
    </row>
    <row r="69" spans="1:30" x14ac:dyDescent="0.3">
      <c r="A69" t="s">
        <v>335</v>
      </c>
      <c r="C69" s="2">
        <f>C64/C26</f>
        <v>0.66708000000000001</v>
      </c>
      <c r="D69" t="s">
        <v>322</v>
      </c>
    </row>
    <row r="70" spans="1:30" x14ac:dyDescent="0.3">
      <c r="A70" t="s">
        <v>680</v>
      </c>
      <c r="C70" s="2">
        <f>C66/C46</f>
        <v>4.0040816326530615E-2</v>
      </c>
      <c r="D70" t="s">
        <v>322</v>
      </c>
    </row>
    <row r="71" spans="1:30" x14ac:dyDescent="0.3">
      <c r="A71" t="s">
        <v>678</v>
      </c>
      <c r="C71" s="2">
        <f>C65/C46</f>
        <v>4.0040816326530615E-2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1.5227082000000001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2.1413084062499999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331</v>
      </c>
      <c r="C76" s="2">
        <f>C69*(1+C57)</f>
        <v>0.86720400000000009</v>
      </c>
      <c r="D76" t="s">
        <v>322</v>
      </c>
      <c r="E76" s="11" t="s">
        <v>507</v>
      </c>
      <c r="F76" s="31">
        <v>1.8</v>
      </c>
      <c r="G76" s="31" t="s">
        <v>389</v>
      </c>
      <c r="H76" s="31" t="s">
        <v>508</v>
      </c>
      <c r="I76" s="31" t="s">
        <v>509</v>
      </c>
      <c r="J76" s="31">
        <v>6.35</v>
      </c>
      <c r="K76" s="31">
        <v>120</v>
      </c>
      <c r="L76" s="31">
        <v>2</v>
      </c>
      <c r="M76" s="31" t="s">
        <v>377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C70*(1+C57)</f>
        <v>5.2053061224489799E-2</v>
      </c>
      <c r="D77" t="s">
        <v>322</v>
      </c>
      <c r="E77" s="11" t="s">
        <v>452</v>
      </c>
      <c r="F77" s="31">
        <v>1.8</v>
      </c>
      <c r="G77" s="31" t="s">
        <v>374</v>
      </c>
      <c r="H77" s="31" t="s">
        <v>423</v>
      </c>
      <c r="I77" s="31" t="s">
        <v>448</v>
      </c>
      <c r="J77" s="31">
        <v>5</v>
      </c>
      <c r="K77" s="31">
        <v>26</v>
      </c>
      <c r="L77" s="31">
        <v>0.4</v>
      </c>
      <c r="M77" s="31" t="s">
        <v>377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679</v>
      </c>
      <c r="C78" s="2">
        <f>C71*(1+C57)</f>
        <v>5.2053061224489799E-2</v>
      </c>
      <c r="D78" t="s">
        <v>322</v>
      </c>
      <c r="E78" s="26" t="s">
        <v>422</v>
      </c>
      <c r="F78" s="28">
        <v>0.9</v>
      </c>
      <c r="G78" s="28" t="s">
        <v>374</v>
      </c>
      <c r="H78" s="28" t="s">
        <v>423</v>
      </c>
      <c r="I78" s="28" t="s">
        <v>424</v>
      </c>
      <c r="J78" s="28">
        <v>5</v>
      </c>
      <c r="K78" s="28">
        <v>11</v>
      </c>
      <c r="L78" s="28">
        <v>1.2</v>
      </c>
      <c r="M78" s="28" t="s">
        <v>377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507</v>
      </c>
      <c r="F81" s="31">
        <v>1.8</v>
      </c>
      <c r="G81" s="31" t="s">
        <v>389</v>
      </c>
      <c r="H81" s="31" t="s">
        <v>508</v>
      </c>
      <c r="I81" s="31" t="s">
        <v>509</v>
      </c>
      <c r="J81" s="31">
        <v>6.35</v>
      </c>
      <c r="K81" s="31">
        <v>120</v>
      </c>
      <c r="L81" s="31">
        <v>2</v>
      </c>
      <c r="M81" s="31" t="s">
        <v>377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507</v>
      </c>
      <c r="F82" s="31">
        <v>1.8</v>
      </c>
      <c r="G82" s="31" t="s">
        <v>389</v>
      </c>
      <c r="H82" s="31" t="s">
        <v>508</v>
      </c>
      <c r="I82" s="31" t="s">
        <v>509</v>
      </c>
      <c r="J82" s="31">
        <v>6.35</v>
      </c>
      <c r="K82" s="31">
        <v>120</v>
      </c>
      <c r="L82" s="31">
        <v>2</v>
      </c>
      <c r="M82" s="31" t="s">
        <v>377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496</v>
      </c>
      <c r="F83" s="10">
        <v>1.8</v>
      </c>
      <c r="G83" s="10" t="s">
        <v>497</v>
      </c>
      <c r="H83" s="10" t="s">
        <v>471</v>
      </c>
      <c r="I83" s="10" t="s">
        <v>498</v>
      </c>
      <c r="J83" s="14">
        <v>6.35</v>
      </c>
      <c r="K83" s="10">
        <v>200</v>
      </c>
      <c r="L83" s="10">
        <v>2.83</v>
      </c>
      <c r="M83" s="10" t="s">
        <v>377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495</v>
      </c>
      <c r="F84" s="14">
        <v>1.8</v>
      </c>
      <c r="G84" s="14" t="s">
        <v>374</v>
      </c>
      <c r="H84" s="14" t="s">
        <v>471</v>
      </c>
      <c r="I84" s="14" t="s">
        <v>493</v>
      </c>
      <c r="J84" s="14">
        <v>6.35</v>
      </c>
      <c r="K84" s="15">
        <v>189</v>
      </c>
      <c r="L84" s="14">
        <v>2.8</v>
      </c>
      <c r="M84" s="14" t="s">
        <v>377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473</v>
      </c>
      <c r="F85" s="24">
        <v>0.9</v>
      </c>
      <c r="G85" s="24" t="s">
        <v>374</v>
      </c>
      <c r="H85" s="24" t="s">
        <v>471</v>
      </c>
      <c r="I85" s="24" t="s">
        <v>474</v>
      </c>
      <c r="J85" s="24">
        <v>6.35</v>
      </c>
      <c r="K85" s="15">
        <v>126</v>
      </c>
      <c r="L85" s="24">
        <v>2.8</v>
      </c>
      <c r="M85" s="24" t="s">
        <v>377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470</v>
      </c>
      <c r="F86" s="14">
        <v>0.9</v>
      </c>
      <c r="G86" s="14" t="s">
        <v>374</v>
      </c>
      <c r="H86" s="14" t="s">
        <v>471</v>
      </c>
      <c r="I86" s="14" t="s">
        <v>472</v>
      </c>
      <c r="J86" s="13">
        <v>6.35</v>
      </c>
      <c r="K86" s="15">
        <v>90</v>
      </c>
      <c r="L86" s="14">
        <v>0.38</v>
      </c>
      <c r="M86" s="14" t="s">
        <v>377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469</v>
      </c>
      <c r="F87" s="10">
        <v>1.8</v>
      </c>
      <c r="G87" s="10" t="s">
        <v>374</v>
      </c>
      <c r="H87" s="10" t="s">
        <v>423</v>
      </c>
      <c r="I87" s="10" t="s">
        <v>467</v>
      </c>
      <c r="J87" s="14">
        <v>5</v>
      </c>
      <c r="K87" s="15">
        <v>65</v>
      </c>
      <c r="L87" s="10">
        <v>2.1</v>
      </c>
      <c r="M87" s="10" t="s">
        <v>377</v>
      </c>
      <c r="N87" s="10">
        <v>0.45</v>
      </c>
      <c r="O87" s="17">
        <f t="shared" si="1"/>
        <v>144.44444444444443</v>
      </c>
    </row>
    <row r="88" spans="5:30" x14ac:dyDescent="0.3">
      <c r="E88" s="11" t="s">
        <v>459</v>
      </c>
      <c r="F88" s="10">
        <v>1.8</v>
      </c>
      <c r="G88" s="10" t="s">
        <v>374</v>
      </c>
      <c r="H88" s="10" t="s">
        <v>423</v>
      </c>
      <c r="I88" s="10" t="s">
        <v>433</v>
      </c>
      <c r="J88" s="14">
        <v>5</v>
      </c>
      <c r="K88" s="15">
        <v>45</v>
      </c>
      <c r="L88" s="10">
        <v>2</v>
      </c>
      <c r="M88" s="10" t="s">
        <v>377</v>
      </c>
      <c r="N88" s="10">
        <v>0.31</v>
      </c>
      <c r="O88" s="17">
        <f t="shared" si="1"/>
        <v>145.16129032258064</v>
      </c>
    </row>
    <row r="89" spans="5:30" x14ac:dyDescent="0.3">
      <c r="E89" s="11" t="s">
        <v>406</v>
      </c>
      <c r="F89" s="27">
        <v>1.8</v>
      </c>
      <c r="G89" s="27" t="s">
        <v>374</v>
      </c>
      <c r="H89" s="27" t="s">
        <v>394</v>
      </c>
      <c r="I89" s="27" t="s">
        <v>407</v>
      </c>
      <c r="J89" s="27">
        <v>5</v>
      </c>
      <c r="K89" s="27">
        <v>23</v>
      </c>
      <c r="L89" s="27">
        <v>0.5</v>
      </c>
      <c r="M89" s="27" t="s">
        <v>377</v>
      </c>
      <c r="N89" s="27">
        <v>0.22</v>
      </c>
      <c r="O89" s="17">
        <f>K89/N89</f>
        <v>104.54545454545455</v>
      </c>
    </row>
    <row r="90" spans="5:30" x14ac:dyDescent="0.3">
      <c r="E90" s="11" t="s">
        <v>452</v>
      </c>
      <c r="F90" s="31">
        <v>1.8</v>
      </c>
      <c r="G90" s="31" t="s">
        <v>374</v>
      </c>
      <c r="H90" s="31" t="s">
        <v>423</v>
      </c>
      <c r="I90" s="31" t="s">
        <v>448</v>
      </c>
      <c r="J90" s="31">
        <v>5</v>
      </c>
      <c r="K90" s="31">
        <v>26</v>
      </c>
      <c r="L90" s="31">
        <v>0.4</v>
      </c>
      <c r="M90" s="31" t="s">
        <v>377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425</v>
      </c>
      <c r="F91" s="27">
        <v>0.9</v>
      </c>
      <c r="G91" s="27" t="s">
        <v>426</v>
      </c>
      <c r="H91" s="27" t="s">
        <v>423</v>
      </c>
      <c r="I91" s="27" t="s">
        <v>427</v>
      </c>
      <c r="K91" s="27">
        <v>23</v>
      </c>
      <c r="L91" s="27">
        <v>0.31</v>
      </c>
      <c r="M91" s="27" t="s">
        <v>377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405</v>
      </c>
      <c r="F92" s="27">
        <v>1.8</v>
      </c>
      <c r="G92" s="27" t="s">
        <v>374</v>
      </c>
      <c r="H92" s="27" t="s">
        <v>394</v>
      </c>
      <c r="I92" s="27" t="s">
        <v>404</v>
      </c>
      <c r="J92" s="27">
        <v>5</v>
      </c>
      <c r="K92" s="27">
        <v>18</v>
      </c>
      <c r="L92" s="27">
        <v>0.8</v>
      </c>
      <c r="M92" s="27" t="s">
        <v>377</v>
      </c>
      <c r="N92" s="27">
        <v>0.17</v>
      </c>
      <c r="O92" s="17">
        <f>K92/N92</f>
        <v>105.88235294117646</v>
      </c>
    </row>
    <row r="93" spans="5:30" x14ac:dyDescent="0.3">
      <c r="E93" s="11" t="s">
        <v>410</v>
      </c>
      <c r="F93" s="16">
        <v>0.9</v>
      </c>
      <c r="G93" s="16" t="s">
        <v>374</v>
      </c>
      <c r="H93" s="16" t="s">
        <v>411</v>
      </c>
      <c r="I93" s="16" t="s">
        <v>412</v>
      </c>
      <c r="J93" s="16">
        <v>5</v>
      </c>
      <c r="K93" s="16">
        <v>16</v>
      </c>
      <c r="L93" s="16">
        <v>0.6</v>
      </c>
      <c r="M93" s="16" t="s">
        <v>377</v>
      </c>
      <c r="N93" s="16">
        <v>0.12</v>
      </c>
      <c r="O93" s="17">
        <f>K93/N93</f>
        <v>133.33333333333334</v>
      </c>
    </row>
    <row r="94" spans="5:30" x14ac:dyDescent="0.3">
      <c r="E94" s="11" t="s">
        <v>400</v>
      </c>
      <c r="F94" s="27">
        <v>1.8</v>
      </c>
      <c r="G94" s="27" t="s">
        <v>374</v>
      </c>
      <c r="H94" s="27" t="s">
        <v>394</v>
      </c>
      <c r="I94" s="27" t="s">
        <v>401</v>
      </c>
      <c r="J94" s="27">
        <v>5</v>
      </c>
      <c r="K94" s="27">
        <v>14</v>
      </c>
      <c r="L94" s="27">
        <v>0.4</v>
      </c>
      <c r="M94" s="27" t="s">
        <v>377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396</v>
      </c>
      <c r="F95" s="16">
        <v>0.9</v>
      </c>
      <c r="G95" s="16" t="s">
        <v>374</v>
      </c>
      <c r="H95" s="16" t="s">
        <v>394</v>
      </c>
      <c r="I95" s="16" t="s">
        <v>397</v>
      </c>
      <c r="J95" s="16">
        <v>5</v>
      </c>
      <c r="K95" s="16">
        <v>5</v>
      </c>
      <c r="L95" s="16">
        <v>0.5</v>
      </c>
      <c r="M95" s="16" t="s">
        <v>377</v>
      </c>
      <c r="N95" s="16">
        <v>0.09</v>
      </c>
      <c r="O95" s="17">
        <f>K95/N95</f>
        <v>55.555555555555557</v>
      </c>
    </row>
    <row r="96" spans="5:30" x14ac:dyDescent="0.3">
      <c r="E96" s="11" t="s">
        <v>422</v>
      </c>
      <c r="F96" s="28">
        <v>0.9</v>
      </c>
      <c r="G96" s="28" t="s">
        <v>374</v>
      </c>
      <c r="H96" s="28" t="s">
        <v>423</v>
      </c>
      <c r="I96" s="28" t="s">
        <v>424</v>
      </c>
      <c r="J96" s="28">
        <v>5</v>
      </c>
      <c r="K96" s="28">
        <v>11</v>
      </c>
      <c r="L96" s="28">
        <v>1.2</v>
      </c>
      <c r="M96" s="28" t="s">
        <v>377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577</v>
      </c>
    </row>
    <row r="98" spans="1:5" x14ac:dyDescent="0.3">
      <c r="A98" t="s">
        <v>580</v>
      </c>
      <c r="C98" s="19">
        <f>1</f>
        <v>1</v>
      </c>
      <c r="D98" t="s">
        <v>587</v>
      </c>
    </row>
    <row r="99" spans="1:5" x14ac:dyDescent="0.3">
      <c r="A99" t="s">
        <v>585</v>
      </c>
      <c r="C99" s="19">
        <f>(C15/1000/2)</f>
        <v>7.1619724391352904E-2</v>
      </c>
      <c r="D99" t="s">
        <v>586</v>
      </c>
    </row>
    <row r="100" spans="1:5" x14ac:dyDescent="0.3">
      <c r="A100" t="s">
        <v>581</v>
      </c>
      <c r="C100" s="19">
        <f>C62/C99</f>
        <v>122.65971524822916</v>
      </c>
      <c r="D100" t="s">
        <v>578</v>
      </c>
    </row>
    <row r="101" spans="1:5" x14ac:dyDescent="0.3">
      <c r="A101" t="s">
        <v>582</v>
      </c>
      <c r="C101" s="19">
        <f>(C98)*C100*2*PI()</f>
        <v>770.69372063050537</v>
      </c>
      <c r="D101" t="s">
        <v>579</v>
      </c>
    </row>
    <row r="103" spans="1:5" x14ac:dyDescent="0.3">
      <c r="A103" t="s">
        <v>583</v>
      </c>
    </row>
    <row r="104" spans="1:5" x14ac:dyDescent="0.3">
      <c r="A104" t="s">
        <v>580</v>
      </c>
      <c r="C104" s="20">
        <v>1</v>
      </c>
      <c r="D104" t="s">
        <v>587</v>
      </c>
    </row>
    <row r="105" spans="1:5" x14ac:dyDescent="0.3">
      <c r="A105" t="s">
        <v>585</v>
      </c>
      <c r="C105" s="20">
        <f>(C21/1000/2)</f>
        <v>3.8197186342054885E-2</v>
      </c>
      <c r="D105" t="s">
        <v>586</v>
      </c>
    </row>
    <row r="106" spans="1:5" x14ac:dyDescent="0.3">
      <c r="A106" t="s">
        <v>581</v>
      </c>
      <c r="C106" s="20">
        <f>C63/C105</f>
        <v>689.9608982712889</v>
      </c>
      <c r="D106" t="s">
        <v>578</v>
      </c>
      <c r="E106" s="20"/>
    </row>
    <row r="107" spans="1:5" x14ac:dyDescent="0.3">
      <c r="A107" t="s">
        <v>582</v>
      </c>
      <c r="C107" s="20">
        <f>(C104)*C106*2*PI()</f>
        <v>4335.1521785465911</v>
      </c>
      <c r="D107" t="s">
        <v>579</v>
      </c>
    </row>
    <row r="109" spans="1:5" x14ac:dyDescent="0.3">
      <c r="A109" t="s">
        <v>584</v>
      </c>
    </row>
    <row r="110" spans="1:5" x14ac:dyDescent="0.3">
      <c r="A110" t="s">
        <v>580</v>
      </c>
      <c r="C110" s="20">
        <f>60*C18/C20</f>
        <v>20</v>
      </c>
      <c r="D110" t="s">
        <v>587</v>
      </c>
    </row>
    <row r="111" spans="1:5" x14ac:dyDescent="0.3">
      <c r="A111" t="s">
        <v>585</v>
      </c>
      <c r="C111" s="20">
        <f>(C25/1000/2)</f>
        <v>6.3661977236758135E-2</v>
      </c>
      <c r="D111" t="s">
        <v>586</v>
      </c>
    </row>
    <row r="112" spans="1:5" x14ac:dyDescent="0.3">
      <c r="A112" t="s">
        <v>581</v>
      </c>
      <c r="C112" s="20">
        <f>C63/(C20/C18)/C111</f>
        <v>137.9921796542578</v>
      </c>
      <c r="D112" t="s">
        <v>578</v>
      </c>
    </row>
    <row r="113" spans="1:4" x14ac:dyDescent="0.3">
      <c r="A113" t="s">
        <v>582</v>
      </c>
      <c r="C113" s="20">
        <f>(C110/60)*C112*2*PI()</f>
        <v>289.01014523643948</v>
      </c>
      <c r="D113" t="s">
        <v>579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92" workbookViewId="0">
      <selection activeCell="A111" sqref="A111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570</v>
      </c>
    </row>
    <row r="10" spans="1:1" x14ac:dyDescent="0.3">
      <c r="A10" t="s">
        <v>571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600</v>
      </c>
    </row>
    <row r="15" spans="1:1" x14ac:dyDescent="0.3">
      <c r="A15" t="s">
        <v>575</v>
      </c>
    </row>
    <row r="16" spans="1:1" x14ac:dyDescent="0.3">
      <c r="A16" t="s">
        <v>576</v>
      </c>
    </row>
    <row r="35" spans="1:4" x14ac:dyDescent="0.3">
      <c r="A35" t="s">
        <v>591</v>
      </c>
    </row>
    <row r="36" spans="1:4" x14ac:dyDescent="0.3">
      <c r="A36" t="s">
        <v>588</v>
      </c>
      <c r="C36">
        <v>180</v>
      </c>
    </row>
    <row r="37" spans="1:4" x14ac:dyDescent="0.3">
      <c r="A37" t="s">
        <v>590</v>
      </c>
      <c r="C37" s="2">
        <f>C36*2.5/PI()</f>
        <v>143.23944878270581</v>
      </c>
      <c r="D37" t="s">
        <v>340</v>
      </c>
    </row>
    <row r="38" spans="1:4" x14ac:dyDescent="0.3">
      <c r="A38" t="s">
        <v>589</v>
      </c>
      <c r="C38" s="2">
        <f>C37*1.0012-0.56</f>
        <v>142.85133612124505</v>
      </c>
      <c r="D38" t="s">
        <v>340</v>
      </c>
    </row>
    <row r="39" spans="1:4" x14ac:dyDescent="0.3">
      <c r="A39" t="s">
        <v>592</v>
      </c>
      <c r="C39" s="2">
        <f>C38-2</f>
        <v>140.85133612124505</v>
      </c>
      <c r="D39" t="s">
        <v>340</v>
      </c>
    </row>
    <row r="40" spans="1:4" x14ac:dyDescent="0.3">
      <c r="A40" t="s">
        <v>593</v>
      </c>
      <c r="C40" s="2">
        <f>C39-2</f>
        <v>138.85133612124505</v>
      </c>
      <c r="D40" t="s">
        <v>340</v>
      </c>
    </row>
    <row r="58" spans="1:4" x14ac:dyDescent="0.3">
      <c r="A58" t="s">
        <v>761</v>
      </c>
    </row>
    <row r="59" spans="1:4" x14ac:dyDescent="0.3">
      <c r="A59" t="s">
        <v>588</v>
      </c>
      <c r="C59">
        <v>60</v>
      </c>
    </row>
    <row r="60" spans="1:4" x14ac:dyDescent="0.3">
      <c r="A60" t="s">
        <v>590</v>
      </c>
      <c r="C60" s="2">
        <f>C59*5/PI()</f>
        <v>95.4929658551372</v>
      </c>
      <c r="D60" t="s">
        <v>340</v>
      </c>
    </row>
    <row r="61" spans="1:4" x14ac:dyDescent="0.3">
      <c r="A61" t="s">
        <v>589</v>
      </c>
      <c r="C61" s="2">
        <f>C60*1.0012-0.56</f>
        <v>95.047557414163364</v>
      </c>
      <c r="D61" t="s">
        <v>340</v>
      </c>
    </row>
    <row r="62" spans="1:4" x14ac:dyDescent="0.3">
      <c r="A62" t="s">
        <v>592</v>
      </c>
      <c r="C62" s="2">
        <f>C61-2</f>
        <v>93.047557414163364</v>
      </c>
      <c r="D62" t="s">
        <v>340</v>
      </c>
    </row>
    <row r="63" spans="1:4" x14ac:dyDescent="0.3">
      <c r="A63" t="s">
        <v>593</v>
      </c>
      <c r="C63" s="2">
        <f>C62-2</f>
        <v>91.047557414163364</v>
      </c>
      <c r="D63" t="s">
        <v>340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88" workbookViewId="0">
      <selection activeCell="J91" sqref="A91:J91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36"/>
      <c r="E3" s="36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36" t="s">
        <v>360</v>
      </c>
      <c r="E4" s="36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3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32" sqref="A32"/>
    </sheetView>
  </sheetViews>
  <sheetFormatPr baseColWidth="10" defaultRowHeight="14.4" x14ac:dyDescent="0.3"/>
  <sheetData>
    <row r="1" spans="1:2" x14ac:dyDescent="0.3">
      <c r="A1" t="s">
        <v>561</v>
      </c>
      <c r="B1" t="s">
        <v>565</v>
      </c>
    </row>
    <row r="3" spans="1:2" x14ac:dyDescent="0.3">
      <c r="A3" t="s">
        <v>568</v>
      </c>
    </row>
    <row r="4" spans="1:2" x14ac:dyDescent="0.3">
      <c r="A4" s="9" t="s">
        <v>562</v>
      </c>
    </row>
    <row r="5" spans="1:2" x14ac:dyDescent="0.3">
      <c r="A5" t="s">
        <v>658</v>
      </c>
    </row>
    <row r="7" spans="1:2" x14ac:dyDescent="0.3">
      <c r="A7" t="s">
        <v>569</v>
      </c>
    </row>
    <row r="8" spans="1:2" x14ac:dyDescent="0.3">
      <c r="A8" s="9" t="s">
        <v>563</v>
      </c>
    </row>
    <row r="10" spans="1:2" x14ac:dyDescent="0.3">
      <c r="A10" t="s">
        <v>566</v>
      </c>
    </row>
    <row r="11" spans="1:2" x14ac:dyDescent="0.3">
      <c r="A11" t="s">
        <v>567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70" zoomScaleNormal="70" workbookViewId="0">
      <selection activeCell="O30" sqref="O30"/>
    </sheetView>
  </sheetViews>
  <sheetFormatPr baseColWidth="10" defaultRowHeight="14.4" x14ac:dyDescent="0.3"/>
  <sheetData>
    <row r="1" spans="1:1" x14ac:dyDescent="0.3">
      <c r="A1" t="s">
        <v>22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XFD2"/>
    </sheetView>
  </sheetViews>
  <sheetFormatPr baseColWidth="10" defaultRowHeight="14.4" x14ac:dyDescent="0.3"/>
  <sheetData>
    <row r="1" spans="1:2" s="6" customFormat="1" x14ac:dyDescent="0.3">
      <c r="A1" s="6" t="s">
        <v>844</v>
      </c>
    </row>
    <row r="2" spans="1:2" s="6" customFormat="1" x14ac:dyDescent="0.3"/>
    <row r="3" spans="1:2" x14ac:dyDescent="0.3">
      <c r="A3" t="s">
        <v>840</v>
      </c>
      <c r="B3" t="s">
        <v>841</v>
      </c>
    </row>
    <row r="4" spans="1:2" x14ac:dyDescent="0.3">
      <c r="A4" t="s">
        <v>842</v>
      </c>
      <c r="B4" t="s">
        <v>843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2</vt:i4>
      </vt:variant>
    </vt:vector>
  </HeadingPairs>
  <TitlesOfParts>
    <vt:vector size="12" baseType="lpstr">
      <vt:lpstr>Bezugsquellen</vt:lpstr>
      <vt:lpstr>Kräfte</vt:lpstr>
      <vt:lpstr>Andreas BOM</vt:lpstr>
      <vt:lpstr>Zahnriemenscheiben</vt:lpstr>
      <vt:lpstr>Stepper</vt:lpstr>
      <vt:lpstr>DIN</vt:lpstr>
      <vt:lpstr>Rotary Encoder</vt:lpstr>
      <vt:lpstr>Drehkranz</vt:lpstr>
      <vt:lpstr>Herkulex Servo</vt:lpstr>
      <vt:lpstr>BOM</vt:lpstr>
      <vt:lpstr>Kaufstatus</vt:lpstr>
      <vt:lpstr>ShoppingStatus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2016-04-17T14:37:39Z</dcterms:modified>
</cp:coreProperties>
</file>