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M28" i="3" l="1"/>
  <c r="N28" i="3"/>
  <c r="O28" i="3"/>
  <c r="P28" i="3"/>
  <c r="Q28" i="3" s="1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AM28" i="3" s="1"/>
  <c r="AN28" i="3" s="1"/>
  <c r="AO28" i="3" s="1"/>
  <c r="AP28" i="3" s="1"/>
  <c r="AQ28" i="3" s="1"/>
  <c r="AR28" i="3" s="1"/>
  <c r="AS28" i="3" s="1"/>
  <c r="AT28" i="3" s="1"/>
  <c r="AU28" i="3" s="1"/>
  <c r="AV28" i="3" s="1"/>
  <c r="AW28" i="3" s="1"/>
  <c r="AX28" i="3" s="1"/>
  <c r="AY28" i="3" s="1"/>
  <c r="AZ28" i="3" s="1"/>
  <c r="BA28" i="3" s="1"/>
  <c r="BB28" i="3" s="1"/>
  <c r="BC28" i="3" s="1"/>
  <c r="BD28" i="3" s="1"/>
  <c r="BE28" i="3" s="1"/>
  <c r="BF28" i="3" s="1"/>
  <c r="BG28" i="3" s="1"/>
  <c r="BH28" i="3" s="1"/>
  <c r="L28" i="3"/>
  <c r="K28" i="3"/>
  <c r="B24" i="3"/>
  <c r="H13" i="3" l="1"/>
  <c r="H10" i="3"/>
  <c r="G13" i="3"/>
  <c r="G10" i="3"/>
  <c r="F13" i="3"/>
  <c r="K24" i="3"/>
  <c r="F10" i="3"/>
  <c r="F12" i="3" s="1"/>
  <c r="L11" i="3"/>
  <c r="K23" i="3"/>
  <c r="L12" i="3"/>
  <c r="L13" i="3"/>
  <c r="H11" i="3" l="1"/>
  <c r="G12" i="3"/>
  <c r="H12" i="3"/>
  <c r="H18" i="3" s="1"/>
  <c r="G11" i="3"/>
  <c r="F11" i="3"/>
  <c r="F18" i="3" s="1"/>
  <c r="F19" i="3" s="1"/>
  <c r="I18" i="3"/>
  <c r="K22" i="3" s="1"/>
  <c r="I27" i="3"/>
  <c r="O21" i="3" s="1"/>
  <c r="P21" i="3"/>
  <c r="P18" i="3"/>
  <c r="M19" i="3"/>
  <c r="M22" i="3"/>
  <c r="B18" i="3"/>
  <c r="G18" i="3" l="1"/>
  <c r="G19" i="3" s="1"/>
  <c r="H19" i="3"/>
  <c r="H20" i="3" s="1"/>
  <c r="H26" i="3"/>
  <c r="H27" i="3" s="1"/>
  <c r="H21" i="3"/>
  <c r="B19" i="3"/>
  <c r="B27" i="3" s="1"/>
  <c r="O16" i="3" s="1"/>
  <c r="I21" i="3"/>
  <c r="I23" i="3" s="1"/>
  <c r="I26" i="3"/>
  <c r="B26" i="3"/>
  <c r="P19" i="3"/>
  <c r="B9" i="3"/>
  <c r="G21" i="3" l="1"/>
  <c r="G23" i="3" s="1"/>
  <c r="G26" i="3"/>
  <c r="G27" i="3" s="1"/>
  <c r="H23" i="3"/>
  <c r="H22" i="3"/>
  <c r="I22" i="3"/>
  <c r="G20" i="3"/>
  <c r="N16" i="3"/>
  <c r="O22" i="3"/>
  <c r="N22" i="3"/>
  <c r="P22" i="3"/>
  <c r="E13" i="3"/>
  <c r="E10" i="3"/>
  <c r="E24" i="3" l="1"/>
  <c r="E12" i="3"/>
  <c r="G22" i="3"/>
  <c r="F21" i="3"/>
  <c r="F27" i="3"/>
  <c r="F26" i="3"/>
  <c r="E11" i="3"/>
  <c r="N21" i="3"/>
  <c r="F22" i="3" l="1"/>
  <c r="F23" i="3"/>
  <c r="E18" i="3"/>
  <c r="E19" i="3" l="1"/>
  <c r="E26" i="3"/>
  <c r="E21" i="3"/>
  <c r="N19" i="3" s="1"/>
  <c r="P17" i="3"/>
  <c r="P16" i="3"/>
  <c r="M17" i="3"/>
  <c r="N18" i="3" l="1"/>
  <c r="E27" i="3"/>
  <c r="O19" i="3"/>
  <c r="E23" i="3"/>
  <c r="E22" i="3" l="1"/>
  <c r="O18" i="3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V53" i="1" l="1"/>
  <c r="T62" i="1" a="1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C65" i="1"/>
  <c r="N64" i="1" l="1" a="1"/>
  <c r="N66" i="1" s="1"/>
  <c r="P72" i="1" s="1"/>
  <c r="T62" i="1"/>
  <c r="T65" i="1"/>
  <c r="U65" i="1"/>
  <c r="V65" i="1"/>
  <c r="V63" i="1"/>
  <c r="V62" i="1"/>
  <c r="T63" i="1"/>
  <c r="U62" i="1"/>
  <c r="V64" i="1"/>
  <c r="T64" i="1"/>
  <c r="U64" i="1"/>
  <c r="U63" i="1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 a="1"/>
  <c r="O65" i="1" s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O66" i="1" l="1"/>
  <c r="O64" i="1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M145" i="1" l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B91" i="1" l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  <c r="J29" i="3" l="1"/>
  <c r="B21" i="3"/>
  <c r="K29" i="3" l="1"/>
  <c r="L29" i="3"/>
  <c r="L30" i="3"/>
  <c r="K30" i="3"/>
  <c r="M29" i="3"/>
  <c r="M30" i="3"/>
  <c r="T29" i="3"/>
  <c r="W29" i="3"/>
  <c r="X29" i="3"/>
  <c r="Y30" i="3"/>
  <c r="V30" i="3"/>
  <c r="N29" i="3"/>
  <c r="R30" i="3"/>
  <c r="Q29" i="3"/>
  <c r="V29" i="3"/>
  <c r="Y29" i="3"/>
  <c r="P30" i="3"/>
  <c r="S30" i="3"/>
  <c r="O30" i="3"/>
  <c r="P29" i="3"/>
  <c r="R29" i="3"/>
  <c r="U30" i="3"/>
  <c r="U29" i="3"/>
  <c r="S29" i="3"/>
  <c r="O29" i="3"/>
  <c r="T30" i="3"/>
  <c r="Q30" i="3"/>
  <c r="N30" i="3"/>
  <c r="W30" i="3"/>
  <c r="X30" i="3"/>
  <c r="AP29" i="3"/>
  <c r="BC29" i="3"/>
  <c r="AB29" i="3"/>
  <c r="AO29" i="3"/>
  <c r="Z29" i="3"/>
  <c r="AC29" i="3"/>
  <c r="AR29" i="3"/>
  <c r="BF29" i="3"/>
  <c r="AM29" i="3"/>
  <c r="BH29" i="3"/>
  <c r="AG29" i="3"/>
  <c r="AY29" i="3"/>
  <c r="BA29" i="3"/>
  <c r="AU29" i="3"/>
  <c r="AW29" i="3"/>
  <c r="BG29" i="3"/>
  <c r="AD29" i="3"/>
  <c r="AN30" i="3"/>
  <c r="BD30" i="3"/>
  <c r="AU30" i="3"/>
  <c r="AK30" i="3"/>
  <c r="BA30" i="3"/>
  <c r="AM30" i="3"/>
  <c r="AH30" i="3"/>
  <c r="AX30" i="3"/>
  <c r="AH29" i="3"/>
  <c r="AJ30" i="3"/>
  <c r="AA30" i="3"/>
  <c r="AT30" i="3"/>
  <c r="BD29" i="3"/>
  <c r="AI29" i="3"/>
  <c r="AZ29" i="3"/>
  <c r="AE29" i="3"/>
  <c r="AV29" i="3"/>
  <c r="AQ29" i="3"/>
  <c r="AB30" i="3"/>
  <c r="AR30" i="3"/>
  <c r="BH30" i="3"/>
  <c r="BG30" i="3"/>
  <c r="AO30" i="3"/>
  <c r="BE30" i="3"/>
  <c r="AQ30" i="3"/>
  <c r="AL30" i="3"/>
  <c r="BB30" i="3"/>
  <c r="AI30" i="3"/>
  <c r="BE29" i="3"/>
  <c r="AS29" i="3"/>
  <c r="AT29" i="3"/>
  <c r="AZ30" i="3"/>
  <c r="AG30" i="3"/>
  <c r="AN29" i="3"/>
  <c r="BB29" i="3"/>
  <c r="AJ29" i="3"/>
  <c r="AX29" i="3"/>
  <c r="AF29" i="3"/>
  <c r="AA29" i="3"/>
  <c r="AF30" i="3"/>
  <c r="AV30" i="3"/>
  <c r="AC30" i="3"/>
  <c r="AS30" i="3"/>
  <c r="BC30" i="3"/>
  <c r="Z30" i="3"/>
  <c r="AP30" i="3"/>
  <c r="BF30" i="3"/>
  <c r="AY30" i="3"/>
  <c r="AL29" i="3"/>
  <c r="AK29" i="3"/>
  <c r="AE30" i="3"/>
  <c r="AW30" i="3"/>
  <c r="AD30" i="3"/>
  <c r="N17" i="3"/>
  <c r="B22" i="3"/>
  <c r="B23" i="3"/>
  <c r="J30" i="3"/>
  <c r="O17" i="3" l="1"/>
</calcChain>
</file>

<file path=xl/sharedStrings.xml><?xml version="1.0" encoding="utf-8"?>
<sst xmlns="http://schemas.openxmlformats.org/spreadsheetml/2006/main" count="163" uniqueCount="127">
  <si>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</si>
  <si>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</si>
  <si>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</si>
  <si>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</si>
  <si>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</si>
  <si>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</si>
  <si>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</si>
  <si>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</si>
  <si>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</si>
  <si>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</si>
  <si>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</si>
  <si>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</si>
  <si>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</si>
  <si>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</si>
  <si>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</si>
  <si>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</si>
  <si>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</si>
  <si>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</si>
  <si>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</si>
  <si>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</si>
  <si>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</si>
  <si>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</si>
  <si>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</si>
  <si>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</si>
  <si>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</si>
  <si>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</si>
  <si>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</si>
  <si>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</si>
  <si>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</si>
  <si>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</si>
  <si>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</si>
  <si>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</si>
  <si>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</si>
  <si>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</si>
  <si>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</si>
  <si>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</si>
  <si>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</si>
  <si>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</si>
  <si>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</si>
  <si>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</si>
  <si>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</si>
  <si>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</si>
  <si>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</si>
  <si>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</si>
  <si>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</si>
  <si>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</si>
  <si>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</si>
  <si>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</si>
  <si>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</si>
  <si>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</si>
  <si>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</si>
  <si>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</si>
  <si>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</si>
  <si>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</si>
  <si>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</si>
  <si>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</si>
  <si>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</si>
  <si>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</si>
  <si>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</si>
  <si>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</si>
  <si>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</si>
  <si>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</si>
  <si>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</si>
  <si>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</si>
  <si>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</si>
  <si>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</si>
  <si>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</si>
  <si>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</si>
  <si>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</si>
  <si>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</si>
  <si>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</si>
  <si>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</si>
  <si>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</si>
  <si>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</si>
  <si>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</si>
  <si>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</si>
  <si>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</si>
  <si>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</si>
  <si>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</si>
  <si>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</si>
  <si>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</si>
  <si>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</si>
  <si>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</si>
  <si>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</si>
  <si>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</si>
  <si>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</si>
  <si>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</si>
  <si>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</si>
  <si>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</si>
  <si>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</si>
  <si>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</si>
  <si>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</si>
  <si>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</si>
  <si>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</si>
  <si>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</si>
  <si>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</si>
  <si>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</si>
  <si>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</si>
  <si>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</si>
  <si>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</si>
  <si>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</si>
  <si>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</si>
  <si>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</si>
  <si>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</si>
  <si>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</si>
  <si>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</si>
  <si>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</si>
  <si>
    <t>u</t>
  </si>
  <si>
    <t>c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</si>
  <si>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</si>
  <si>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t>v monotron</t>
  </si>
  <si>
    <t>v Trapez</t>
  </si>
  <si>
    <t>Monoton</t>
  </si>
  <si>
    <t>vTrapez(t)</t>
  </si>
  <si>
    <t>xMonoton(t)</t>
  </si>
  <si>
    <t>Ramp-Up</t>
  </si>
  <si>
    <t>rampup tges</t>
  </si>
  <si>
    <t>max v  rampup</t>
  </si>
  <si>
    <t>pos Trapez</t>
  </si>
  <si>
    <t>min v ramp up</t>
  </si>
  <si>
    <t>neg Trapez</t>
  </si>
  <si>
    <r>
      <t>min t</t>
    </r>
    <r>
      <rPr>
        <vertAlign val="subscript"/>
        <sz val="11"/>
        <color theme="1"/>
        <rFont val="Calibri"/>
        <family val="2"/>
        <scheme val="minor"/>
      </rPr>
      <t>g</t>
    </r>
  </si>
  <si>
    <t>peak</t>
  </si>
  <si>
    <t>peakdown</t>
  </si>
  <si>
    <t>Ramp Up</t>
  </si>
  <si>
    <t>Trapez</t>
  </si>
  <si>
    <t>Forward kinematics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</si>
</sst>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  <xf numFmtId="164" fontId="0" fillId="0" borderId="0" xfId="0" applyNumberFormat="1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445160"/>
        <c:axId val="288445552"/>
      </c:scatterChart>
      <c:valAx>
        <c:axId val="288445160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288445552"/>
        <c:crosses val="autoZero"/>
        <c:crossBetween val="midCat"/>
        <c:majorUnit val="300"/>
      </c:valAx>
      <c:valAx>
        <c:axId val="288445552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88445160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447904"/>
        <c:axId val="288446336"/>
      </c:scatterChart>
      <c:valAx>
        <c:axId val="288447904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288446336"/>
        <c:crosses val="autoZero"/>
        <c:crossBetween val="midCat"/>
        <c:majorUnit val="500"/>
      </c:valAx>
      <c:valAx>
        <c:axId val="288446336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8447904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70603674540682E-2"/>
          <c:y val="1.90111225850867E-2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Monoton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profile'!$M$16:$P$16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22.395075557352065</c:v>
                </c:pt>
                <c:pt idx="2" formatCode="0.000">
                  <c:v>1585.6549244426478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profile'!$M$17:$P$17</c:f>
              <c:numCache>
                <c:formatCode>0.000</c:formatCode>
                <c:ptCount val="4"/>
                <c:pt idx="0" formatCode="General">
                  <c:v>0.21609999999999999</c:v>
                </c:pt>
                <c:pt idx="1">
                  <c:v>0.17130984888529585</c:v>
                </c:pt>
                <c:pt idx="2">
                  <c:v>0.17130984888529585</c:v>
                </c:pt>
                <c:pt idx="3" formatCode="General">
                  <c:v>0.2</c:v>
                </c:pt>
              </c:numCache>
            </c:numRef>
          </c:yVal>
          <c:smooth val="0"/>
        </c:ser>
        <c:ser>
          <c:idx val="1"/>
          <c:order val="1"/>
          <c:tx>
            <c:v>Trapez</c:v>
          </c:tx>
          <c:xVal>
            <c:numRef>
              <c:f>'Trajectory Speed profile'!$M$18:$P$18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22.269339653504748</c:v>
                </c:pt>
                <c:pt idx="2" formatCode="0.000">
                  <c:v>1585.7806603464953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profile'!$M$19:$P$19</c:f>
              <c:numCache>
                <c:formatCode>0.000</c:formatCode>
                <c:ptCount val="4"/>
                <c:pt idx="0" formatCode="General">
                  <c:v>0.21609999999999999</c:v>
                </c:pt>
                <c:pt idx="1">
                  <c:v>0.17156132069299049</c:v>
                </c:pt>
                <c:pt idx="2">
                  <c:v>0.17156132069299049</c:v>
                </c:pt>
                <c:pt idx="3" formatCode="General">
                  <c:v>0.2</c:v>
                </c:pt>
              </c:numCache>
            </c:numRef>
          </c:yVal>
          <c:smooth val="0"/>
        </c:ser>
        <c:ser>
          <c:idx val="2"/>
          <c:order val="2"/>
          <c:tx>
            <c:v>Ramp Up</c:v>
          </c:tx>
          <c:xVal>
            <c:numRef>
              <c:f>'Trajectory Speed profile'!$M$21:$P$21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8.0499999999999883</c:v>
                </c:pt>
                <c:pt idx="2" formatCode="0.000">
                  <c:v>1600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profile'!$M$22:$P$22</c:f>
              <c:numCache>
                <c:formatCode>0.000</c:formatCode>
                <c:ptCount val="4"/>
                <c:pt idx="0" formatCode="General">
                  <c:v>0.21609999999999999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643792"/>
        <c:axId val="332645360"/>
      </c:scatterChart>
      <c:valAx>
        <c:axId val="33264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2645360"/>
        <c:crosses val="autoZero"/>
        <c:crossBetween val="midCat"/>
      </c:valAx>
      <c:valAx>
        <c:axId val="3326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2643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profile'!$J$29:$BH$29</c:f>
              <c:numCache>
                <c:formatCode>0.00</c:formatCode>
                <c:ptCount val="51"/>
                <c:pt idx="0">
                  <c:v>0.21609999999999999</c:v>
                </c:pt>
                <c:pt idx="1">
                  <c:v>0.17130984888529585</c:v>
                </c:pt>
                <c:pt idx="2">
                  <c:v>0.17130984888529585</c:v>
                </c:pt>
                <c:pt idx="3">
                  <c:v>0.17130984888529585</c:v>
                </c:pt>
                <c:pt idx="4">
                  <c:v>0.17130984888529585</c:v>
                </c:pt>
                <c:pt idx="5">
                  <c:v>0.17130984888529585</c:v>
                </c:pt>
                <c:pt idx="6">
                  <c:v>0.17130984888529585</c:v>
                </c:pt>
                <c:pt idx="7">
                  <c:v>0.17130984888529585</c:v>
                </c:pt>
                <c:pt idx="8">
                  <c:v>0.17130984888529585</c:v>
                </c:pt>
                <c:pt idx="9">
                  <c:v>0.17130984888529585</c:v>
                </c:pt>
                <c:pt idx="10">
                  <c:v>0.17130984888529585</c:v>
                </c:pt>
                <c:pt idx="11">
                  <c:v>0.17130984888529585</c:v>
                </c:pt>
                <c:pt idx="12">
                  <c:v>0.17130984888529585</c:v>
                </c:pt>
                <c:pt idx="13">
                  <c:v>0.17130984888529585</c:v>
                </c:pt>
                <c:pt idx="14">
                  <c:v>0.17130984888529585</c:v>
                </c:pt>
                <c:pt idx="15">
                  <c:v>0.17130984888529585</c:v>
                </c:pt>
                <c:pt idx="16">
                  <c:v>0.17130984888529585</c:v>
                </c:pt>
                <c:pt idx="17">
                  <c:v>0.17130984888529585</c:v>
                </c:pt>
                <c:pt idx="18">
                  <c:v>0.17130984888529585</c:v>
                </c:pt>
                <c:pt idx="19">
                  <c:v>0.17130984888529585</c:v>
                </c:pt>
                <c:pt idx="20">
                  <c:v>0.17130984888529585</c:v>
                </c:pt>
                <c:pt idx="21">
                  <c:v>0.17130984888529585</c:v>
                </c:pt>
                <c:pt idx="22">
                  <c:v>0.17130984888529585</c:v>
                </c:pt>
                <c:pt idx="23">
                  <c:v>0.17130984888529585</c:v>
                </c:pt>
                <c:pt idx="24">
                  <c:v>0.17130984888529585</c:v>
                </c:pt>
                <c:pt idx="25">
                  <c:v>0.17130984888529585</c:v>
                </c:pt>
                <c:pt idx="26">
                  <c:v>0.17130984888529585</c:v>
                </c:pt>
                <c:pt idx="27">
                  <c:v>0.17130984888529585</c:v>
                </c:pt>
                <c:pt idx="28">
                  <c:v>0.17130984888529585</c:v>
                </c:pt>
                <c:pt idx="29">
                  <c:v>0.17130984888529585</c:v>
                </c:pt>
                <c:pt idx="30">
                  <c:v>0.17130984888529585</c:v>
                </c:pt>
                <c:pt idx="31">
                  <c:v>0.17130984888529585</c:v>
                </c:pt>
                <c:pt idx="32">
                  <c:v>0.17130984888529585</c:v>
                </c:pt>
                <c:pt idx="33">
                  <c:v>0.17130984888529585</c:v>
                </c:pt>
                <c:pt idx="34">
                  <c:v>0.17130984888529585</c:v>
                </c:pt>
                <c:pt idx="35">
                  <c:v>0.17130984888529585</c:v>
                </c:pt>
                <c:pt idx="36">
                  <c:v>0.17130984888529585</c:v>
                </c:pt>
                <c:pt idx="37">
                  <c:v>0.17130984888529585</c:v>
                </c:pt>
                <c:pt idx="38">
                  <c:v>0.17130984888529585</c:v>
                </c:pt>
                <c:pt idx="39">
                  <c:v>0.17130984888529585</c:v>
                </c:pt>
                <c:pt idx="40">
                  <c:v>0.17130984888529585</c:v>
                </c:pt>
                <c:pt idx="41">
                  <c:v>0.17130984888529585</c:v>
                </c:pt>
                <c:pt idx="42">
                  <c:v>0.17130984888529585</c:v>
                </c:pt>
                <c:pt idx="43">
                  <c:v>0.17130984888529585</c:v>
                </c:pt>
                <c:pt idx="44">
                  <c:v>0.17130984888529585</c:v>
                </c:pt>
                <c:pt idx="45">
                  <c:v>0.17130984888529585</c:v>
                </c:pt>
                <c:pt idx="46">
                  <c:v>0.17130984888529585</c:v>
                </c:pt>
                <c:pt idx="47">
                  <c:v>0.17130984888529585</c:v>
                </c:pt>
                <c:pt idx="48">
                  <c:v>0.17130984888529585</c:v>
                </c:pt>
                <c:pt idx="49">
                  <c:v>0.17130984888529585</c:v>
                </c:pt>
                <c:pt idx="50">
                  <c:v>0.20000000000000021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639088"/>
        <c:axId val="332639872"/>
      </c:scatterChart>
      <c:valAx>
        <c:axId val="33263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2639872"/>
        <c:crosses val="autoZero"/>
        <c:crossBetween val="midCat"/>
      </c:valAx>
      <c:valAx>
        <c:axId val="33263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263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profile'!$J$30:$BH$30</c:f>
              <c:numCache>
                <c:formatCode>General</c:formatCode>
                <c:ptCount val="51"/>
                <c:pt idx="0">
                  <c:v>0</c:v>
                </c:pt>
                <c:pt idx="1">
                  <c:v>5.9834545735489755</c:v>
                </c:pt>
                <c:pt idx="2">
                  <c:v>11.465369737878442</c:v>
                </c:pt>
                <c:pt idx="3">
                  <c:v>16.947284902207908</c:v>
                </c:pt>
                <c:pt idx="4">
                  <c:v>22.429200066537376</c:v>
                </c:pt>
                <c:pt idx="5">
                  <c:v>27.911115230866841</c:v>
                </c:pt>
                <c:pt idx="6">
                  <c:v>33.393030395196313</c:v>
                </c:pt>
                <c:pt idx="7">
                  <c:v>38.874945559525777</c:v>
                </c:pt>
                <c:pt idx="8">
                  <c:v>44.356860723855242</c:v>
                </c:pt>
                <c:pt idx="9">
                  <c:v>49.838775888184713</c:v>
                </c:pt>
                <c:pt idx="10">
                  <c:v>55.320691052514178</c:v>
                </c:pt>
                <c:pt idx="11">
                  <c:v>60.802606216843643</c:v>
                </c:pt>
                <c:pt idx="12">
                  <c:v>66.284521381173121</c:v>
                </c:pt>
                <c:pt idx="13">
                  <c:v>71.766436545502586</c:v>
                </c:pt>
                <c:pt idx="14">
                  <c:v>77.24835170983205</c:v>
                </c:pt>
                <c:pt idx="15">
                  <c:v>82.730266874161515</c:v>
                </c:pt>
                <c:pt idx="16">
                  <c:v>88.21218203849098</c:v>
                </c:pt>
                <c:pt idx="17">
                  <c:v>93.694097202820458</c:v>
                </c:pt>
                <c:pt idx="18">
                  <c:v>99.176012367149923</c:v>
                </c:pt>
                <c:pt idx="19">
                  <c:v>104.65792753147939</c:v>
                </c:pt>
                <c:pt idx="20">
                  <c:v>110.13984269580887</c:v>
                </c:pt>
                <c:pt idx="21">
                  <c:v>115.62175786013833</c:v>
                </c:pt>
                <c:pt idx="22">
                  <c:v>121.1036730244678</c:v>
                </c:pt>
                <c:pt idx="23">
                  <c:v>126.58558818879726</c:v>
                </c:pt>
                <c:pt idx="24">
                  <c:v>132.06750335312674</c:v>
                </c:pt>
                <c:pt idx="25">
                  <c:v>137.54941851745619</c:v>
                </c:pt>
                <c:pt idx="26">
                  <c:v>143.03133368178567</c:v>
                </c:pt>
                <c:pt idx="27">
                  <c:v>148.51324884611512</c:v>
                </c:pt>
                <c:pt idx="28">
                  <c:v>153.9951640104446</c:v>
                </c:pt>
                <c:pt idx="29">
                  <c:v>159.47707917477408</c:v>
                </c:pt>
                <c:pt idx="30">
                  <c:v>164.95899433910353</c:v>
                </c:pt>
                <c:pt idx="31">
                  <c:v>170.44090950343301</c:v>
                </c:pt>
                <c:pt idx="32">
                  <c:v>175.92282466776246</c:v>
                </c:pt>
                <c:pt idx="33">
                  <c:v>181.40473983209191</c:v>
                </c:pt>
                <c:pt idx="34">
                  <c:v>186.88665499642138</c:v>
                </c:pt>
                <c:pt idx="35">
                  <c:v>192.36857016075086</c:v>
                </c:pt>
                <c:pt idx="36">
                  <c:v>197.85048532508031</c:v>
                </c:pt>
                <c:pt idx="37">
                  <c:v>203.33240048940979</c:v>
                </c:pt>
                <c:pt idx="38">
                  <c:v>208.81431565373924</c:v>
                </c:pt>
                <c:pt idx="39">
                  <c:v>214.29623081806872</c:v>
                </c:pt>
                <c:pt idx="40">
                  <c:v>219.77814598239817</c:v>
                </c:pt>
                <c:pt idx="41">
                  <c:v>225.26006114672765</c:v>
                </c:pt>
                <c:pt idx="42">
                  <c:v>230.74197631105713</c:v>
                </c:pt>
                <c:pt idx="43">
                  <c:v>236.22389147538658</c:v>
                </c:pt>
                <c:pt idx="44">
                  <c:v>241.70580663971606</c:v>
                </c:pt>
                <c:pt idx="45">
                  <c:v>247.18772180404551</c:v>
                </c:pt>
                <c:pt idx="46">
                  <c:v>252.66963696837499</c:v>
                </c:pt>
                <c:pt idx="47">
                  <c:v>258.15155213270447</c:v>
                </c:pt>
                <c:pt idx="48">
                  <c:v>263.63346729703397</c:v>
                </c:pt>
                <c:pt idx="49">
                  <c:v>269.11538246136342</c:v>
                </c:pt>
                <c:pt idx="50">
                  <c:v>274.80307881843902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644576"/>
        <c:axId val="332641048"/>
      </c:scatterChart>
      <c:valAx>
        <c:axId val="33264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2641048"/>
        <c:crosses val="autoZero"/>
        <c:crossBetween val="midCat"/>
      </c:valAx>
      <c:valAx>
        <c:axId val="33264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264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102870</xdr:colOff>
      <xdr:row>0</xdr:row>
      <xdr:rowOff>220980</xdr:rowOff>
    </xdr:from>
    <xdr:to>
      <xdr:col>15</xdr:col>
      <xdr:colOff>712470</xdr:colOff>
      <xdr:row>22</xdr:row>
      <xdr:rowOff>106680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784860</xdr:colOff>
      <xdr:row>32</xdr:row>
      <xdr:rowOff>30480</xdr:rowOff>
    </xdr:from>
    <xdr:to>
      <xdr:col>13</xdr:col>
      <xdr:colOff>601980</xdr:colOff>
      <xdr:row>47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708660</xdr:colOff>
      <xdr:row>32</xdr:row>
      <xdr:rowOff>15240</xdr:rowOff>
    </xdr:from>
    <xdr:to>
      <xdr:col>19</xdr:col>
      <xdr:colOff>525780</xdr:colOff>
      <xdr:row>47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tabSelected="1" topLeftCell="A136" zoomScale="85" zoomScaleNormal="85" workbookViewId="0">
      <selection activeCell="A168" sqref="A168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126</v>
      </c>
    </row>
    <row r="3" spans="1:22" ht="15" thickBot="1" x14ac:dyDescent="0.35"/>
    <row r="4" spans="1:22" x14ac:dyDescent="0.3">
      <c r="F4" t="s">
        <v>29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49</v>
      </c>
      <c r="D13" s="15" t="s">
        <v>37</v>
      </c>
    </row>
    <row r="14" spans="1:22" ht="15" thickBot="1" x14ac:dyDescent="0.35">
      <c r="A14" s="1"/>
      <c r="D14" s="15" t="s">
        <v>59</v>
      </c>
      <c r="H14" s="15" t="s">
        <v>60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41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62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68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69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75</v>
      </c>
      <c r="Z48" t="s">
        <v>74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72</v>
      </c>
      <c r="Z49" t="s">
        <v>76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70</v>
      </c>
      <c r="Z50" t="s">
        <v>71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77</v>
      </c>
      <c r="D52" t="s">
        <v>82</v>
      </c>
      <c r="E52" t="s">
        <v>78</v>
      </c>
      <c r="F52" t="s">
        <v>81</v>
      </c>
      <c r="G52" t="s">
        <v>79</v>
      </c>
      <c r="H52" t="s">
        <v>80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75</v>
      </c>
      <c r="Z53" t="s">
        <v>74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72</v>
      </c>
      <c r="Z54" t="s">
        <v>76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70</v>
      </c>
      <c r="Z55" t="s">
        <v>71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63</v>
      </c>
      <c r="G63" t="s">
        <v>61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65</v>
      </c>
      <c r="F69" t="s">
        <v>63</v>
      </c>
      <c r="I69" t="s">
        <v>61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28</v>
      </c>
    </row>
    <row r="75" spans="1:22" ht="15.6" x14ac:dyDescent="0.35">
      <c r="A75" s="9" t="s">
        <v>35</v>
      </c>
    </row>
    <row r="77" spans="1:22" ht="15.6" x14ac:dyDescent="0.35">
      <c r="A77" t="s">
        <v>31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34</v>
      </c>
    </row>
    <row r="82" spans="1:9" ht="15.6" x14ac:dyDescent="0.35">
      <c r="A82" t="s">
        <v>32</v>
      </c>
      <c r="B82" s="17" t="s">
        <v>33</v>
      </c>
      <c r="C82" s="5" t="s">
        <v>30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36</v>
      </c>
      <c r="B88" s="8"/>
      <c r="C88" s="8"/>
      <c r="D88" s="8"/>
      <c r="E88" s="8"/>
    </row>
    <row r="89" spans="1:9" x14ac:dyDescent="0.3">
      <c r="A89" s="9" t="s">
        <v>38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33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29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39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40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42</v>
      </c>
      <c r="B95">
        <f>SIGN(B91)</f>
        <v>1</v>
      </c>
    </row>
    <row r="97" spans="1:12" ht="16.2" x14ac:dyDescent="0.35">
      <c r="A97" s="15" t="s">
        <v>43</v>
      </c>
    </row>
    <row r="99" spans="1:12" x14ac:dyDescent="0.3">
      <c r="A99" s="9" t="s">
        <v>57</v>
      </c>
    </row>
    <row r="104" spans="1:12" x14ac:dyDescent="0.3">
      <c r="J104" t="s">
        <v>44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47</v>
      </c>
      <c r="Q122" s="33" t="s">
        <v>48</v>
      </c>
    </row>
    <row r="123" spans="1:19" x14ac:dyDescent="0.3">
      <c r="B123" t="s">
        <v>55</v>
      </c>
      <c r="E123" s="7">
        <f>SQRT(E120*E120+E118*E118)</f>
        <v>360.55512754639892</v>
      </c>
      <c r="L123" t="s">
        <v>67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53</v>
      </c>
      <c r="E124" s="7">
        <f>E28</f>
        <v>300</v>
      </c>
      <c r="F124" s="5"/>
      <c r="L124" s="9" t="s">
        <v>56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54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45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46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52</v>
      </c>
    </row>
    <row r="138" spans="1:21" x14ac:dyDescent="0.3">
      <c r="E138" s="58"/>
      <c r="F138" s="58"/>
      <c r="G138" s="58"/>
      <c r="J138" t="s">
        <v>50</v>
      </c>
      <c r="M138" t="s">
        <v>51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83"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70</v>
      </c>
      <c r="M45" t="s">
        <v>71</v>
      </c>
    </row>
    <row r="46" spans="1:13" x14ac:dyDescent="0.3">
      <c r="A46" t="s">
        <v>64</v>
      </c>
      <c r="L46" s="1" t="s">
        <v>72</v>
      </c>
      <c r="M46" t="s">
        <v>73</v>
      </c>
    </row>
    <row r="47" spans="1:13" x14ac:dyDescent="0.3">
      <c r="L47" s="1" t="s">
        <v>75</v>
      </c>
      <c r="M47" t="s">
        <v>74</v>
      </c>
    </row>
    <row r="81" spans="1:1" x14ac:dyDescent="0.3">
      <c r="A81" t="s">
        <v>66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2"/>
  <sheetViews>
    <sheetView workbookViewId="0">
      <selection activeCell="G11" sqref="G11"/>
    </sheetView>
  </sheetViews>
  <sheetFormatPr baseColWidth="10" defaultRowHeight="14.4" x14ac:dyDescent="0.3"/>
  <cols>
    <col min="2" max="2" width="12.44140625" bestFit="1" customWidth="1"/>
  </cols>
  <sheetData>
    <row r="1" spans="1:16" ht="18" x14ac:dyDescent="0.35">
      <c r="A1" s="25" t="s">
        <v>96</v>
      </c>
    </row>
    <row r="3" spans="1:16" ht="15.6" x14ac:dyDescent="0.35">
      <c r="A3" t="s">
        <v>83</v>
      </c>
      <c r="B3">
        <v>0.21609999999999999</v>
      </c>
      <c r="C3" t="s">
        <v>85</v>
      </c>
    </row>
    <row r="4" spans="1:16" ht="15.6" x14ac:dyDescent="0.35">
      <c r="A4" t="s">
        <v>84</v>
      </c>
      <c r="B4">
        <v>0.2</v>
      </c>
      <c r="C4" t="s">
        <v>85</v>
      </c>
    </row>
    <row r="5" spans="1:16" x14ac:dyDescent="0.3">
      <c r="A5" t="s">
        <v>86</v>
      </c>
      <c r="B5">
        <v>273.8</v>
      </c>
      <c r="C5" t="s">
        <v>89</v>
      </c>
    </row>
    <row r="6" spans="1:16" ht="15.6" x14ac:dyDescent="0.35">
      <c r="A6" t="s">
        <v>88</v>
      </c>
      <c r="B6">
        <v>1600</v>
      </c>
      <c r="C6" t="s">
        <v>90</v>
      </c>
    </row>
    <row r="7" spans="1:16" ht="16.2" x14ac:dyDescent="0.3">
      <c r="A7" t="s">
        <v>70</v>
      </c>
      <c r="B7">
        <v>2E-3</v>
      </c>
      <c r="C7" t="s">
        <v>93</v>
      </c>
    </row>
    <row r="9" spans="1:16" ht="15.6" x14ac:dyDescent="0.35">
      <c r="A9" t="s">
        <v>109</v>
      </c>
      <c r="B9">
        <f>B5/B6</f>
        <v>0.171125</v>
      </c>
      <c r="C9" t="s">
        <v>85</v>
      </c>
    </row>
    <row r="10" spans="1:16" x14ac:dyDescent="0.3">
      <c r="A10" t="s">
        <v>107</v>
      </c>
      <c r="E10">
        <f>(B3-B4)/B7</f>
        <v>8.0499999999999883</v>
      </c>
      <c r="F10">
        <f>(B3-B4)/B7</f>
        <v>8.0499999999999883</v>
      </c>
      <c r="G10">
        <f>(B3-B4)/B7</f>
        <v>8.0499999999999883</v>
      </c>
      <c r="H10">
        <f>(B3-B4)/B7</f>
        <v>8.0499999999999883</v>
      </c>
    </row>
    <row r="11" spans="1:16" x14ac:dyDescent="0.3">
      <c r="A11" t="s">
        <v>108</v>
      </c>
      <c r="E11" s="127">
        <f>B3*B6-0.5*B7*E10*E10 - B5</f>
        <v>71.895197499999995</v>
      </c>
      <c r="F11">
        <f>B3*B6+0.5*B7*F10*F10 - B5</f>
        <v>72.024802499999964</v>
      </c>
      <c r="G11">
        <f>B4*G10+0.5*B7*G10*G10- B5</f>
        <v>-272.12519750000001</v>
      </c>
      <c r="H11">
        <f>-B4*G10-0.5*B7*G10*G10- B5</f>
        <v>-275.47480250000001</v>
      </c>
      <c r="K11" s="3"/>
      <c r="L11">
        <f>-B5*B7-0.5*B3*B3</f>
        <v>-0.57094960500000003</v>
      </c>
    </row>
    <row r="12" spans="1:16" x14ac:dyDescent="0.3">
      <c r="A12" t="s">
        <v>72</v>
      </c>
      <c r="E12">
        <f>B7*(B6-E10)</f>
        <v>3.1839</v>
      </c>
      <c r="F12">
        <f>B7*(B6+F10)</f>
        <v>3.2161</v>
      </c>
      <c r="G12">
        <f>B3+B4+B7*G10</f>
        <v>0.43220000000000003</v>
      </c>
      <c r="H12">
        <f>B3+B4+B7*G10</f>
        <v>0.43220000000000003</v>
      </c>
      <c r="L12">
        <f>B3</f>
        <v>0.21609999999999999</v>
      </c>
    </row>
    <row r="13" spans="1:16" x14ac:dyDescent="0.3">
      <c r="A13" t="s">
        <v>70</v>
      </c>
      <c r="E13">
        <f>-B7</f>
        <v>-2E-3</v>
      </c>
      <c r="F13">
        <f>B7</f>
        <v>2E-3</v>
      </c>
      <c r="G13">
        <f>B7</f>
        <v>2E-3</v>
      </c>
      <c r="H13">
        <f>-B7</f>
        <v>-2E-3</v>
      </c>
      <c r="L13">
        <f>0.5</f>
        <v>0.5</v>
      </c>
    </row>
    <row r="14" spans="1:16" x14ac:dyDescent="0.3">
      <c r="B14" s="60"/>
      <c r="C14" s="60"/>
    </row>
    <row r="15" spans="1:16" x14ac:dyDescent="0.3">
      <c r="B15" s="60"/>
      <c r="C15" s="60"/>
    </row>
    <row r="16" spans="1:16" x14ac:dyDescent="0.3">
      <c r="B16" s="60"/>
      <c r="C16" s="60"/>
      <c r="L16" t="s">
        <v>87</v>
      </c>
      <c r="M16">
        <v>0</v>
      </c>
      <c r="N16" s="4">
        <f>B26</f>
        <v>22.395075557352065</v>
      </c>
      <c r="O16" s="3">
        <f>B27</f>
        <v>1585.6549244426478</v>
      </c>
      <c r="P16">
        <f>B6</f>
        <v>1600</v>
      </c>
    </row>
    <row r="17" spans="1:72" x14ac:dyDescent="0.3">
      <c r="A17" t="s">
        <v>112</v>
      </c>
      <c r="D17" t="s">
        <v>118</v>
      </c>
      <c r="F17" t="s">
        <v>120</v>
      </c>
      <c r="G17" t="s">
        <v>122</v>
      </c>
      <c r="H17" t="s">
        <v>123</v>
      </c>
      <c r="I17" t="s">
        <v>115</v>
      </c>
      <c r="L17" t="s">
        <v>110</v>
      </c>
      <c r="M17">
        <f>B3</f>
        <v>0.21609999999999999</v>
      </c>
      <c r="N17" s="3">
        <f>B21</f>
        <v>0.17130984888529585</v>
      </c>
      <c r="O17" s="3">
        <f>N17</f>
        <v>0.17130984888529585</v>
      </c>
      <c r="P17">
        <f>B4</f>
        <v>0.2</v>
      </c>
    </row>
    <row r="18" spans="1:72" ht="15.6" x14ac:dyDescent="0.35">
      <c r="A18" t="s">
        <v>91</v>
      </c>
      <c r="B18" s="127">
        <f>(B5-B3*B6-0.5*(B4-B3)*(B4-B3)/B7)/(B6*B7+(B3-B4))</f>
        <v>-22.395075557352065</v>
      </c>
      <c r="C18" t="s">
        <v>90</v>
      </c>
      <c r="D18" t="s">
        <v>91</v>
      </c>
      <c r="E18" s="3">
        <f>(-E12+SQRT(E12*E12-4*E13*E11))/(2*E13)</f>
        <v>-22.269339653504748</v>
      </c>
      <c r="F18" s="130">
        <f>(-F12+SQRT(F12*F12-4*F13*F11))/(2*F13)</f>
        <v>-22.715970630058479</v>
      </c>
      <c r="G18" s="3">
        <f>(-G12+SQRT(G12*G12-4*G13*G11))/(2*G13)</f>
        <v>276.31623323335776</v>
      </c>
      <c r="H18" s="3" t="e">
        <f>-(-H12+SQRT(H12*H12-4*H13*H11))/(2*H13)</f>
        <v>#NUM!</v>
      </c>
      <c r="I18" s="127">
        <f>(B4-B3)/B7</f>
        <v>-8.0499999999999883</v>
      </c>
      <c r="L18" t="s">
        <v>125</v>
      </c>
      <c r="M18">
        <v>0</v>
      </c>
      <c r="N18" s="4">
        <f>E26</f>
        <v>22.269339653504748</v>
      </c>
      <c r="O18" s="3">
        <f>E27</f>
        <v>1585.7806603464953</v>
      </c>
      <c r="P18">
        <f>B6</f>
        <v>1600</v>
      </c>
    </row>
    <row r="19" spans="1:72" ht="15.6" x14ac:dyDescent="0.35">
      <c r="A19" t="s">
        <v>92</v>
      </c>
      <c r="B19" s="3">
        <f>(B4-B3)/B7-B18</f>
        <v>14.345075557352077</v>
      </c>
      <c r="C19" t="s">
        <v>90</v>
      </c>
      <c r="D19" t="s">
        <v>92</v>
      </c>
      <c r="E19" s="3">
        <f>(B4-B3)/B7-E18</f>
        <v>14.219339653504759</v>
      </c>
      <c r="F19" s="3">
        <f>(B4-B3)/B7-F18</f>
        <v>14.66597063005849</v>
      </c>
      <c r="G19" s="127">
        <f>-(G10+G18)</f>
        <v>-284.36623323335778</v>
      </c>
      <c r="H19" s="127" t="e">
        <f>-(H10+H18)</f>
        <v>#NUM!</v>
      </c>
      <c r="I19" s="127">
        <v>0</v>
      </c>
      <c r="L19" t="s">
        <v>111</v>
      </c>
      <c r="M19">
        <f>B3</f>
        <v>0.21609999999999999</v>
      </c>
      <c r="N19" s="3">
        <f>E21</f>
        <v>0.17156132069299049</v>
      </c>
      <c r="O19" s="3">
        <f>N19</f>
        <v>0.17156132069299049</v>
      </c>
      <c r="P19">
        <f>B4</f>
        <v>0.2</v>
      </c>
    </row>
    <row r="20" spans="1:72" ht="15.6" x14ac:dyDescent="0.35">
      <c r="A20" t="s">
        <v>88</v>
      </c>
      <c r="B20" s="3"/>
      <c r="E20" s="3"/>
      <c r="F20" s="3"/>
      <c r="G20" s="127">
        <f>ABS(G18)+ABS(G19)</f>
        <v>560.6824664667156</v>
      </c>
      <c r="H20" s="127" t="e">
        <f>ABS(H18)+ABS(H19)</f>
        <v>#NUM!</v>
      </c>
      <c r="I20" s="127"/>
      <c r="N20" s="3"/>
      <c r="O20" s="3"/>
    </row>
    <row r="21" spans="1:72" ht="15.6" x14ac:dyDescent="0.35">
      <c r="A21" t="s">
        <v>95</v>
      </c>
      <c r="B21" s="3">
        <f>B3+B7*B18</f>
        <v>0.17130984888529585</v>
      </c>
      <c r="C21" t="s">
        <v>85</v>
      </c>
      <c r="D21" t="s">
        <v>95</v>
      </c>
      <c r="E21" s="3">
        <f>B3+B7*E18</f>
        <v>0.17156132069299049</v>
      </c>
      <c r="F21" s="3">
        <f>B3+B7*F18</f>
        <v>0.17066805873988303</v>
      </c>
      <c r="G21">
        <f>B3+B7*G18</f>
        <v>0.76873246646671545</v>
      </c>
      <c r="H21" t="e">
        <f>B3+B7*H18</f>
        <v>#NUM!</v>
      </c>
      <c r="I21" s="3">
        <f>B3+B7*I18</f>
        <v>0.2</v>
      </c>
      <c r="L21" t="s">
        <v>87</v>
      </c>
      <c r="M21">
        <v>0</v>
      </c>
      <c r="N21" s="4">
        <f>I26</f>
        <v>8.0499999999999883</v>
      </c>
      <c r="O21" s="3">
        <f>I27</f>
        <v>1600</v>
      </c>
      <c r="P21">
        <f>B6</f>
        <v>1600</v>
      </c>
    </row>
    <row r="22" spans="1:72" x14ac:dyDescent="0.3">
      <c r="A22" t="s">
        <v>94</v>
      </c>
      <c r="B22" s="127">
        <f>$B$3*$B$26+SIGN($B$18)*0.5*$B$7*$B$26*$B$26+($B$27-$B$26)*$B$21 + $B$21*(B6-$B$27) + SIGN($B$19)*0.5*$B$7*(B6-$B$27)*(B6-$B$27)</f>
        <v>274.80307881843902</v>
      </c>
      <c r="C22" t="s">
        <v>89</v>
      </c>
      <c r="D22" t="s">
        <v>94</v>
      </c>
      <c r="E22" s="127">
        <f>$B$3*$E$26+SIGN($E$18)*0.5*$B$7*$E$26*$E$26+($E$27-$E$26)*$E$21 + $E$21*(B6-$E$27) + SIGN($E$19)*0.5*$B$7*(B6-$E$27)*(B6-$E$27)</f>
        <v>275.19622621756969</v>
      </c>
      <c r="F22" s="127">
        <f>$B$3*$F$26+SIGN($F$18)*0.5*$B$7*$F$26*$F$26+($F$27-$F$26)*$F$21 + $F$21*(B6-$F$27) + SIGN($F$19)*0.5*$B$7*(B6-$F$27)*(B6-$F$27)</f>
        <v>273.8000000000003</v>
      </c>
      <c r="G22" s="127">
        <f>$B$3*$G$26+SIGN($G$18)*0.5*$B$7*$G$26*$G$26+($G$27-$G$26)*$G$21 + $G$21*(G20-$G$27) + SIGN($G$19)*0.5*$B$7*(G20-$G$27)*(G20-$G$27)</f>
        <v>273.7999999999999</v>
      </c>
      <c r="H22" s="127" t="e">
        <f>$B$3*$H$26+SIGN($H$18)*0.5*$B$7*$H$26*$H$26+($H$27-$H$26)*$H$21 + $H$21*(H20-$H$27) + SIGN($H$19)*0.5*$B$7*(H20-$H$27)*(H20-$H$27)</f>
        <v>#NUM!</v>
      </c>
      <c r="I22">
        <f>$B$3*$I$26+SIGN($I$18)*0.5*$B$7*$I$26*$I$26+($I$27-$I$26)*$I$21 + $I$21*(B6-$I$27) + SIGN($I$19)*0.5*$B$7*(B6-$I$27)*(B6-$I$27)</f>
        <v>320.06480250000004</v>
      </c>
      <c r="J22" t="s">
        <v>116</v>
      </c>
      <c r="K22">
        <f>(B5-B3*I18-0.5*B7*I18*I18)/B4+I18</f>
        <v>1369.3240125</v>
      </c>
      <c r="L22" t="s">
        <v>124</v>
      </c>
      <c r="M22">
        <f>B3</f>
        <v>0.21609999999999999</v>
      </c>
      <c r="N22" s="3">
        <f>I21</f>
        <v>0.2</v>
      </c>
      <c r="O22" s="3">
        <f>I21</f>
        <v>0.2</v>
      </c>
      <c r="P22" s="3">
        <f>I21</f>
        <v>0.2</v>
      </c>
    </row>
    <row r="23" spans="1:72" ht="15.6" x14ac:dyDescent="0.35">
      <c r="A23" t="s">
        <v>84</v>
      </c>
      <c r="B23">
        <f>B21+B19*B7</f>
        <v>0.2</v>
      </c>
      <c r="C23" t="s">
        <v>85</v>
      </c>
      <c r="D23" t="s">
        <v>84</v>
      </c>
      <c r="E23" s="3">
        <f>E21+E19*B7</f>
        <v>0.2</v>
      </c>
      <c r="F23" s="3">
        <f>F21+F19*B7</f>
        <v>0.2</v>
      </c>
      <c r="G23" s="3">
        <f>G21+G19*B7</f>
        <v>0.19999999999999984</v>
      </c>
      <c r="H23" s="3" t="e">
        <f>H21+H19*B7</f>
        <v>#NUM!</v>
      </c>
      <c r="I23" s="3">
        <f>I21+I19*B7</f>
        <v>0.2</v>
      </c>
      <c r="J23" t="s">
        <v>117</v>
      </c>
      <c r="K23" s="3">
        <f>SQRT(B3*B3 +2*B5*B7)</f>
        <v>1.0685968416573204</v>
      </c>
    </row>
    <row r="24" spans="1:72" ht="15.6" x14ac:dyDescent="0.35">
      <c r="A24" t="s">
        <v>121</v>
      </c>
      <c r="B24">
        <f>(B5-0.5*(B4-B3)*(B4-B3)/B7)/B3</f>
        <v>1266.706142989357</v>
      </c>
      <c r="E24">
        <f>(B5+0.5*B7*E10*E10)/B3</f>
        <v>1267.3058884775567</v>
      </c>
      <c r="J24" t="s">
        <v>119</v>
      </c>
      <c r="K24" s="3" t="e">
        <f>SQRT(B3*B3 -2*B5*B7)</f>
        <v>#NUM!</v>
      </c>
    </row>
    <row r="25" spans="1:72" x14ac:dyDescent="0.3">
      <c r="K25" s="3"/>
    </row>
    <row r="26" spans="1:72" ht="15.6" x14ac:dyDescent="0.35">
      <c r="A26" t="s">
        <v>105</v>
      </c>
      <c r="B26" s="127">
        <f>ABS(B18)</f>
        <v>22.395075557352065</v>
      </c>
      <c r="C26" t="s">
        <v>90</v>
      </c>
      <c r="E26" s="127">
        <f>ABS(E18)</f>
        <v>22.269339653504748</v>
      </c>
      <c r="F26" s="127">
        <f>ABS(F18)</f>
        <v>22.715970630058479</v>
      </c>
      <c r="G26" s="127">
        <f>ABS(G18)</f>
        <v>276.31623323335776</v>
      </c>
      <c r="H26" s="127" t="e">
        <f>ABS(H18)</f>
        <v>#NUM!</v>
      </c>
      <c r="I26" s="127">
        <f>ABS(I18)</f>
        <v>8.0499999999999883</v>
      </c>
    </row>
    <row r="27" spans="1:72" ht="15.6" x14ac:dyDescent="0.35">
      <c r="A27" t="s">
        <v>106</v>
      </c>
      <c r="B27" s="127">
        <f>B6-ABS(B19)</f>
        <v>1585.6549244426478</v>
      </c>
      <c r="C27" t="s">
        <v>90</v>
      </c>
      <c r="E27" s="127">
        <f>B6-ABS(E19)</f>
        <v>1585.7806603464953</v>
      </c>
      <c r="F27" s="127">
        <f>B6-ABS(F19)</f>
        <v>1585.3340293699416</v>
      </c>
      <c r="G27" s="127">
        <f>G26</f>
        <v>276.31623323335776</v>
      </c>
      <c r="H27" s="127" t="e">
        <f>H26</f>
        <v>#NUM!</v>
      </c>
      <c r="I27" s="127">
        <f>B6-ABS(I19)</f>
        <v>1600</v>
      </c>
    </row>
    <row r="28" spans="1:72" ht="15.6" x14ac:dyDescent="0.35">
      <c r="A28" s="128" t="s">
        <v>97</v>
      </c>
      <c r="B28" t="s">
        <v>98</v>
      </c>
      <c r="J28">
        <v>0</v>
      </c>
      <c r="K28">
        <f>(J28+$B$6/50)</f>
        <v>32</v>
      </c>
      <c r="L28">
        <f>(K28+$B$6/50)</f>
        <v>64</v>
      </c>
      <c r="M28">
        <f t="shared" ref="M28:BH28" si="0">(L28+$B$6/50)</f>
        <v>96</v>
      </c>
      <c r="N28">
        <f t="shared" si="0"/>
        <v>128</v>
      </c>
      <c r="O28">
        <f t="shared" si="0"/>
        <v>160</v>
      </c>
      <c r="P28">
        <f t="shared" si="0"/>
        <v>192</v>
      </c>
      <c r="Q28">
        <f t="shared" si="0"/>
        <v>224</v>
      </c>
      <c r="R28">
        <f t="shared" si="0"/>
        <v>256</v>
      </c>
      <c r="S28">
        <f t="shared" si="0"/>
        <v>288</v>
      </c>
      <c r="T28">
        <f t="shared" si="0"/>
        <v>320</v>
      </c>
      <c r="U28">
        <f t="shared" si="0"/>
        <v>352</v>
      </c>
      <c r="V28">
        <f t="shared" si="0"/>
        <v>384</v>
      </c>
      <c r="W28">
        <f t="shared" si="0"/>
        <v>416</v>
      </c>
      <c r="X28">
        <f t="shared" si="0"/>
        <v>448</v>
      </c>
      <c r="Y28">
        <f t="shared" si="0"/>
        <v>480</v>
      </c>
      <c r="Z28">
        <f t="shared" si="0"/>
        <v>512</v>
      </c>
      <c r="AA28">
        <f t="shared" si="0"/>
        <v>544</v>
      </c>
      <c r="AB28">
        <f t="shared" si="0"/>
        <v>576</v>
      </c>
      <c r="AC28">
        <f t="shared" si="0"/>
        <v>608</v>
      </c>
      <c r="AD28">
        <f t="shared" si="0"/>
        <v>640</v>
      </c>
      <c r="AE28">
        <f t="shared" si="0"/>
        <v>672</v>
      </c>
      <c r="AF28">
        <f t="shared" si="0"/>
        <v>704</v>
      </c>
      <c r="AG28">
        <f t="shared" si="0"/>
        <v>736</v>
      </c>
      <c r="AH28">
        <f t="shared" si="0"/>
        <v>768</v>
      </c>
      <c r="AI28">
        <f t="shared" si="0"/>
        <v>800</v>
      </c>
      <c r="AJ28">
        <f t="shared" si="0"/>
        <v>832</v>
      </c>
      <c r="AK28">
        <f t="shared" si="0"/>
        <v>864</v>
      </c>
      <c r="AL28">
        <f t="shared" si="0"/>
        <v>896</v>
      </c>
      <c r="AM28">
        <f t="shared" si="0"/>
        <v>928</v>
      </c>
      <c r="AN28">
        <f t="shared" si="0"/>
        <v>960</v>
      </c>
      <c r="AO28">
        <f t="shared" si="0"/>
        <v>992</v>
      </c>
      <c r="AP28">
        <f t="shared" si="0"/>
        <v>1024</v>
      </c>
      <c r="AQ28">
        <f t="shared" si="0"/>
        <v>1056</v>
      </c>
      <c r="AR28">
        <f t="shared" si="0"/>
        <v>1088</v>
      </c>
      <c r="AS28">
        <f t="shared" si="0"/>
        <v>1120</v>
      </c>
      <c r="AT28">
        <f t="shared" si="0"/>
        <v>1152</v>
      </c>
      <c r="AU28">
        <f t="shared" si="0"/>
        <v>1184</v>
      </c>
      <c r="AV28">
        <f t="shared" si="0"/>
        <v>1216</v>
      </c>
      <c r="AW28">
        <f t="shared" si="0"/>
        <v>1248</v>
      </c>
      <c r="AX28">
        <f t="shared" si="0"/>
        <v>1280</v>
      </c>
      <c r="AY28">
        <f t="shared" si="0"/>
        <v>1312</v>
      </c>
      <c r="AZ28">
        <f t="shared" si="0"/>
        <v>1344</v>
      </c>
      <c r="BA28">
        <f t="shared" si="0"/>
        <v>1376</v>
      </c>
      <c r="BB28">
        <f t="shared" si="0"/>
        <v>1408</v>
      </c>
      <c r="BC28">
        <f t="shared" si="0"/>
        <v>1440</v>
      </c>
      <c r="BD28">
        <f t="shared" si="0"/>
        <v>1472</v>
      </c>
      <c r="BE28">
        <f t="shared" si="0"/>
        <v>1504</v>
      </c>
      <c r="BF28">
        <f t="shared" si="0"/>
        <v>1536</v>
      </c>
      <c r="BG28">
        <f t="shared" si="0"/>
        <v>1568</v>
      </c>
      <c r="BH28">
        <f t="shared" si="0"/>
        <v>1600</v>
      </c>
    </row>
    <row r="29" spans="1:72" ht="15.6" x14ac:dyDescent="0.35">
      <c r="A29" s="128" t="s">
        <v>99</v>
      </c>
      <c r="B29" s="129" t="s">
        <v>100</v>
      </c>
      <c r="I29" t="s">
        <v>103</v>
      </c>
      <c r="J29" s="127">
        <f>IF(J28&lt;ABS($B$18),$B$3+SIGN($B$18)*J$28*$B$7,IF(J28&lt;$B$6-ABS($B$19),$B$21,$B$21+SIGN($B$19)*(J28-($B$6-ABS($B$19)))*$B$7))</f>
        <v>0.21609999999999999</v>
      </c>
      <c r="K29" s="127">
        <f t="shared" ref="K29:BH29" si="1">IF(K28&lt;ABS($B$18),$B$3+SIGN($B$18)*K$28*$B$7,IF(K28&lt;$B$6-ABS($B$19),$B$21,$B$21+SIGN($B$19)*(K28-($B$6-ABS($B$19)))*$B$7))</f>
        <v>0.17130984888529585</v>
      </c>
      <c r="L29" s="127">
        <f t="shared" si="1"/>
        <v>0.17130984888529585</v>
      </c>
      <c r="M29" s="127">
        <f t="shared" si="1"/>
        <v>0.17130984888529585</v>
      </c>
      <c r="N29" s="127">
        <f t="shared" si="1"/>
        <v>0.17130984888529585</v>
      </c>
      <c r="O29" s="127">
        <f t="shared" si="1"/>
        <v>0.17130984888529585</v>
      </c>
      <c r="P29" s="127">
        <f t="shared" si="1"/>
        <v>0.17130984888529585</v>
      </c>
      <c r="Q29" s="127">
        <f t="shared" si="1"/>
        <v>0.17130984888529585</v>
      </c>
      <c r="R29" s="127">
        <f t="shared" si="1"/>
        <v>0.17130984888529585</v>
      </c>
      <c r="S29" s="127">
        <f t="shared" si="1"/>
        <v>0.17130984888529585</v>
      </c>
      <c r="T29" s="127">
        <f t="shared" si="1"/>
        <v>0.17130984888529585</v>
      </c>
      <c r="U29" s="127">
        <f t="shared" si="1"/>
        <v>0.17130984888529585</v>
      </c>
      <c r="V29" s="127">
        <f t="shared" si="1"/>
        <v>0.17130984888529585</v>
      </c>
      <c r="W29" s="127">
        <f t="shared" si="1"/>
        <v>0.17130984888529585</v>
      </c>
      <c r="X29" s="127">
        <f t="shared" si="1"/>
        <v>0.17130984888529585</v>
      </c>
      <c r="Y29" s="127">
        <f t="shared" si="1"/>
        <v>0.17130984888529585</v>
      </c>
      <c r="Z29" s="127">
        <f t="shared" si="1"/>
        <v>0.17130984888529585</v>
      </c>
      <c r="AA29" s="127">
        <f t="shared" si="1"/>
        <v>0.17130984888529585</v>
      </c>
      <c r="AB29" s="127">
        <f t="shared" si="1"/>
        <v>0.17130984888529585</v>
      </c>
      <c r="AC29" s="127">
        <f t="shared" si="1"/>
        <v>0.17130984888529585</v>
      </c>
      <c r="AD29" s="127">
        <f t="shared" si="1"/>
        <v>0.17130984888529585</v>
      </c>
      <c r="AE29" s="127">
        <f t="shared" si="1"/>
        <v>0.17130984888529585</v>
      </c>
      <c r="AF29" s="127">
        <f t="shared" si="1"/>
        <v>0.17130984888529585</v>
      </c>
      <c r="AG29" s="127">
        <f t="shared" si="1"/>
        <v>0.17130984888529585</v>
      </c>
      <c r="AH29" s="127">
        <f t="shared" si="1"/>
        <v>0.17130984888529585</v>
      </c>
      <c r="AI29" s="127">
        <f t="shared" si="1"/>
        <v>0.17130984888529585</v>
      </c>
      <c r="AJ29" s="127">
        <f t="shared" si="1"/>
        <v>0.17130984888529585</v>
      </c>
      <c r="AK29" s="127">
        <f t="shared" si="1"/>
        <v>0.17130984888529585</v>
      </c>
      <c r="AL29" s="127">
        <f t="shared" si="1"/>
        <v>0.17130984888529585</v>
      </c>
      <c r="AM29" s="127">
        <f t="shared" si="1"/>
        <v>0.17130984888529585</v>
      </c>
      <c r="AN29" s="127">
        <f t="shared" si="1"/>
        <v>0.17130984888529585</v>
      </c>
      <c r="AO29" s="127">
        <f t="shared" si="1"/>
        <v>0.17130984888529585</v>
      </c>
      <c r="AP29" s="127">
        <f t="shared" si="1"/>
        <v>0.17130984888529585</v>
      </c>
      <c r="AQ29" s="127">
        <f t="shared" si="1"/>
        <v>0.17130984888529585</v>
      </c>
      <c r="AR29" s="127">
        <f t="shared" si="1"/>
        <v>0.17130984888529585</v>
      </c>
      <c r="AS29" s="127">
        <f t="shared" si="1"/>
        <v>0.17130984888529585</v>
      </c>
      <c r="AT29" s="127">
        <f t="shared" si="1"/>
        <v>0.17130984888529585</v>
      </c>
      <c r="AU29" s="127">
        <f t="shared" si="1"/>
        <v>0.17130984888529585</v>
      </c>
      <c r="AV29" s="127">
        <f t="shared" si="1"/>
        <v>0.17130984888529585</v>
      </c>
      <c r="AW29" s="127">
        <f t="shared" si="1"/>
        <v>0.17130984888529585</v>
      </c>
      <c r="AX29" s="127">
        <f t="shared" si="1"/>
        <v>0.17130984888529585</v>
      </c>
      <c r="AY29" s="127">
        <f t="shared" si="1"/>
        <v>0.17130984888529585</v>
      </c>
      <c r="AZ29" s="127">
        <f t="shared" si="1"/>
        <v>0.17130984888529585</v>
      </c>
      <c r="BA29" s="127">
        <f t="shared" si="1"/>
        <v>0.17130984888529585</v>
      </c>
      <c r="BB29" s="127">
        <f t="shared" si="1"/>
        <v>0.17130984888529585</v>
      </c>
      <c r="BC29" s="127">
        <f t="shared" si="1"/>
        <v>0.17130984888529585</v>
      </c>
      <c r="BD29" s="127">
        <f t="shared" si="1"/>
        <v>0.17130984888529585</v>
      </c>
      <c r="BE29" s="127">
        <f t="shared" si="1"/>
        <v>0.17130984888529585</v>
      </c>
      <c r="BF29" s="127">
        <f t="shared" si="1"/>
        <v>0.17130984888529585</v>
      </c>
      <c r="BG29" s="127">
        <f t="shared" si="1"/>
        <v>0.17130984888529585</v>
      </c>
      <c r="BH29" s="127">
        <f t="shared" si="1"/>
        <v>0.20000000000000021</v>
      </c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</row>
    <row r="30" spans="1:72" ht="15.6" x14ac:dyDescent="0.35">
      <c r="A30" s="128" t="s">
        <v>101</v>
      </c>
      <c r="B30" s="129" t="s">
        <v>102</v>
      </c>
      <c r="I30" t="s">
        <v>104</v>
      </c>
      <c r="J30">
        <f>IF(J28&lt;$B$26,
$B$3*J28+SIGN($B$18)*0.5*$B$7*J28*J28,
IF(J28&lt;$B$27,
$B$3*$B$26+SIGN($B$18)*0.5*$B$7*$B$26*$B$26+(J28-$B$26)*$B$21,
$B$3*$B$26+SIGN($B$18)*0.5*$B$7*$B$26*$B$26+($B$27-$B$26)*$B$21 + $B$21*(J28-$B$27) + SIGN($B$19)*0.5*$B$7*(J28-$B$27)*(J28-$B$27)))</f>
        <v>0</v>
      </c>
      <c r="K30">
        <f t="shared" ref="K30:BH30" si="2">IF(K28&lt;$B$26,
$B$3*K28+SIGN($B$18)*0.5*$B$7*K28*K28,
IF(K28&lt;$B$27,
$B$3*$B$26+SIGN($B$18)*0.5*$B$7*$B$26*$B$26+(K28-$B$26)*$B$21,
$B$3*$B$26+SIGN($B$18)*0.5*$B$7*$B$26*$B$26+($B$27-$B$26)*$B$21 + $B$21*(K28-$B$27) + SIGN($B$19)*0.5*$B$7*(K28-$B$27)*(K28-$B$27)))</f>
        <v>5.9834545735489755</v>
      </c>
      <c r="L30">
        <f t="shared" si="2"/>
        <v>11.465369737878442</v>
      </c>
      <c r="M30">
        <f t="shared" si="2"/>
        <v>16.947284902207908</v>
      </c>
      <c r="N30">
        <f t="shared" si="2"/>
        <v>22.429200066537376</v>
      </c>
      <c r="O30">
        <f t="shared" si="2"/>
        <v>27.911115230866841</v>
      </c>
      <c r="P30">
        <f t="shared" si="2"/>
        <v>33.393030395196313</v>
      </c>
      <c r="Q30">
        <f t="shared" si="2"/>
        <v>38.874945559525777</v>
      </c>
      <c r="R30">
        <f t="shared" si="2"/>
        <v>44.356860723855242</v>
      </c>
      <c r="S30">
        <f t="shared" si="2"/>
        <v>49.838775888184713</v>
      </c>
      <c r="T30">
        <f t="shared" si="2"/>
        <v>55.320691052514178</v>
      </c>
      <c r="U30">
        <f t="shared" si="2"/>
        <v>60.802606216843643</v>
      </c>
      <c r="V30">
        <f t="shared" si="2"/>
        <v>66.284521381173121</v>
      </c>
      <c r="W30">
        <f t="shared" si="2"/>
        <v>71.766436545502586</v>
      </c>
      <c r="X30">
        <f t="shared" si="2"/>
        <v>77.24835170983205</v>
      </c>
      <c r="Y30">
        <f t="shared" si="2"/>
        <v>82.730266874161515</v>
      </c>
      <c r="Z30">
        <f t="shared" si="2"/>
        <v>88.21218203849098</v>
      </c>
      <c r="AA30">
        <f t="shared" si="2"/>
        <v>93.694097202820458</v>
      </c>
      <c r="AB30">
        <f t="shared" si="2"/>
        <v>99.176012367149923</v>
      </c>
      <c r="AC30">
        <f t="shared" si="2"/>
        <v>104.65792753147939</v>
      </c>
      <c r="AD30">
        <f t="shared" si="2"/>
        <v>110.13984269580887</v>
      </c>
      <c r="AE30">
        <f t="shared" si="2"/>
        <v>115.62175786013833</v>
      </c>
      <c r="AF30">
        <f t="shared" si="2"/>
        <v>121.1036730244678</v>
      </c>
      <c r="AG30">
        <f t="shared" si="2"/>
        <v>126.58558818879726</v>
      </c>
      <c r="AH30">
        <f t="shared" si="2"/>
        <v>132.06750335312674</v>
      </c>
      <c r="AI30">
        <f t="shared" si="2"/>
        <v>137.54941851745619</v>
      </c>
      <c r="AJ30">
        <f t="shared" si="2"/>
        <v>143.03133368178567</v>
      </c>
      <c r="AK30">
        <f t="shared" si="2"/>
        <v>148.51324884611512</v>
      </c>
      <c r="AL30">
        <f t="shared" si="2"/>
        <v>153.9951640104446</v>
      </c>
      <c r="AM30">
        <f t="shared" si="2"/>
        <v>159.47707917477408</v>
      </c>
      <c r="AN30">
        <f t="shared" si="2"/>
        <v>164.95899433910353</v>
      </c>
      <c r="AO30">
        <f t="shared" si="2"/>
        <v>170.44090950343301</v>
      </c>
      <c r="AP30">
        <f t="shared" si="2"/>
        <v>175.92282466776246</v>
      </c>
      <c r="AQ30">
        <f t="shared" si="2"/>
        <v>181.40473983209191</v>
      </c>
      <c r="AR30">
        <f t="shared" si="2"/>
        <v>186.88665499642138</v>
      </c>
      <c r="AS30">
        <f t="shared" si="2"/>
        <v>192.36857016075086</v>
      </c>
      <c r="AT30">
        <f t="shared" si="2"/>
        <v>197.85048532508031</v>
      </c>
      <c r="AU30">
        <f t="shared" si="2"/>
        <v>203.33240048940979</v>
      </c>
      <c r="AV30">
        <f t="shared" si="2"/>
        <v>208.81431565373924</v>
      </c>
      <c r="AW30">
        <f t="shared" si="2"/>
        <v>214.29623081806872</v>
      </c>
      <c r="AX30">
        <f t="shared" si="2"/>
        <v>219.77814598239817</v>
      </c>
      <c r="AY30">
        <f t="shared" si="2"/>
        <v>225.26006114672765</v>
      </c>
      <c r="AZ30">
        <f t="shared" si="2"/>
        <v>230.74197631105713</v>
      </c>
      <c r="BA30">
        <f t="shared" si="2"/>
        <v>236.22389147538658</v>
      </c>
      <c r="BB30">
        <f t="shared" si="2"/>
        <v>241.70580663971606</v>
      </c>
      <c r="BC30">
        <f t="shared" si="2"/>
        <v>247.18772180404551</v>
      </c>
      <c r="BD30">
        <f t="shared" si="2"/>
        <v>252.66963696837499</v>
      </c>
      <c r="BE30">
        <f t="shared" si="2"/>
        <v>258.15155213270447</v>
      </c>
      <c r="BF30">
        <f t="shared" si="2"/>
        <v>263.63346729703397</v>
      </c>
      <c r="BG30">
        <f t="shared" si="2"/>
        <v>269.11538246136342</v>
      </c>
      <c r="BH30">
        <f t="shared" si="2"/>
        <v>274.80307881843902</v>
      </c>
    </row>
    <row r="31" spans="1:72" x14ac:dyDescent="0.3">
      <c r="B31" s="58"/>
      <c r="I31" t="s">
        <v>113</v>
      </c>
    </row>
    <row r="32" spans="1:72" x14ac:dyDescent="0.3">
      <c r="B32" s="58"/>
      <c r="I32" t="s">
        <v>114</v>
      </c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2017-02-10T15:45:50Z</dcterms:modified>
</cp:coreProperties>
</file>