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 activeTab="2"/>
  </bookViews>
  <sheets>
    <sheet name="Kinematik" sheetId="1" r:id="rId1"/>
    <sheet name="Theory Sources" sheetId="2" r:id="rId2"/>
    <sheet name="Trajectory Speed profile" sheetId="3" r:id="rId3"/>
  </sheets>
  <calcPr calcId="152511"/>
</workbook>
</file>

<file path=xl/calcChain.xml><?xml version="1.0" encoding="utf-8"?>
<calcChain xmlns="http://schemas.openxmlformats.org/spreadsheetml/2006/main">
  <c r="E16" i="3" l="1"/>
  <c r="B9" i="3" l="1"/>
  <c r="B13" i="3" l="1"/>
  <c r="B10" i="3"/>
  <c r="B12" i="3" s="1"/>
  <c r="B11" i="3" l="1"/>
  <c r="C13" i="3" s="1"/>
  <c r="E17" i="3" l="1"/>
  <c r="B16" i="3" s="1"/>
  <c r="B14" i="3"/>
  <c r="C14" i="3"/>
  <c r="I24" i="3"/>
  <c r="J24" i="3" s="1"/>
  <c r="K24" i="3" s="1"/>
  <c r="L24" i="3" l="1"/>
  <c r="K16" i="3"/>
  <c r="K15" i="3"/>
  <c r="H16" i="3"/>
  <c r="M24" i="3" l="1"/>
  <c r="T62" i="1" a="1"/>
  <c r="T62" i="1" s="1"/>
  <c r="V53" i="1"/>
  <c r="N24" i="3" l="1"/>
  <c r="V65" i="1"/>
  <c r="T63" i="1"/>
  <c r="T64" i="1"/>
  <c r="T65" i="1"/>
  <c r="V63" i="1"/>
  <c r="U62" i="1"/>
  <c r="U64" i="1"/>
  <c r="U65" i="1"/>
  <c r="V62" i="1"/>
  <c r="V64" i="1"/>
  <c r="U63" i="1"/>
  <c r="F53" i="1"/>
  <c r="D53" i="1"/>
  <c r="H53" i="1"/>
  <c r="O24" i="3" l="1"/>
  <c r="N53" i="1"/>
  <c r="P54" i="1"/>
  <c r="N54" i="1"/>
  <c r="N55" i="1"/>
  <c r="O53" i="1"/>
  <c r="O54" i="1"/>
  <c r="O55" i="1"/>
  <c r="P55" i="1"/>
  <c r="P53" i="1"/>
  <c r="P24" i="3" l="1"/>
  <c r="N58" i="1" a="1"/>
  <c r="G48" i="1"/>
  <c r="G43" i="1"/>
  <c r="Q24" i="3" l="1"/>
  <c r="N58" i="1"/>
  <c r="P58" i="1"/>
  <c r="N59" i="1"/>
  <c r="O60" i="1"/>
  <c r="N60" i="1"/>
  <c r="P59" i="1"/>
  <c r="P60" i="1"/>
  <c r="O58" i="1"/>
  <c r="O59" i="1"/>
  <c r="F79" i="1"/>
  <c r="R24" i="3" l="1"/>
  <c r="E125" i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S24" i="3" l="1"/>
  <c r="N141" i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T24" i="3" l="1"/>
  <c r="J139" i="1" a="1"/>
  <c r="R23" i="1" a="1"/>
  <c r="U23" i="1" s="1"/>
  <c r="Q29" i="1"/>
  <c r="P29" i="1"/>
  <c r="Q28" i="1"/>
  <c r="O29" i="1"/>
  <c r="P28" i="1"/>
  <c r="N28" i="1"/>
  <c r="N29" i="1"/>
  <c r="U24" i="3" l="1"/>
  <c r="L140" i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V24" i="3" l="1"/>
  <c r="B144" i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W24" i="3" l="1"/>
  <c r="H144" i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X24" i="3" l="1"/>
  <c r="H146" i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Y24" i="3" l="1"/>
  <c r="R33" i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Z24" i="3" l="1"/>
  <c r="W34" i="1"/>
  <c r="W33" i="1" s="1"/>
  <c r="V36" i="1"/>
  <c r="V35" i="1"/>
  <c r="V34" i="1"/>
  <c r="V33" i="1"/>
  <c r="R38" i="1" a="1"/>
  <c r="AA24" i="3" l="1"/>
  <c r="X33" i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AB24" i="3" l="1"/>
  <c r="W39" i="1"/>
  <c r="W38" i="1" s="1"/>
  <c r="V39" i="1"/>
  <c r="V38" i="1"/>
  <c r="V40" i="1"/>
  <c r="V41" i="1"/>
  <c r="R43" i="1" a="1"/>
  <c r="AC24" i="3" l="1"/>
  <c r="W40" i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AD24" i="3" l="1"/>
  <c r="W44" i="1"/>
  <c r="V45" i="1"/>
  <c r="V44" i="1"/>
  <c r="V43" i="1"/>
  <c r="V46" i="1"/>
  <c r="R48" i="1" a="1"/>
  <c r="AE24" i="3" l="1"/>
  <c r="W45" i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AF24" i="3" l="1"/>
  <c r="R53" i="1" a="1"/>
  <c r="T56" i="1" s="1"/>
  <c r="V50" i="1"/>
  <c r="G10" i="1" s="1"/>
  <c r="V48" i="1"/>
  <c r="G8" i="1" s="1"/>
  <c r="W49" i="1"/>
  <c r="V49" i="1"/>
  <c r="G9" i="1" s="1"/>
  <c r="V51" i="1"/>
  <c r="AG24" i="3" l="1"/>
  <c r="U53" i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AH24" i="3" l="1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N64" i="1" s="1" a="1"/>
  <c r="N66" i="1" s="1"/>
  <c r="P72" i="1" s="1"/>
  <c r="C65" i="1"/>
  <c r="AI24" i="3" l="1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AJ24" i="3" l="1"/>
  <c r="O64" i="1" a="1"/>
  <c r="O64" i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AK24" i="3" l="1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AL24" i="3" l="1"/>
  <c r="M145" i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AM24" i="3" l="1"/>
  <c r="B91" i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AN24" i="3" l="1"/>
  <c r="S144" i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AO24" i="3" l="1"/>
  <c r="D150" i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AP24" i="3" l="1"/>
  <c r="G150" i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AQ24" i="3" l="1"/>
  <c r="J150" i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AR24" i="3" l="1"/>
  <c r="S134" i="1"/>
  <c r="O134" i="1"/>
  <c r="O128" i="1"/>
  <c r="S129" i="1"/>
  <c r="AS24" i="3" l="1"/>
  <c r="AT24" i="3" l="1"/>
  <c r="AU24" i="3" l="1"/>
  <c r="AV24" i="3" l="1"/>
  <c r="AW24" i="3" l="1"/>
  <c r="AX24" i="3" l="1"/>
  <c r="AY24" i="3" l="1"/>
  <c r="AZ24" i="3" l="1"/>
  <c r="BA24" i="3" l="1"/>
  <c r="BB24" i="3" l="1"/>
  <c r="BC24" i="3" l="1"/>
  <c r="BD24" i="3" l="1"/>
  <c r="BE24" i="3" l="1"/>
  <c r="BF24" i="3" l="1"/>
  <c r="B18" i="3" l="1"/>
  <c r="AJ27" i="3" s="1"/>
  <c r="B22" i="3"/>
  <c r="H25" i="3"/>
  <c r="AP27" i="3"/>
  <c r="BC27" i="3"/>
  <c r="I15" i="3"/>
  <c r="AS27" i="3"/>
  <c r="B17" i="3"/>
  <c r="J25" i="3" s="1"/>
  <c r="AT27" i="3"/>
  <c r="AD27" i="3"/>
  <c r="AI27" i="3"/>
  <c r="S27" i="3"/>
  <c r="AY27" i="3" l="1"/>
  <c r="X27" i="3"/>
  <c r="AW27" i="3"/>
  <c r="N27" i="3"/>
  <c r="U27" i="3"/>
  <c r="BD27" i="3"/>
  <c r="AQ27" i="3"/>
  <c r="V27" i="3"/>
  <c r="BB27" i="3"/>
  <c r="AC27" i="3"/>
  <c r="AN27" i="3"/>
  <c r="K27" i="3"/>
  <c r="AB27" i="3"/>
  <c r="AA27" i="3"/>
  <c r="J27" i="3"/>
  <c r="AL27" i="3"/>
  <c r="L27" i="3"/>
  <c r="AE27" i="3"/>
  <c r="Q27" i="3"/>
  <c r="I25" i="3"/>
  <c r="AO25" i="3"/>
  <c r="Q25" i="3"/>
  <c r="AW25" i="3"/>
  <c r="L25" i="3"/>
  <c r="Y25" i="3"/>
  <c r="BE25" i="3"/>
  <c r="R25" i="3"/>
  <c r="AG25" i="3"/>
  <c r="AX25" i="3"/>
  <c r="AK27" i="3"/>
  <c r="P27" i="3"/>
  <c r="AV27" i="3"/>
  <c r="AM27" i="3"/>
  <c r="Z27" i="3"/>
  <c r="AG27" i="3"/>
  <c r="AR27" i="3"/>
  <c r="BA27" i="3"/>
  <c r="AF27" i="3"/>
  <c r="W27" i="3"/>
  <c r="BF27" i="3"/>
  <c r="M27" i="3"/>
  <c r="AH25" i="3"/>
  <c r="K25" i="3"/>
  <c r="AH27" i="3"/>
  <c r="I27" i="3"/>
  <c r="AO27" i="3"/>
  <c r="T27" i="3"/>
  <c r="AZ27" i="3"/>
  <c r="O27" i="3"/>
  <c r="AU27" i="3"/>
  <c r="R27" i="3"/>
  <c r="AX27" i="3"/>
  <c r="Y27" i="3"/>
  <c r="BE27" i="3"/>
  <c r="B23" i="3"/>
  <c r="AS26" i="3" s="1"/>
  <c r="J15" i="3"/>
  <c r="S25" i="3"/>
  <c r="AY25" i="3"/>
  <c r="AR25" i="3"/>
  <c r="AS25" i="3"/>
  <c r="AL25" i="3"/>
  <c r="AE25" i="3"/>
  <c r="X25" i="3"/>
  <c r="BD25" i="3"/>
  <c r="AP25" i="3"/>
  <c r="AA25" i="3"/>
  <c r="T25" i="3"/>
  <c r="AZ25" i="3"/>
  <c r="U25" i="3"/>
  <c r="BA25" i="3"/>
  <c r="N25" i="3"/>
  <c r="AT25" i="3"/>
  <c r="AM25" i="3"/>
  <c r="AF25" i="3"/>
  <c r="N26" i="3"/>
  <c r="H27" i="3"/>
  <c r="H26" i="3"/>
  <c r="AI25" i="3"/>
  <c r="AB25" i="3"/>
  <c r="AC25" i="3"/>
  <c r="V25" i="3"/>
  <c r="BB25" i="3"/>
  <c r="O25" i="3"/>
  <c r="AU25" i="3"/>
  <c r="AN25" i="3"/>
  <c r="I16" i="3"/>
  <c r="J16" i="3" s="1"/>
  <c r="B20" i="3"/>
  <c r="B19" i="3"/>
  <c r="Z25" i="3"/>
  <c r="BF25" i="3"/>
  <c r="AQ25" i="3"/>
  <c r="AJ25" i="3"/>
  <c r="AK25" i="3"/>
  <c r="AD25" i="3"/>
  <c r="W25" i="3"/>
  <c r="BC25" i="3"/>
  <c r="P25" i="3"/>
  <c r="AV25" i="3"/>
  <c r="M25" i="3"/>
  <c r="Y26" i="3" l="1"/>
  <c r="AY26" i="3"/>
  <c r="P26" i="3"/>
  <c r="S26" i="3"/>
  <c r="AU26" i="3"/>
  <c r="AQ26" i="3"/>
  <c r="I26" i="3"/>
  <c r="AE26" i="3"/>
  <c r="AA26" i="3"/>
  <c r="AP26" i="3"/>
  <c r="AF26" i="3"/>
  <c r="AC26" i="3"/>
  <c r="AD26" i="3"/>
  <c r="T26" i="3"/>
  <c r="BA26" i="3"/>
  <c r="BD26" i="3"/>
  <c r="AH26" i="3"/>
  <c r="AN26" i="3"/>
  <c r="K26" i="3"/>
  <c r="BC26" i="3"/>
  <c r="AK26" i="3"/>
  <c r="AW26" i="3"/>
  <c r="AR26" i="3"/>
  <c r="R26" i="3"/>
  <c r="X26" i="3"/>
  <c r="D5" i="3"/>
  <c r="BE26" i="3"/>
  <c r="AZ26" i="3"/>
  <c r="AM26" i="3"/>
  <c r="Z26" i="3"/>
  <c r="U26" i="3"/>
  <c r="AL26" i="3"/>
  <c r="AG26" i="3"/>
  <c r="AI26" i="3"/>
  <c r="AB26" i="3"/>
  <c r="O26" i="3"/>
  <c r="BF26" i="3"/>
  <c r="M26" i="3"/>
  <c r="AT26" i="3"/>
  <c r="AO26" i="3"/>
  <c r="AJ26" i="3"/>
  <c r="W26" i="3"/>
  <c r="L26" i="3"/>
  <c r="AV26" i="3"/>
  <c r="V26" i="3"/>
  <c r="Q26" i="3"/>
  <c r="BB26" i="3"/>
  <c r="J26" i="3"/>
  <c r="AX26" i="3"/>
</calcChain>
</file>

<file path=xl/sharedStrings.xml><?xml version="1.0" encoding="utf-8"?>
<sst xmlns="http://schemas.openxmlformats.org/spreadsheetml/2006/main" count="145" uniqueCount="115">
  <si>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</si>
  <si>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</si>
  <si>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</si>
  <si>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</si>
  <si>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</si>
  <si>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</si>
  <si>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</si>
  <si>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</si>
  <si>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</si>
  <si>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</si>
  <si>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</si>
  <si>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</si>
  <si>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</si>
  <si>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</si>
  <si>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</si>
  <si>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</si>
  <si>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</si>
  <si>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</si>
  <si>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</si>
  <si>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</si>
  <si>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</si>
  <si>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</si>
  <si>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</si>
  <si>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</si>
  <si>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</si>
  <si>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</si>
  <si>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</si>
  <si>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</si>
  <si>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</si>
  <si>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</si>
  <si>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</si>
  <si>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</si>
  <si>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</si>
  <si>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</si>
  <si>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</si>
  <si>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</si>
  <si>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</si>
  <si>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</si>
  <si>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</si>
  <si>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</si>
  <si>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</si>
  <si>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</si>
  <si>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</si>
  <si>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</si>
  <si>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</si>
  <si>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</si>
  <si>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</si>
  <si>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</si>
  <si>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</si>
  <si>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</si>
  <si>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</si>
  <si>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</si>
  <si>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</si>
  <si>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</si>
  <si>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</si>
  <si>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</si>
  <si>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</si>
  <si>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</si>
  <si>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</si>
  <si>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</si>
  <si>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</si>
  <si>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</si>
  <si>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</si>
  <si>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</si>
  <si>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</si>
  <si>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</si>
  <si>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</si>
  <si>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</si>
  <si>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</si>
  <si>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</si>
  <si>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</si>
  <si>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</si>
  <si>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</si>
  <si>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</si>
  <si>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</si>
  <si>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</si>
  <si>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</si>
  <si>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</si>
  <si>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</si>
  <si>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</si>
  <si>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</si>
  <si>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</si>
  <si>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</si>
  <si>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</si>
  <si>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t>v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</si>
  <si>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</si>
  <si>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</si>
  <si>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</si>
  <si>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</si>
  <si>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</si>
  <si>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</si>
  <si>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</si>
  <si>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</si>
  <si>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</si>
  <si>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</si>
  <si>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</si>
  <si>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</si>
  <si>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</si>
  <si>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</si>
  <si>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</si>
  <si>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</si>
  <si>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</si>
  <si>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</si>
  <si>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</si>
  <si>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</si>
  <si>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t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</si>
  <si>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</si>
  <si>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</si>
  <si>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</si>
  <si>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</si>
  <si>
    <t>u</t>
  </si>
  <si>
    <t>c</t>
  </si>
  <si>
    <r>
      <t>v</t>
    </r>
    <r>
      <rPr>
        <vertAlign val="subscript"/>
        <sz val="11"/>
        <color theme="1"/>
        <rFont val="Calibri"/>
        <family val="2"/>
        <scheme val="minor"/>
      </rPr>
      <t>average</t>
    </r>
  </si>
  <si>
    <t>Monotron</t>
  </si>
  <si>
    <t>Trapez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</si>
</sst>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0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22608"/>
        <c:axId val="428525352"/>
      </c:scatterChart>
      <c:valAx>
        <c:axId val="428522608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428525352"/>
        <c:crosses val="autoZero"/>
        <c:crossBetween val="midCat"/>
        <c:majorUnit val="300"/>
      </c:valAx>
      <c:valAx>
        <c:axId val="428525352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428522608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19864"/>
        <c:axId val="337497864"/>
      </c:scatterChart>
      <c:valAx>
        <c:axId val="428519864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37497864"/>
        <c:crosses val="autoZero"/>
        <c:crossBetween val="midCat"/>
        <c:majorUnit val="500"/>
      </c:valAx>
      <c:valAx>
        <c:axId val="337497864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8519864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profile'!$H$15:$K$15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900</c:v>
                </c:pt>
                <c:pt idx="2" formatCode="0.000">
                  <c:v>1100</c:v>
                </c:pt>
                <c:pt idx="3" formatCode="General">
                  <c:v>4000</c:v>
                </c:pt>
              </c:numCache>
            </c:numRef>
          </c:xVal>
          <c:yVal>
            <c:numRef>
              <c:f>'Trajectory Speed profile'!$H$16:$K$16</c:f>
              <c:numCache>
                <c:formatCode>0.000</c:formatCode>
                <c:ptCount val="4"/>
                <c:pt idx="0" formatCode="General">
                  <c:v>0</c:v>
                </c:pt>
                <c:pt idx="1">
                  <c:v>-0.45</c:v>
                </c:pt>
                <c:pt idx="2">
                  <c:v>-0.45</c:v>
                </c:pt>
                <c:pt idx="3" formatCode="General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599176"/>
        <c:axId val="320599960"/>
      </c:scatterChart>
      <c:valAx>
        <c:axId val="320599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0599960"/>
        <c:crosses val="autoZero"/>
        <c:crossBetween val="midCat"/>
      </c:valAx>
      <c:valAx>
        <c:axId val="32059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0599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profile'!$H$24:$BF$24</c:f>
              <c:numCache>
                <c:formatCode>General</c:formatCode>
                <c:ptCount val="51"/>
                <c:pt idx="0">
                  <c:v>0</c:v>
                </c:pt>
                <c:pt idx="1">
                  <c:v>80</c:v>
                </c:pt>
                <c:pt idx="2">
                  <c:v>160</c:v>
                </c:pt>
                <c:pt idx="3">
                  <c:v>240</c:v>
                </c:pt>
                <c:pt idx="4">
                  <c:v>320</c:v>
                </c:pt>
                <c:pt idx="5">
                  <c:v>400</c:v>
                </c:pt>
                <c:pt idx="6">
                  <c:v>480</c:v>
                </c:pt>
                <c:pt idx="7">
                  <c:v>560</c:v>
                </c:pt>
                <c:pt idx="8">
                  <c:v>640</c:v>
                </c:pt>
                <c:pt idx="9">
                  <c:v>720</c:v>
                </c:pt>
                <c:pt idx="10">
                  <c:v>800</c:v>
                </c:pt>
                <c:pt idx="11">
                  <c:v>880</c:v>
                </c:pt>
                <c:pt idx="12">
                  <c:v>960</c:v>
                </c:pt>
                <c:pt idx="13">
                  <c:v>1040</c:v>
                </c:pt>
                <c:pt idx="14">
                  <c:v>1120</c:v>
                </c:pt>
                <c:pt idx="15">
                  <c:v>1200</c:v>
                </c:pt>
                <c:pt idx="16">
                  <c:v>1280</c:v>
                </c:pt>
                <c:pt idx="17">
                  <c:v>1360</c:v>
                </c:pt>
                <c:pt idx="18">
                  <c:v>1440</c:v>
                </c:pt>
                <c:pt idx="19">
                  <c:v>1520</c:v>
                </c:pt>
                <c:pt idx="20">
                  <c:v>1600</c:v>
                </c:pt>
                <c:pt idx="21">
                  <c:v>1680</c:v>
                </c:pt>
                <c:pt idx="22">
                  <c:v>1760</c:v>
                </c:pt>
                <c:pt idx="23">
                  <c:v>1840</c:v>
                </c:pt>
                <c:pt idx="24">
                  <c:v>1920</c:v>
                </c:pt>
                <c:pt idx="25">
                  <c:v>2000</c:v>
                </c:pt>
                <c:pt idx="26">
                  <c:v>2080</c:v>
                </c:pt>
                <c:pt idx="27">
                  <c:v>2160</c:v>
                </c:pt>
                <c:pt idx="28">
                  <c:v>2240</c:v>
                </c:pt>
                <c:pt idx="29">
                  <c:v>2320</c:v>
                </c:pt>
                <c:pt idx="30">
                  <c:v>2400</c:v>
                </c:pt>
                <c:pt idx="31">
                  <c:v>2480</c:v>
                </c:pt>
                <c:pt idx="32">
                  <c:v>2560</c:v>
                </c:pt>
                <c:pt idx="33">
                  <c:v>2640</c:v>
                </c:pt>
                <c:pt idx="34">
                  <c:v>2720</c:v>
                </c:pt>
                <c:pt idx="35">
                  <c:v>2800</c:v>
                </c:pt>
                <c:pt idx="36">
                  <c:v>2880</c:v>
                </c:pt>
                <c:pt idx="37">
                  <c:v>2960</c:v>
                </c:pt>
                <c:pt idx="38">
                  <c:v>3040</c:v>
                </c:pt>
                <c:pt idx="39">
                  <c:v>3120</c:v>
                </c:pt>
                <c:pt idx="40">
                  <c:v>3200</c:v>
                </c:pt>
                <c:pt idx="41">
                  <c:v>3280</c:v>
                </c:pt>
                <c:pt idx="42">
                  <c:v>3360</c:v>
                </c:pt>
                <c:pt idx="43">
                  <c:v>3440</c:v>
                </c:pt>
                <c:pt idx="44">
                  <c:v>3520</c:v>
                </c:pt>
                <c:pt idx="45">
                  <c:v>3600</c:v>
                </c:pt>
                <c:pt idx="46">
                  <c:v>3680</c:v>
                </c:pt>
                <c:pt idx="47">
                  <c:v>3760</c:v>
                </c:pt>
                <c:pt idx="48">
                  <c:v>3840</c:v>
                </c:pt>
                <c:pt idx="49">
                  <c:v>3920</c:v>
                </c:pt>
                <c:pt idx="50">
                  <c:v>4000</c:v>
                </c:pt>
              </c:numCache>
            </c:numRef>
          </c:xVal>
          <c:yVal>
            <c:numRef>
              <c:f>'Trajectory Speed profile'!$H$25:$BF$25</c:f>
              <c:numCache>
                <c:formatCode>0.00</c:formatCode>
                <c:ptCount val="51"/>
                <c:pt idx="0">
                  <c:v>0</c:v>
                </c:pt>
                <c:pt idx="1">
                  <c:v>-0.04</c:v>
                </c:pt>
                <c:pt idx="2">
                  <c:v>-0.08</c:v>
                </c:pt>
                <c:pt idx="3">
                  <c:v>-0.12</c:v>
                </c:pt>
                <c:pt idx="4">
                  <c:v>-0.16</c:v>
                </c:pt>
                <c:pt idx="5">
                  <c:v>-0.2</c:v>
                </c:pt>
                <c:pt idx="6">
                  <c:v>-0.24</c:v>
                </c:pt>
                <c:pt idx="7">
                  <c:v>-0.28000000000000003</c:v>
                </c:pt>
                <c:pt idx="8">
                  <c:v>-0.32</c:v>
                </c:pt>
                <c:pt idx="9">
                  <c:v>-0.36</c:v>
                </c:pt>
                <c:pt idx="10">
                  <c:v>-0.4</c:v>
                </c:pt>
                <c:pt idx="11">
                  <c:v>-0.44</c:v>
                </c:pt>
                <c:pt idx="12">
                  <c:v>-0.45</c:v>
                </c:pt>
                <c:pt idx="13">
                  <c:v>-0.45</c:v>
                </c:pt>
                <c:pt idx="14">
                  <c:v>-0.44</c:v>
                </c:pt>
                <c:pt idx="15">
                  <c:v>-0.4</c:v>
                </c:pt>
                <c:pt idx="16">
                  <c:v>-0.36</c:v>
                </c:pt>
                <c:pt idx="17">
                  <c:v>-0.32</c:v>
                </c:pt>
                <c:pt idx="18">
                  <c:v>-0.28000000000000003</c:v>
                </c:pt>
                <c:pt idx="19">
                  <c:v>-0.24000000000000002</c:v>
                </c:pt>
                <c:pt idx="20">
                  <c:v>-0.2</c:v>
                </c:pt>
                <c:pt idx="21">
                  <c:v>-0.16000000000000003</c:v>
                </c:pt>
                <c:pt idx="22">
                  <c:v>-0.12</c:v>
                </c:pt>
                <c:pt idx="23">
                  <c:v>-8.0000000000000016E-2</c:v>
                </c:pt>
                <c:pt idx="24">
                  <c:v>-3.999999999999998E-2</c:v>
                </c:pt>
                <c:pt idx="25">
                  <c:v>0</c:v>
                </c:pt>
                <c:pt idx="26">
                  <c:v>3.999999999999998E-2</c:v>
                </c:pt>
                <c:pt idx="27">
                  <c:v>8.0000000000000016E-2</c:v>
                </c:pt>
                <c:pt idx="28">
                  <c:v>0.12000000000000005</c:v>
                </c:pt>
                <c:pt idx="29">
                  <c:v>0.15999999999999998</c:v>
                </c:pt>
                <c:pt idx="30">
                  <c:v>0.2</c:v>
                </c:pt>
                <c:pt idx="31">
                  <c:v>0.24000000000000005</c:v>
                </c:pt>
                <c:pt idx="32">
                  <c:v>0.27999999999999997</c:v>
                </c:pt>
                <c:pt idx="33">
                  <c:v>0.32</c:v>
                </c:pt>
                <c:pt idx="34">
                  <c:v>0.36000000000000004</c:v>
                </c:pt>
                <c:pt idx="35">
                  <c:v>0.39999999999999997</c:v>
                </c:pt>
                <c:pt idx="36">
                  <c:v>0.44</c:v>
                </c:pt>
                <c:pt idx="37">
                  <c:v>0.48000000000000004</c:v>
                </c:pt>
                <c:pt idx="38">
                  <c:v>0.52</c:v>
                </c:pt>
                <c:pt idx="39">
                  <c:v>0.56000000000000005</c:v>
                </c:pt>
                <c:pt idx="40">
                  <c:v>0.60000000000000009</c:v>
                </c:pt>
                <c:pt idx="41">
                  <c:v>0.64000000000000012</c:v>
                </c:pt>
                <c:pt idx="42">
                  <c:v>0.68000000000000016</c:v>
                </c:pt>
                <c:pt idx="43">
                  <c:v>0.72</c:v>
                </c:pt>
                <c:pt idx="44">
                  <c:v>0.76</c:v>
                </c:pt>
                <c:pt idx="45">
                  <c:v>0.8</c:v>
                </c:pt>
                <c:pt idx="46">
                  <c:v>0.84000000000000008</c:v>
                </c:pt>
                <c:pt idx="47">
                  <c:v>0.88000000000000012</c:v>
                </c:pt>
                <c:pt idx="48">
                  <c:v>0.92000000000000015</c:v>
                </c:pt>
                <c:pt idx="49">
                  <c:v>0.96</c:v>
                </c:pt>
                <c:pt idx="5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887976"/>
        <c:axId val="430888760"/>
      </c:scatterChart>
      <c:valAx>
        <c:axId val="430887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0888760"/>
        <c:crosses val="autoZero"/>
        <c:crossBetween val="midCat"/>
      </c:valAx>
      <c:valAx>
        <c:axId val="43088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0887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profile'!$H$24:$BF$24</c:f>
              <c:numCache>
                <c:formatCode>General</c:formatCode>
                <c:ptCount val="51"/>
                <c:pt idx="0">
                  <c:v>0</c:v>
                </c:pt>
                <c:pt idx="1">
                  <c:v>80</c:v>
                </c:pt>
                <c:pt idx="2">
                  <c:v>160</c:v>
                </c:pt>
                <c:pt idx="3">
                  <c:v>240</c:v>
                </c:pt>
                <c:pt idx="4">
                  <c:v>320</c:v>
                </c:pt>
                <c:pt idx="5">
                  <c:v>400</c:v>
                </c:pt>
                <c:pt idx="6">
                  <c:v>480</c:v>
                </c:pt>
                <c:pt idx="7">
                  <c:v>560</c:v>
                </c:pt>
                <c:pt idx="8">
                  <c:v>640</c:v>
                </c:pt>
                <c:pt idx="9">
                  <c:v>720</c:v>
                </c:pt>
                <c:pt idx="10">
                  <c:v>800</c:v>
                </c:pt>
                <c:pt idx="11">
                  <c:v>880</c:v>
                </c:pt>
                <c:pt idx="12">
                  <c:v>960</c:v>
                </c:pt>
                <c:pt idx="13">
                  <c:v>1040</c:v>
                </c:pt>
                <c:pt idx="14">
                  <c:v>1120</c:v>
                </c:pt>
                <c:pt idx="15">
                  <c:v>1200</c:v>
                </c:pt>
                <c:pt idx="16">
                  <c:v>1280</c:v>
                </c:pt>
                <c:pt idx="17">
                  <c:v>1360</c:v>
                </c:pt>
                <c:pt idx="18">
                  <c:v>1440</c:v>
                </c:pt>
                <c:pt idx="19">
                  <c:v>1520</c:v>
                </c:pt>
                <c:pt idx="20">
                  <c:v>1600</c:v>
                </c:pt>
                <c:pt idx="21">
                  <c:v>1680</c:v>
                </c:pt>
                <c:pt idx="22">
                  <c:v>1760</c:v>
                </c:pt>
                <c:pt idx="23">
                  <c:v>1840</c:v>
                </c:pt>
                <c:pt idx="24">
                  <c:v>1920</c:v>
                </c:pt>
                <c:pt idx="25">
                  <c:v>2000</c:v>
                </c:pt>
                <c:pt idx="26">
                  <c:v>2080</c:v>
                </c:pt>
                <c:pt idx="27">
                  <c:v>2160</c:v>
                </c:pt>
                <c:pt idx="28">
                  <c:v>2240</c:v>
                </c:pt>
                <c:pt idx="29">
                  <c:v>2320</c:v>
                </c:pt>
                <c:pt idx="30">
                  <c:v>2400</c:v>
                </c:pt>
                <c:pt idx="31">
                  <c:v>2480</c:v>
                </c:pt>
                <c:pt idx="32">
                  <c:v>2560</c:v>
                </c:pt>
                <c:pt idx="33">
                  <c:v>2640</c:v>
                </c:pt>
                <c:pt idx="34">
                  <c:v>2720</c:v>
                </c:pt>
                <c:pt idx="35">
                  <c:v>2800</c:v>
                </c:pt>
                <c:pt idx="36">
                  <c:v>2880</c:v>
                </c:pt>
                <c:pt idx="37">
                  <c:v>2960</c:v>
                </c:pt>
                <c:pt idx="38">
                  <c:v>3040</c:v>
                </c:pt>
                <c:pt idx="39">
                  <c:v>3120</c:v>
                </c:pt>
                <c:pt idx="40">
                  <c:v>3200</c:v>
                </c:pt>
                <c:pt idx="41">
                  <c:v>3280</c:v>
                </c:pt>
                <c:pt idx="42">
                  <c:v>3360</c:v>
                </c:pt>
                <c:pt idx="43">
                  <c:v>3440</c:v>
                </c:pt>
                <c:pt idx="44">
                  <c:v>3520</c:v>
                </c:pt>
                <c:pt idx="45">
                  <c:v>3600</c:v>
                </c:pt>
                <c:pt idx="46">
                  <c:v>3680</c:v>
                </c:pt>
                <c:pt idx="47">
                  <c:v>3760</c:v>
                </c:pt>
                <c:pt idx="48">
                  <c:v>3840</c:v>
                </c:pt>
                <c:pt idx="49">
                  <c:v>3920</c:v>
                </c:pt>
                <c:pt idx="50">
                  <c:v>4000</c:v>
                </c:pt>
              </c:numCache>
            </c:numRef>
          </c:xVal>
          <c:yVal>
            <c:numRef>
              <c:f>'Trajectory Speed profile'!$H$26:$BF$26</c:f>
              <c:numCache>
                <c:formatCode>General</c:formatCode>
                <c:ptCount val="51"/>
                <c:pt idx="0">
                  <c:v>0</c:v>
                </c:pt>
                <c:pt idx="1">
                  <c:v>-1.6</c:v>
                </c:pt>
                <c:pt idx="2">
                  <c:v>-6.4</c:v>
                </c:pt>
                <c:pt idx="3">
                  <c:v>-14.399999999999999</c:v>
                </c:pt>
                <c:pt idx="4">
                  <c:v>-25.6</c:v>
                </c:pt>
                <c:pt idx="5">
                  <c:v>-40</c:v>
                </c:pt>
                <c:pt idx="6">
                  <c:v>-57.599999999999994</c:v>
                </c:pt>
                <c:pt idx="7">
                  <c:v>-78.400000000000006</c:v>
                </c:pt>
                <c:pt idx="8">
                  <c:v>-102.4</c:v>
                </c:pt>
                <c:pt idx="9">
                  <c:v>-129.6</c:v>
                </c:pt>
                <c:pt idx="10">
                  <c:v>-160</c:v>
                </c:pt>
                <c:pt idx="11">
                  <c:v>-193.6</c:v>
                </c:pt>
                <c:pt idx="12">
                  <c:v>-229.5</c:v>
                </c:pt>
                <c:pt idx="13">
                  <c:v>-265.5</c:v>
                </c:pt>
                <c:pt idx="14">
                  <c:v>-301.39999999999998</c:v>
                </c:pt>
                <c:pt idx="15">
                  <c:v>-335</c:v>
                </c:pt>
                <c:pt idx="16">
                  <c:v>-365.4</c:v>
                </c:pt>
                <c:pt idx="17">
                  <c:v>-392.6</c:v>
                </c:pt>
                <c:pt idx="18">
                  <c:v>-416.6</c:v>
                </c:pt>
                <c:pt idx="19">
                  <c:v>-437.4</c:v>
                </c:pt>
                <c:pt idx="20">
                  <c:v>-455</c:v>
                </c:pt>
                <c:pt idx="21">
                  <c:v>-469.4</c:v>
                </c:pt>
                <c:pt idx="22">
                  <c:v>-480.6</c:v>
                </c:pt>
                <c:pt idx="23">
                  <c:v>-488.6</c:v>
                </c:pt>
                <c:pt idx="24">
                  <c:v>-493.4</c:v>
                </c:pt>
                <c:pt idx="25">
                  <c:v>-495</c:v>
                </c:pt>
                <c:pt idx="26">
                  <c:v>-493.4</c:v>
                </c:pt>
                <c:pt idx="27">
                  <c:v>-488.59999999999997</c:v>
                </c:pt>
                <c:pt idx="28">
                  <c:v>-480.59999999999997</c:v>
                </c:pt>
                <c:pt idx="29">
                  <c:v>-469.40000000000003</c:v>
                </c:pt>
                <c:pt idx="30">
                  <c:v>-455</c:v>
                </c:pt>
                <c:pt idx="31">
                  <c:v>-437.4</c:v>
                </c:pt>
                <c:pt idx="32">
                  <c:v>-416.6</c:v>
                </c:pt>
                <c:pt idx="33">
                  <c:v>-392.6</c:v>
                </c:pt>
                <c:pt idx="34">
                  <c:v>-365.4</c:v>
                </c:pt>
                <c:pt idx="35">
                  <c:v>-335</c:v>
                </c:pt>
                <c:pt idx="36">
                  <c:v>-301.39999999999998</c:v>
                </c:pt>
                <c:pt idx="37">
                  <c:v>-264.59999999999991</c:v>
                </c:pt>
                <c:pt idx="38">
                  <c:v>-224.60000000000002</c:v>
                </c:pt>
                <c:pt idx="39">
                  <c:v>-181.39999999999998</c:v>
                </c:pt>
                <c:pt idx="40">
                  <c:v>-135</c:v>
                </c:pt>
                <c:pt idx="41">
                  <c:v>-85.399999999999864</c:v>
                </c:pt>
                <c:pt idx="42">
                  <c:v>-32.599999999999909</c:v>
                </c:pt>
                <c:pt idx="43">
                  <c:v>23.399999999999864</c:v>
                </c:pt>
                <c:pt idx="44">
                  <c:v>82.599999999999909</c:v>
                </c:pt>
                <c:pt idx="45">
                  <c:v>145</c:v>
                </c:pt>
                <c:pt idx="46">
                  <c:v>210.60000000000014</c:v>
                </c:pt>
                <c:pt idx="47">
                  <c:v>279.40000000000009</c:v>
                </c:pt>
                <c:pt idx="48">
                  <c:v>351.40000000000009</c:v>
                </c:pt>
                <c:pt idx="49">
                  <c:v>426.59999999999991</c:v>
                </c:pt>
                <c:pt idx="50">
                  <c:v>505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888368"/>
        <c:axId val="430889152"/>
      </c:scatterChart>
      <c:valAx>
        <c:axId val="43088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0889152"/>
        <c:crosses val="autoZero"/>
        <c:crossBetween val="midCat"/>
      </c:valAx>
      <c:valAx>
        <c:axId val="43088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0888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</xdr:row>
      <xdr:rowOff>99060</xdr:rowOff>
    </xdr:from>
    <xdr:to>
      <xdr:col>11</xdr:col>
      <xdr:colOff>628650</xdr:colOff>
      <xdr:row>20</xdr:row>
      <xdr:rowOff>15240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784860</xdr:colOff>
      <xdr:row>28</xdr:row>
      <xdr:rowOff>30480</xdr:rowOff>
    </xdr:from>
    <xdr:to>
      <xdr:col>11</xdr:col>
      <xdr:colOff>601980</xdr:colOff>
      <xdr:row>43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708660</xdr:colOff>
      <xdr:row>28</xdr:row>
      <xdr:rowOff>15240</xdr:rowOff>
    </xdr:from>
    <xdr:to>
      <xdr:col>17</xdr:col>
      <xdr:colOff>525780</xdr:colOff>
      <xdr:row>43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zoomScale="85" zoomScaleNormal="85" workbookViewId="0">
      <selection activeCell="A15" sqref="A15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 t="shared" ref="C15:C20" si="0"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si="0"/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8"/>
  <sheetViews>
    <sheetView tabSelected="1" workbookViewId="0">
      <selection activeCell="B4" sqref="B4"/>
    </sheetView>
  </sheetViews>
  <sheetFormatPr baseColWidth="10" defaultRowHeight="14.4" x14ac:dyDescent="0.3"/>
  <cols>
    <col min="2" max="2" width="12.44140625" bestFit="1" customWidth="1"/>
  </cols>
  <sheetData>
    <row r="1" spans="1:11" ht="18" x14ac:dyDescent="0.35">
      <c r="A1" s="25" t="s">
        <v>98</v>
      </c>
    </row>
    <row r="3" spans="1:11" ht="15.6" x14ac:dyDescent="0.35">
      <c r="A3" t="s">
        <v>85</v>
      </c>
      <c r="B3">
        <v>0</v>
      </c>
      <c r="C3" t="s">
        <v>87</v>
      </c>
    </row>
    <row r="4" spans="1:11" ht="15.6" x14ac:dyDescent="0.35">
      <c r="A4" t="s">
        <v>86</v>
      </c>
      <c r="B4">
        <v>1</v>
      </c>
      <c r="C4" t="s">
        <v>87</v>
      </c>
    </row>
    <row r="5" spans="1:11" x14ac:dyDescent="0.3">
      <c r="A5" t="s">
        <v>88</v>
      </c>
      <c r="B5">
        <v>100</v>
      </c>
      <c r="C5" t="s">
        <v>91</v>
      </c>
      <c r="D5">
        <f>$B$3*$B$22+SIGN($B$16)*0.5*$B$7*$B$22*$B$22+($B$23-$B$22)*$B$18 + $B$18*(B6-$B$23) + SIGN($B$17)*0.5*$B$7*(B6-$B$23)*(B6-$B$23)</f>
        <v>505</v>
      </c>
    </row>
    <row r="6" spans="1:11" ht="15.6" x14ac:dyDescent="0.35">
      <c r="A6" t="s">
        <v>90</v>
      </c>
      <c r="B6">
        <v>4000</v>
      </c>
      <c r="C6" t="s">
        <v>92</v>
      </c>
    </row>
    <row r="7" spans="1:11" ht="16.2" x14ac:dyDescent="0.3">
      <c r="A7" t="s">
        <v>71</v>
      </c>
      <c r="B7">
        <v>5.0000000000000001E-4</v>
      </c>
      <c r="C7" t="s">
        <v>95</v>
      </c>
    </row>
    <row r="9" spans="1:11" ht="15.6" x14ac:dyDescent="0.35">
      <c r="A9" t="s">
        <v>112</v>
      </c>
      <c r="B9">
        <f>B5/B6</f>
        <v>2.5000000000000001E-2</v>
      </c>
      <c r="C9" t="s">
        <v>87</v>
      </c>
    </row>
    <row r="10" spans="1:11" x14ac:dyDescent="0.3">
      <c r="A10" t="s">
        <v>110</v>
      </c>
      <c r="B10">
        <f>(B3-B4)/B7</f>
        <v>-2000</v>
      </c>
    </row>
    <row r="11" spans="1:11" x14ac:dyDescent="0.3">
      <c r="A11" t="s">
        <v>111</v>
      </c>
      <c r="B11">
        <f>B3*B6-0.5*B7*B10*B10 - B5</f>
        <v>-1100</v>
      </c>
    </row>
    <row r="12" spans="1:11" x14ac:dyDescent="0.3">
      <c r="A12" t="s">
        <v>73</v>
      </c>
      <c r="B12">
        <f>B7*B6-B7*B10</f>
        <v>3</v>
      </c>
    </row>
    <row r="13" spans="1:11" x14ac:dyDescent="0.3">
      <c r="A13" t="s">
        <v>71</v>
      </c>
      <c r="B13">
        <f>-B7</f>
        <v>-5.0000000000000001E-4</v>
      </c>
      <c r="C13">
        <f>B12*B12-4*B13*B11</f>
        <v>6.8</v>
      </c>
    </row>
    <row r="14" spans="1:11" x14ac:dyDescent="0.3">
      <c r="A14" t="s">
        <v>105</v>
      </c>
      <c r="B14" s="60">
        <f>(-B12+SQRT(B12*B12-4*B13*B11))/(2*B13)</f>
        <v>392.31903791894052</v>
      </c>
      <c r="C14" s="60">
        <f>(-B12-SQRT(B12*B12-4*B13*B11))/(2*B13)</f>
        <v>5607.6809620810591</v>
      </c>
    </row>
    <row r="15" spans="1:11" x14ac:dyDescent="0.3">
      <c r="G15" t="s">
        <v>89</v>
      </c>
      <c r="H15">
        <v>0</v>
      </c>
      <c r="I15" s="4">
        <f>ABS(B16)</f>
        <v>900</v>
      </c>
      <c r="J15" s="3">
        <f>B6-ABS(B17)</f>
        <v>1100</v>
      </c>
      <c r="K15">
        <f>B6</f>
        <v>4000</v>
      </c>
    </row>
    <row r="16" spans="1:11" ht="15.6" x14ac:dyDescent="0.35">
      <c r="A16" t="s">
        <v>93</v>
      </c>
      <c r="B16" s="127">
        <f>IF(OR(AND(B3&lt;B9,B9&lt;B4), AND(B3&gt;=B9,B9&gt;=B4)),E16,E17)</f>
        <v>-900</v>
      </c>
      <c r="C16" t="s">
        <v>92</v>
      </c>
      <c r="D16" t="s">
        <v>113</v>
      </c>
      <c r="E16" s="127">
        <f>(B5-B3*B6-0.5*(B4-B3)*(B4-B3)/B7)/(B6*B7+(B3-B4))</f>
        <v>-900</v>
      </c>
      <c r="G16" t="s">
        <v>84</v>
      </c>
      <c r="H16">
        <f>B3</f>
        <v>0</v>
      </c>
      <c r="I16" s="3">
        <f>B18</f>
        <v>-0.45</v>
      </c>
      <c r="J16" s="3">
        <f>I16</f>
        <v>-0.45</v>
      </c>
      <c r="K16">
        <f>B4</f>
        <v>1</v>
      </c>
    </row>
    <row r="17" spans="1:70" ht="15.6" x14ac:dyDescent="0.35">
      <c r="A17" t="s">
        <v>94</v>
      </c>
      <c r="B17" s="3">
        <f>(B4-B3)/B7-B16</f>
        <v>2900</v>
      </c>
      <c r="C17" t="s">
        <v>92</v>
      </c>
      <c r="D17" s="75" t="s">
        <v>114</v>
      </c>
      <c r="E17" s="127">
        <f>(-B12+SQRT(B12*B12-4*B13*B11))/(2*B13)</f>
        <v>392.31903791894052</v>
      </c>
    </row>
    <row r="18" spans="1:70" ht="15.6" x14ac:dyDescent="0.35">
      <c r="A18" t="s">
        <v>97</v>
      </c>
      <c r="B18" s="3">
        <f>B3+B7*B16</f>
        <v>-0.45</v>
      </c>
      <c r="C18" t="s">
        <v>87</v>
      </c>
    </row>
    <row r="19" spans="1:70" x14ac:dyDescent="0.3">
      <c r="A19" t="s">
        <v>96</v>
      </c>
      <c r="B19" s="127">
        <f>(B3+B18)/2*B16+B18*(B6-B16-B17)+(B18+B4)/2*B17</f>
        <v>100.00000000000011</v>
      </c>
      <c r="C19" t="s">
        <v>91</v>
      </c>
    </row>
    <row r="20" spans="1:70" ht="15.6" x14ac:dyDescent="0.35">
      <c r="A20" t="s">
        <v>86</v>
      </c>
      <c r="B20">
        <f>B18+B17*B7</f>
        <v>1</v>
      </c>
      <c r="C20" t="s">
        <v>87</v>
      </c>
    </row>
    <row r="22" spans="1:70" ht="15.6" x14ac:dyDescent="0.35">
      <c r="A22" t="s">
        <v>108</v>
      </c>
      <c r="B22" s="127">
        <f>ABS(B16)</f>
        <v>900</v>
      </c>
      <c r="C22" t="s">
        <v>92</v>
      </c>
    </row>
    <row r="23" spans="1:70" ht="15.6" x14ac:dyDescent="0.35">
      <c r="A23" t="s">
        <v>109</v>
      </c>
      <c r="B23" s="127">
        <f>B6-ABS(B17)</f>
        <v>1100</v>
      </c>
      <c r="C23" t="s">
        <v>92</v>
      </c>
    </row>
    <row r="24" spans="1:70" ht="15.6" x14ac:dyDescent="0.35">
      <c r="A24" s="128" t="s">
        <v>99</v>
      </c>
      <c r="B24" t="s">
        <v>100</v>
      </c>
      <c r="G24" t="s">
        <v>105</v>
      </c>
      <c r="H24">
        <v>0</v>
      </c>
      <c r="I24">
        <f>(H24+$B$6/50)</f>
        <v>80</v>
      </c>
      <c r="J24">
        <f t="shared" ref="J24:BF24" si="0">(I24+$B$6/50)</f>
        <v>160</v>
      </c>
      <c r="K24">
        <f t="shared" si="0"/>
        <v>240</v>
      </c>
      <c r="L24">
        <f t="shared" si="0"/>
        <v>320</v>
      </c>
      <c r="M24">
        <f t="shared" si="0"/>
        <v>400</v>
      </c>
      <c r="N24">
        <f t="shared" si="0"/>
        <v>480</v>
      </c>
      <c r="O24">
        <f t="shared" si="0"/>
        <v>560</v>
      </c>
      <c r="P24">
        <f t="shared" si="0"/>
        <v>640</v>
      </c>
      <c r="Q24">
        <f t="shared" si="0"/>
        <v>720</v>
      </c>
      <c r="R24">
        <f t="shared" si="0"/>
        <v>800</v>
      </c>
      <c r="S24">
        <f t="shared" si="0"/>
        <v>880</v>
      </c>
      <c r="T24">
        <f t="shared" si="0"/>
        <v>960</v>
      </c>
      <c r="U24">
        <f t="shared" si="0"/>
        <v>1040</v>
      </c>
      <c r="V24">
        <f t="shared" si="0"/>
        <v>1120</v>
      </c>
      <c r="W24">
        <f t="shared" si="0"/>
        <v>1200</v>
      </c>
      <c r="X24">
        <f t="shared" si="0"/>
        <v>1280</v>
      </c>
      <c r="Y24">
        <f t="shared" si="0"/>
        <v>1360</v>
      </c>
      <c r="Z24">
        <f t="shared" si="0"/>
        <v>1440</v>
      </c>
      <c r="AA24">
        <f t="shared" si="0"/>
        <v>1520</v>
      </c>
      <c r="AB24">
        <f t="shared" si="0"/>
        <v>1600</v>
      </c>
      <c r="AC24">
        <f t="shared" si="0"/>
        <v>1680</v>
      </c>
      <c r="AD24">
        <f t="shared" si="0"/>
        <v>1760</v>
      </c>
      <c r="AE24">
        <f t="shared" si="0"/>
        <v>1840</v>
      </c>
      <c r="AF24">
        <f t="shared" si="0"/>
        <v>1920</v>
      </c>
      <c r="AG24">
        <f t="shared" si="0"/>
        <v>2000</v>
      </c>
      <c r="AH24">
        <f t="shared" si="0"/>
        <v>2080</v>
      </c>
      <c r="AI24">
        <f t="shared" si="0"/>
        <v>2160</v>
      </c>
      <c r="AJ24">
        <f t="shared" si="0"/>
        <v>2240</v>
      </c>
      <c r="AK24">
        <f t="shared" si="0"/>
        <v>2320</v>
      </c>
      <c r="AL24">
        <f t="shared" si="0"/>
        <v>2400</v>
      </c>
      <c r="AM24">
        <f t="shared" si="0"/>
        <v>2480</v>
      </c>
      <c r="AN24">
        <f t="shared" si="0"/>
        <v>2560</v>
      </c>
      <c r="AO24">
        <f t="shared" si="0"/>
        <v>2640</v>
      </c>
      <c r="AP24">
        <f t="shared" si="0"/>
        <v>2720</v>
      </c>
      <c r="AQ24">
        <f t="shared" si="0"/>
        <v>2800</v>
      </c>
      <c r="AR24">
        <f t="shared" si="0"/>
        <v>2880</v>
      </c>
      <c r="AS24">
        <f t="shared" si="0"/>
        <v>2960</v>
      </c>
      <c r="AT24">
        <f t="shared" si="0"/>
        <v>3040</v>
      </c>
      <c r="AU24">
        <f t="shared" si="0"/>
        <v>3120</v>
      </c>
      <c r="AV24">
        <f t="shared" si="0"/>
        <v>3200</v>
      </c>
      <c r="AW24">
        <f t="shared" si="0"/>
        <v>3280</v>
      </c>
      <c r="AX24">
        <f t="shared" si="0"/>
        <v>3360</v>
      </c>
      <c r="AY24">
        <f t="shared" si="0"/>
        <v>3440</v>
      </c>
      <c r="AZ24">
        <f t="shared" si="0"/>
        <v>3520</v>
      </c>
      <c r="BA24">
        <f t="shared" si="0"/>
        <v>3600</v>
      </c>
      <c r="BB24">
        <f t="shared" si="0"/>
        <v>3680</v>
      </c>
      <c r="BC24">
        <f t="shared" si="0"/>
        <v>3760</v>
      </c>
      <c r="BD24">
        <f t="shared" si="0"/>
        <v>3840</v>
      </c>
      <c r="BE24">
        <f t="shared" si="0"/>
        <v>3920</v>
      </c>
      <c r="BF24">
        <f t="shared" si="0"/>
        <v>4000</v>
      </c>
    </row>
    <row r="25" spans="1:70" ht="15.6" x14ac:dyDescent="0.35">
      <c r="A25" s="128" t="s">
        <v>101</v>
      </c>
      <c r="B25" s="129" t="s">
        <v>102</v>
      </c>
      <c r="G25" t="s">
        <v>106</v>
      </c>
      <c r="H25" s="127">
        <f t="shared" ref="H25:AM25" si="1">IF(H24&lt;ABS($B$16),$B$3+SIGN($B$16)*H$24*$B$7,IF(H24&lt;$B$6-ABS($B$17),$B$18,$B$18+SIGN($B$17)*(H24-($B$6-ABS($B$17)))*$B$7))</f>
        <v>0</v>
      </c>
      <c r="I25" s="127">
        <f t="shared" si="1"/>
        <v>-0.04</v>
      </c>
      <c r="J25" s="127">
        <f t="shared" si="1"/>
        <v>-0.08</v>
      </c>
      <c r="K25" s="127">
        <f t="shared" si="1"/>
        <v>-0.12</v>
      </c>
      <c r="L25" s="127">
        <f t="shared" si="1"/>
        <v>-0.16</v>
      </c>
      <c r="M25" s="127">
        <f t="shared" si="1"/>
        <v>-0.2</v>
      </c>
      <c r="N25" s="127">
        <f t="shared" si="1"/>
        <v>-0.24</v>
      </c>
      <c r="O25" s="127">
        <f t="shared" si="1"/>
        <v>-0.28000000000000003</v>
      </c>
      <c r="P25" s="127">
        <f t="shared" si="1"/>
        <v>-0.32</v>
      </c>
      <c r="Q25" s="127">
        <f t="shared" si="1"/>
        <v>-0.36</v>
      </c>
      <c r="R25" s="127">
        <f t="shared" si="1"/>
        <v>-0.4</v>
      </c>
      <c r="S25" s="127">
        <f t="shared" si="1"/>
        <v>-0.44</v>
      </c>
      <c r="T25" s="127">
        <f t="shared" si="1"/>
        <v>-0.45</v>
      </c>
      <c r="U25" s="127">
        <f t="shared" si="1"/>
        <v>-0.45</v>
      </c>
      <c r="V25" s="127">
        <f t="shared" si="1"/>
        <v>-0.44</v>
      </c>
      <c r="W25" s="127">
        <f t="shared" si="1"/>
        <v>-0.4</v>
      </c>
      <c r="X25" s="127">
        <f t="shared" si="1"/>
        <v>-0.36</v>
      </c>
      <c r="Y25" s="127">
        <f t="shared" si="1"/>
        <v>-0.32</v>
      </c>
      <c r="Z25" s="127">
        <f t="shared" si="1"/>
        <v>-0.28000000000000003</v>
      </c>
      <c r="AA25" s="127">
        <f t="shared" si="1"/>
        <v>-0.24000000000000002</v>
      </c>
      <c r="AB25" s="127">
        <f t="shared" si="1"/>
        <v>-0.2</v>
      </c>
      <c r="AC25" s="127">
        <f t="shared" si="1"/>
        <v>-0.16000000000000003</v>
      </c>
      <c r="AD25" s="127">
        <f t="shared" si="1"/>
        <v>-0.12</v>
      </c>
      <c r="AE25" s="127">
        <f t="shared" si="1"/>
        <v>-8.0000000000000016E-2</v>
      </c>
      <c r="AF25" s="127">
        <f t="shared" si="1"/>
        <v>-3.999999999999998E-2</v>
      </c>
      <c r="AG25" s="127">
        <f t="shared" si="1"/>
        <v>0</v>
      </c>
      <c r="AH25" s="127">
        <f t="shared" si="1"/>
        <v>3.999999999999998E-2</v>
      </c>
      <c r="AI25" s="127">
        <f t="shared" si="1"/>
        <v>8.0000000000000016E-2</v>
      </c>
      <c r="AJ25" s="127">
        <f t="shared" si="1"/>
        <v>0.12000000000000005</v>
      </c>
      <c r="AK25" s="127">
        <f t="shared" si="1"/>
        <v>0.15999999999999998</v>
      </c>
      <c r="AL25" s="127">
        <f t="shared" si="1"/>
        <v>0.2</v>
      </c>
      <c r="AM25" s="127">
        <f t="shared" si="1"/>
        <v>0.24000000000000005</v>
      </c>
      <c r="AN25" s="127">
        <f t="shared" ref="AN25:BF25" si="2">IF(AN24&lt;ABS($B$16),$B$3+SIGN($B$16)*AN$24*$B$7,IF(AN24&lt;$B$6-ABS($B$17),$B$18,$B$18+SIGN($B$17)*(AN24-($B$6-ABS($B$17)))*$B$7))</f>
        <v>0.27999999999999997</v>
      </c>
      <c r="AO25" s="127">
        <f t="shared" si="2"/>
        <v>0.32</v>
      </c>
      <c r="AP25" s="127">
        <f t="shared" si="2"/>
        <v>0.36000000000000004</v>
      </c>
      <c r="AQ25" s="127">
        <f t="shared" si="2"/>
        <v>0.39999999999999997</v>
      </c>
      <c r="AR25" s="127">
        <f t="shared" si="2"/>
        <v>0.44</v>
      </c>
      <c r="AS25" s="127">
        <f t="shared" si="2"/>
        <v>0.48000000000000004</v>
      </c>
      <c r="AT25" s="127">
        <f t="shared" si="2"/>
        <v>0.52</v>
      </c>
      <c r="AU25" s="127">
        <f t="shared" si="2"/>
        <v>0.56000000000000005</v>
      </c>
      <c r="AV25" s="127">
        <f t="shared" si="2"/>
        <v>0.60000000000000009</v>
      </c>
      <c r="AW25" s="127">
        <f t="shared" si="2"/>
        <v>0.64000000000000012</v>
      </c>
      <c r="AX25" s="127">
        <f t="shared" si="2"/>
        <v>0.68000000000000016</v>
      </c>
      <c r="AY25" s="127">
        <f t="shared" si="2"/>
        <v>0.72</v>
      </c>
      <c r="AZ25" s="127">
        <f t="shared" si="2"/>
        <v>0.76</v>
      </c>
      <c r="BA25" s="127">
        <f t="shared" si="2"/>
        <v>0.8</v>
      </c>
      <c r="BB25" s="127">
        <f t="shared" si="2"/>
        <v>0.84000000000000008</v>
      </c>
      <c r="BC25" s="127">
        <f t="shared" si="2"/>
        <v>0.88000000000000012</v>
      </c>
      <c r="BD25" s="127">
        <f t="shared" si="2"/>
        <v>0.92000000000000015</v>
      </c>
      <c r="BE25" s="127">
        <f t="shared" si="2"/>
        <v>0.96</v>
      </c>
      <c r="BF25" s="127">
        <f t="shared" si="2"/>
        <v>1</v>
      </c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</row>
    <row r="26" spans="1:70" ht="15.6" x14ac:dyDescent="0.35">
      <c r="A26" s="128" t="s">
        <v>103</v>
      </c>
      <c r="B26" s="129" t="s">
        <v>104</v>
      </c>
      <c r="G26" t="s">
        <v>107</v>
      </c>
      <c r="H26">
        <f t="shared" ref="H26:AM26" si="3">IF(H24&lt;$B$22,
$B$3*H24+SIGN($B$16)*0.5*$B$7*H24*H24,
IF(H24&lt;$B$23,
$B$3*$B$22+SIGN($B$16)*0.5*$B$7*$B$22*$B$22+(H24-$B$22)*$B$18,
$B$3*$B$22+SIGN($B$16)*0.5*$B$7*$B$22*$B$22+($B$23-$B$22)*$B$18 + $B$18*(H24-$B$23) + SIGN($B$17)*0.5*$B$7*(H24-$B$23)*(H24-$B$23)))</f>
        <v>0</v>
      </c>
      <c r="I26">
        <f t="shared" si="3"/>
        <v>-1.6</v>
      </c>
      <c r="J26">
        <f t="shared" si="3"/>
        <v>-6.4</v>
      </c>
      <c r="K26">
        <f t="shared" si="3"/>
        <v>-14.399999999999999</v>
      </c>
      <c r="L26">
        <f t="shared" si="3"/>
        <v>-25.6</v>
      </c>
      <c r="M26">
        <f t="shared" si="3"/>
        <v>-40</v>
      </c>
      <c r="N26">
        <f t="shared" si="3"/>
        <v>-57.599999999999994</v>
      </c>
      <c r="O26">
        <f t="shared" si="3"/>
        <v>-78.400000000000006</v>
      </c>
      <c r="P26">
        <f t="shared" si="3"/>
        <v>-102.4</v>
      </c>
      <c r="Q26">
        <f t="shared" si="3"/>
        <v>-129.6</v>
      </c>
      <c r="R26">
        <f t="shared" si="3"/>
        <v>-160</v>
      </c>
      <c r="S26">
        <f t="shared" si="3"/>
        <v>-193.6</v>
      </c>
      <c r="T26">
        <f t="shared" si="3"/>
        <v>-229.5</v>
      </c>
      <c r="U26">
        <f t="shared" si="3"/>
        <v>-265.5</v>
      </c>
      <c r="V26">
        <f t="shared" si="3"/>
        <v>-301.39999999999998</v>
      </c>
      <c r="W26">
        <f t="shared" si="3"/>
        <v>-335</v>
      </c>
      <c r="X26">
        <f t="shared" si="3"/>
        <v>-365.4</v>
      </c>
      <c r="Y26">
        <f t="shared" si="3"/>
        <v>-392.6</v>
      </c>
      <c r="Z26">
        <f t="shared" si="3"/>
        <v>-416.6</v>
      </c>
      <c r="AA26">
        <f t="shared" si="3"/>
        <v>-437.4</v>
      </c>
      <c r="AB26">
        <f t="shared" si="3"/>
        <v>-455</v>
      </c>
      <c r="AC26">
        <f t="shared" si="3"/>
        <v>-469.4</v>
      </c>
      <c r="AD26">
        <f t="shared" si="3"/>
        <v>-480.6</v>
      </c>
      <c r="AE26">
        <f t="shared" si="3"/>
        <v>-488.6</v>
      </c>
      <c r="AF26">
        <f t="shared" si="3"/>
        <v>-493.4</v>
      </c>
      <c r="AG26">
        <f t="shared" si="3"/>
        <v>-495</v>
      </c>
      <c r="AH26">
        <f t="shared" si="3"/>
        <v>-493.4</v>
      </c>
      <c r="AI26">
        <f t="shared" si="3"/>
        <v>-488.59999999999997</v>
      </c>
      <c r="AJ26">
        <f t="shared" si="3"/>
        <v>-480.59999999999997</v>
      </c>
      <c r="AK26">
        <f t="shared" si="3"/>
        <v>-469.40000000000003</v>
      </c>
      <c r="AL26">
        <f t="shared" si="3"/>
        <v>-455</v>
      </c>
      <c r="AM26">
        <f t="shared" si="3"/>
        <v>-437.4</v>
      </c>
      <c r="AN26">
        <f t="shared" ref="AN26:BF26" si="4">IF(AN24&lt;$B$22,
$B$3*AN24+SIGN($B$16)*0.5*$B$7*AN24*AN24,
IF(AN24&lt;$B$23,
$B$3*$B$22+SIGN($B$16)*0.5*$B$7*$B$22*$B$22+(AN24-$B$22)*$B$18,
$B$3*$B$22+SIGN($B$16)*0.5*$B$7*$B$22*$B$22+($B$23-$B$22)*$B$18 + $B$18*(AN24-$B$23) + SIGN($B$17)*0.5*$B$7*(AN24-$B$23)*(AN24-$B$23)))</f>
        <v>-416.6</v>
      </c>
      <c r="AO26">
        <f t="shared" si="4"/>
        <v>-392.6</v>
      </c>
      <c r="AP26">
        <f t="shared" si="4"/>
        <v>-365.4</v>
      </c>
      <c r="AQ26">
        <f t="shared" si="4"/>
        <v>-335</v>
      </c>
      <c r="AR26">
        <f t="shared" si="4"/>
        <v>-301.39999999999998</v>
      </c>
      <c r="AS26">
        <f t="shared" si="4"/>
        <v>-264.59999999999991</v>
      </c>
      <c r="AT26">
        <f t="shared" si="4"/>
        <v>-224.60000000000002</v>
      </c>
      <c r="AU26">
        <f t="shared" si="4"/>
        <v>-181.39999999999998</v>
      </c>
      <c r="AV26">
        <f t="shared" si="4"/>
        <v>-135</v>
      </c>
      <c r="AW26">
        <f t="shared" si="4"/>
        <v>-85.399999999999864</v>
      </c>
      <c r="AX26">
        <f t="shared" si="4"/>
        <v>-32.599999999999909</v>
      </c>
      <c r="AY26">
        <f t="shared" si="4"/>
        <v>23.399999999999864</v>
      </c>
      <c r="AZ26">
        <f t="shared" si="4"/>
        <v>82.599999999999909</v>
      </c>
      <c r="BA26">
        <f t="shared" si="4"/>
        <v>145</v>
      </c>
      <c r="BB26">
        <f t="shared" si="4"/>
        <v>210.60000000000014</v>
      </c>
      <c r="BC26">
        <f t="shared" si="4"/>
        <v>279.40000000000009</v>
      </c>
      <c r="BD26">
        <f t="shared" si="4"/>
        <v>351.40000000000009</v>
      </c>
      <c r="BE26">
        <f t="shared" si="4"/>
        <v>426.59999999999991</v>
      </c>
      <c r="BF26">
        <f t="shared" si="4"/>
        <v>505</v>
      </c>
    </row>
    <row r="27" spans="1:70" x14ac:dyDescent="0.3">
      <c r="B27" s="58"/>
      <c r="H27">
        <f>$B$3*$B$22+0.5*$B$7*$B$22*$B$22+(H24-ABS($B$16))*$B$18</f>
        <v>607.5</v>
      </c>
      <c r="I27">
        <f t="shared" ref="I27:AN27" si="5">$B$3*ABS($B$16)+0.5*$B$7*ABS($B$16)*ABS($B$16)+(I24-ABS($B$16))*$B$18</f>
        <v>571.5</v>
      </c>
      <c r="J27">
        <f t="shared" si="5"/>
        <v>535.5</v>
      </c>
      <c r="K27">
        <f t="shared" si="5"/>
        <v>499.5</v>
      </c>
      <c r="L27">
        <f t="shared" si="5"/>
        <v>463.5</v>
      </c>
      <c r="M27">
        <f t="shared" si="5"/>
        <v>427.5</v>
      </c>
      <c r="N27">
        <f t="shared" si="5"/>
        <v>391.5</v>
      </c>
      <c r="O27">
        <f t="shared" si="5"/>
        <v>355.5</v>
      </c>
      <c r="P27">
        <f t="shared" si="5"/>
        <v>319.5</v>
      </c>
      <c r="Q27">
        <f t="shared" si="5"/>
        <v>283.5</v>
      </c>
      <c r="R27">
        <f t="shared" si="5"/>
        <v>247.5</v>
      </c>
      <c r="S27">
        <f t="shared" si="5"/>
        <v>211.5</v>
      </c>
      <c r="T27">
        <f t="shared" si="5"/>
        <v>175.5</v>
      </c>
      <c r="U27">
        <f t="shared" si="5"/>
        <v>139.5</v>
      </c>
      <c r="V27">
        <f t="shared" si="5"/>
        <v>103.5</v>
      </c>
      <c r="W27">
        <f t="shared" si="5"/>
        <v>67.5</v>
      </c>
      <c r="X27">
        <f t="shared" si="5"/>
        <v>31.5</v>
      </c>
      <c r="Y27">
        <f t="shared" si="5"/>
        <v>-4.5</v>
      </c>
      <c r="Z27">
        <f t="shared" si="5"/>
        <v>-40.5</v>
      </c>
      <c r="AA27">
        <f t="shared" si="5"/>
        <v>-76.5</v>
      </c>
      <c r="AB27">
        <f t="shared" si="5"/>
        <v>-112.5</v>
      </c>
      <c r="AC27">
        <f t="shared" si="5"/>
        <v>-148.5</v>
      </c>
      <c r="AD27">
        <f t="shared" si="5"/>
        <v>-184.5</v>
      </c>
      <c r="AE27">
        <f t="shared" si="5"/>
        <v>-220.5</v>
      </c>
      <c r="AF27">
        <f t="shared" si="5"/>
        <v>-256.5</v>
      </c>
      <c r="AG27">
        <f t="shared" si="5"/>
        <v>-292.5</v>
      </c>
      <c r="AH27">
        <f t="shared" si="5"/>
        <v>-328.5</v>
      </c>
      <c r="AI27">
        <f t="shared" si="5"/>
        <v>-364.5</v>
      </c>
      <c r="AJ27">
        <f t="shared" si="5"/>
        <v>-400.5</v>
      </c>
      <c r="AK27">
        <f t="shared" si="5"/>
        <v>-436.5</v>
      </c>
      <c r="AL27">
        <f t="shared" si="5"/>
        <v>-472.5</v>
      </c>
      <c r="AM27">
        <f t="shared" si="5"/>
        <v>-508.5</v>
      </c>
      <c r="AN27">
        <f t="shared" si="5"/>
        <v>-544.5</v>
      </c>
      <c r="AO27">
        <f t="shared" ref="AO27:BF27" si="6">$B$3*ABS($B$16)+0.5*$B$7*ABS($B$16)*ABS($B$16)+(AO24-ABS($B$16))*$B$18</f>
        <v>-580.5</v>
      </c>
      <c r="AP27">
        <f t="shared" si="6"/>
        <v>-616.5</v>
      </c>
      <c r="AQ27">
        <f t="shared" si="6"/>
        <v>-652.5</v>
      </c>
      <c r="AR27">
        <f t="shared" si="6"/>
        <v>-688.5</v>
      </c>
      <c r="AS27">
        <f t="shared" si="6"/>
        <v>-724.5</v>
      </c>
      <c r="AT27">
        <f t="shared" si="6"/>
        <v>-760.5</v>
      </c>
      <c r="AU27">
        <f t="shared" si="6"/>
        <v>-796.5</v>
      </c>
      <c r="AV27">
        <f t="shared" si="6"/>
        <v>-832.5</v>
      </c>
      <c r="AW27">
        <f t="shared" si="6"/>
        <v>-868.5</v>
      </c>
      <c r="AX27">
        <f t="shared" si="6"/>
        <v>-904.5</v>
      </c>
      <c r="AY27">
        <f t="shared" si="6"/>
        <v>-940.5</v>
      </c>
      <c r="AZ27">
        <f t="shared" si="6"/>
        <v>-976.5</v>
      </c>
      <c r="BA27">
        <f t="shared" si="6"/>
        <v>-1012.5</v>
      </c>
      <c r="BB27">
        <f t="shared" si="6"/>
        <v>-1048.5</v>
      </c>
      <c r="BC27">
        <f t="shared" si="6"/>
        <v>-1084.5</v>
      </c>
      <c r="BD27">
        <f t="shared" si="6"/>
        <v>-1120.5</v>
      </c>
      <c r="BE27">
        <f t="shared" si="6"/>
        <v>-1156.5</v>
      </c>
      <c r="BF27">
        <f t="shared" si="6"/>
        <v>-1192.5</v>
      </c>
    </row>
    <row r="28" spans="1:70" x14ac:dyDescent="0.3">
      <c r="B28" s="58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2016-09-11T20:15:56Z</dcterms:modified>
</cp:coreProperties>
</file>