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2048" windowHeight="5508" tabRatio="295"/>
  </bookViews>
  <sheets>
    <sheet name="Kinematik" sheetId="1" r:id="rId1"/>
    <sheet name="Theorie" sheetId="2" r:id="rId2"/>
  </sheets>
  <calcPr calcId="145621"/>
</workbook>
</file>

<file path=xl/calcChain.xml><?xml version="1.0" encoding="utf-8"?>
<calcChain xmlns="http://schemas.openxmlformats.org/spreadsheetml/2006/main">
  <c r="F53" i="1" l="1"/>
  <c r="I8" i="1" a="1"/>
  <c r="D53" i="1"/>
  <c r="H53" i="1"/>
  <c r="N53" i="1" l="1"/>
  <c r="P54" i="1"/>
  <c r="N54" i="1"/>
  <c r="N55" i="1"/>
  <c r="O53" i="1"/>
  <c r="O54" i="1"/>
  <c r="O55" i="1"/>
  <c r="P55" i="1"/>
  <c r="P53" i="1"/>
  <c r="G48" i="1" l="1"/>
  <c r="G43" i="1"/>
  <c r="F77" i="1" l="1"/>
  <c r="E123" i="1" l="1"/>
  <c r="E122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N43" i="1" s="1"/>
  <c r="H48" i="1"/>
  <c r="Q49" i="1" s="1"/>
  <c r="C16" i="1"/>
  <c r="C17" i="1"/>
  <c r="C18" i="1"/>
  <c r="C19" i="1"/>
  <c r="C20" i="1"/>
  <c r="C15" i="1"/>
  <c r="N139" i="1" l="1"/>
  <c r="M139" i="1"/>
  <c r="O139" i="1"/>
  <c r="M137" i="1"/>
  <c r="N138" i="1"/>
  <c r="N137" i="1"/>
  <c r="O138" i="1"/>
  <c r="O137" i="1"/>
  <c r="M138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J137" i="1" l="1" a="1"/>
  <c r="R23" i="1" a="1"/>
  <c r="U23" i="1" s="1"/>
  <c r="Q29" i="1"/>
  <c r="P29" i="1"/>
  <c r="Q28" i="1"/>
  <c r="O29" i="1"/>
  <c r="P28" i="1"/>
  <c r="N28" i="1"/>
  <c r="N29" i="1"/>
  <c r="L138" i="1" l="1"/>
  <c r="J139" i="1"/>
  <c r="J137" i="1"/>
  <c r="L137" i="1"/>
  <c r="K139" i="1"/>
  <c r="L139" i="1"/>
  <c r="K138" i="1"/>
  <c r="K137" i="1"/>
  <c r="J138" i="1"/>
  <c r="B142" i="1" a="1"/>
  <c r="C144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B142" i="1" l="1"/>
  <c r="C142" i="1"/>
  <c r="C143" i="1"/>
  <c r="D142" i="1"/>
  <c r="B144" i="1"/>
  <c r="D144" i="1"/>
  <c r="D143" i="1"/>
  <c r="B143" i="1"/>
  <c r="V23" i="1"/>
  <c r="V25" i="1"/>
  <c r="V26" i="1"/>
  <c r="W24" i="1"/>
  <c r="V24" i="1"/>
  <c r="R28" i="1" a="1"/>
  <c r="H142" i="1" l="1" a="1"/>
  <c r="I144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H144" i="1" l="1"/>
  <c r="I142" i="1"/>
  <c r="J143" i="1"/>
  <c r="J142" i="1"/>
  <c r="H143" i="1"/>
  <c r="H142" i="1"/>
  <c r="J144" i="1"/>
  <c r="I143" i="1"/>
  <c r="W29" i="1"/>
  <c r="W28" i="1" s="1"/>
  <c r="V30" i="1"/>
  <c r="V28" i="1"/>
  <c r="V31" i="1"/>
  <c r="V29" i="1"/>
  <c r="R33" i="1" a="1"/>
  <c r="R33" i="1" l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W34" i="1" l="1"/>
  <c r="W33" i="1" s="1"/>
  <c r="V36" i="1"/>
  <c r="V35" i="1"/>
  <c r="V34" i="1"/>
  <c r="V33" i="1"/>
  <c r="R38" i="1" a="1"/>
  <c r="X33" i="1" l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W39" i="1" l="1"/>
  <c r="W38" i="1" s="1"/>
  <c r="V39" i="1"/>
  <c r="V38" i="1"/>
  <c r="V40" i="1"/>
  <c r="V41" i="1"/>
  <c r="R43" i="1" a="1"/>
  <c r="W40" i="1" l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W44" i="1" l="1"/>
  <c r="V45" i="1"/>
  <c r="V44" i="1"/>
  <c r="V43" i="1"/>
  <c r="V46" i="1"/>
  <c r="R48" i="1" a="1"/>
  <c r="W45" i="1" l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R53" i="1" l="1" a="1"/>
  <c r="T56" i="1" s="1"/>
  <c r="V50" i="1"/>
  <c r="G10" i="1" s="1"/>
  <c r="V48" i="1"/>
  <c r="G8" i="1" s="1"/>
  <c r="W49" i="1"/>
  <c r="V49" i="1"/>
  <c r="G9" i="1" s="1"/>
  <c r="V51" i="1"/>
  <c r="U53" i="1" l="1"/>
  <c r="R55" i="1"/>
  <c r="R54" i="1"/>
  <c r="T55" i="1"/>
  <c r="T54" i="1"/>
  <c r="S53" i="1"/>
  <c r="R56" i="1"/>
  <c r="T53" i="1"/>
  <c r="R53" i="1"/>
  <c r="U56" i="1"/>
  <c r="U55" i="1"/>
  <c r="S54" i="1"/>
  <c r="U54" i="1"/>
  <c r="S56" i="1"/>
  <c r="S55" i="1"/>
  <c r="W50" i="1"/>
  <c r="X50" i="1" s="1"/>
  <c r="W48" i="1"/>
  <c r="X48" i="1" s="1"/>
  <c r="X49" i="1"/>
  <c r="H9" i="1" s="1"/>
  <c r="C62" i="1" a="1"/>
  <c r="C64" i="1" s="1"/>
  <c r="V53" i="1" l="1"/>
  <c r="W54" i="1"/>
  <c r="W53" i="1" s="1"/>
  <c r="X53" i="1" s="1"/>
  <c r="I8" i="1" s="1"/>
  <c r="V54" i="1"/>
  <c r="V56" i="1"/>
  <c r="V55" i="1"/>
  <c r="D62" i="1" a="1"/>
  <c r="D63" i="1" s="1"/>
  <c r="B70" i="1" s="1"/>
  <c r="E70" i="1"/>
  <c r="H10" i="1"/>
  <c r="H8" i="1"/>
  <c r="C65" i="1"/>
  <c r="C62" i="1"/>
  <c r="C63" i="1"/>
  <c r="W55" i="1" l="1"/>
  <c r="X55" i="1" s="1"/>
  <c r="I10" i="1" s="1"/>
  <c r="X54" i="1"/>
  <c r="I9" i="1" s="1"/>
  <c r="E63" i="1"/>
  <c r="F63" i="1"/>
  <c r="G63" i="1" s="1"/>
  <c r="H63" i="1" s="1"/>
  <c r="D62" i="1"/>
  <c r="D70" i="1" s="1"/>
  <c r="D64" i="1"/>
  <c r="F64" i="1" s="1"/>
  <c r="G64" i="1" s="1"/>
  <c r="H64" i="1" s="1"/>
  <c r="E69" i="1"/>
  <c r="E68" i="1"/>
  <c r="D68" i="1" l="1"/>
  <c r="F62" i="1"/>
  <c r="G62" i="1" s="1"/>
  <c r="H62" i="1" s="1"/>
  <c r="C70" i="1"/>
  <c r="B68" i="1"/>
  <c r="E64" i="1"/>
  <c r="E62" i="1"/>
  <c r="C69" i="1"/>
  <c r="D69" i="1"/>
  <c r="B69" i="1"/>
  <c r="C68" i="1"/>
  <c r="M142" i="1" a="1"/>
  <c r="M144" i="1" s="1"/>
  <c r="F69" i="1" l="1"/>
  <c r="H69" i="1" s="1"/>
  <c r="I69" i="1" s="1"/>
  <c r="J69" i="1" s="1"/>
  <c r="I75" i="1" a="1"/>
  <c r="K76" i="1" s="1"/>
  <c r="N142" i="1"/>
  <c r="O143" i="1"/>
  <c r="N144" i="1"/>
  <c r="N143" i="1"/>
  <c r="O142" i="1"/>
  <c r="O144" i="1"/>
  <c r="M143" i="1"/>
  <c r="M142" i="1"/>
  <c r="S142" i="1" l="1" a="1"/>
  <c r="T142" i="1" s="1"/>
  <c r="F68" i="1"/>
  <c r="H68" i="1" s="1"/>
  <c r="I68" i="1" s="1"/>
  <c r="J68" i="1" s="1"/>
  <c r="G69" i="1"/>
  <c r="F70" i="1"/>
  <c r="G70" i="1" s="1"/>
  <c r="J75" i="1"/>
  <c r="I75" i="1"/>
  <c r="J78" i="1"/>
  <c r="L75" i="1"/>
  <c r="I77" i="1"/>
  <c r="J77" i="1"/>
  <c r="L78" i="1"/>
  <c r="K75" i="1"/>
  <c r="I76" i="1"/>
  <c r="L77" i="1"/>
  <c r="K78" i="1"/>
  <c r="L76" i="1"/>
  <c r="J76" i="1"/>
  <c r="I78" i="1"/>
  <c r="K77" i="1"/>
  <c r="B89" i="1" a="1"/>
  <c r="B91" i="1" l="1"/>
  <c r="E116" i="1" s="1"/>
  <c r="L103" i="1" s="1"/>
  <c r="G68" i="1"/>
  <c r="T144" i="1"/>
  <c r="D150" i="1" s="1"/>
  <c r="T143" i="1"/>
  <c r="U144" i="1"/>
  <c r="D148" i="1" s="1"/>
  <c r="G149" i="1" s="1"/>
  <c r="S144" i="1"/>
  <c r="D152" i="1" s="1"/>
  <c r="U143" i="1"/>
  <c r="D154" i="1" s="1"/>
  <c r="U142" i="1"/>
  <c r="D156" i="1" s="1"/>
  <c r="S142" i="1"/>
  <c r="S143" i="1"/>
  <c r="H70" i="1"/>
  <c r="I70" i="1" s="1"/>
  <c r="J70" i="1" s="1"/>
  <c r="B89" i="1"/>
  <c r="G4" i="1" s="1"/>
  <c r="B90" i="1"/>
  <c r="G5" i="1" s="1"/>
  <c r="B92" i="1"/>
  <c r="G6" i="1" l="1"/>
  <c r="J149" i="1"/>
  <c r="K149" i="1" s="1"/>
  <c r="G20" i="1" s="1"/>
  <c r="H149" i="1"/>
  <c r="G19" i="1" s="1"/>
  <c r="N149" i="1"/>
  <c r="O149" i="1" s="1"/>
  <c r="G18" i="1" s="1"/>
  <c r="G148" i="1"/>
  <c r="B93" i="1"/>
  <c r="Q121" i="1" s="1"/>
  <c r="H89" i="1"/>
  <c r="I89" i="1" s="1"/>
  <c r="E118" i="1"/>
  <c r="E121" i="1" s="1"/>
  <c r="H90" i="1"/>
  <c r="I90" i="1" s="1"/>
  <c r="H148" i="1" l="1"/>
  <c r="F19" i="1" s="1"/>
  <c r="J148" i="1"/>
  <c r="K148" i="1" s="1"/>
  <c r="F20" i="1" s="1"/>
  <c r="N148" i="1"/>
  <c r="O148" i="1" s="1"/>
  <c r="F18" i="1" s="1"/>
  <c r="Q122" i="1"/>
  <c r="R122" i="1" s="1"/>
  <c r="M121" i="1"/>
  <c r="L102" i="1"/>
  <c r="G91" i="1"/>
  <c r="H91" i="1" s="1"/>
  <c r="I91" i="1" s="1"/>
  <c r="G92" i="1"/>
  <c r="H92" i="1" s="1"/>
  <c r="I15" i="1" s="1"/>
  <c r="M118" i="1"/>
  <c r="M122" i="1" l="1"/>
  <c r="N122" i="1" s="1"/>
  <c r="E15" i="1"/>
  <c r="M116" i="1"/>
  <c r="Q126" i="1" s="1"/>
  <c r="R126" i="1" s="1"/>
  <c r="H16" i="1" s="1"/>
  <c r="S126" i="1" s="1"/>
  <c r="I92" i="1"/>
  <c r="N118" i="1"/>
  <c r="Q127" i="1"/>
  <c r="R127" i="1" s="1"/>
  <c r="Q133" i="1"/>
  <c r="R133" i="1" s="1"/>
  <c r="I17" i="1" s="1"/>
  <c r="M127" i="1"/>
  <c r="N127" i="1" s="1"/>
  <c r="M133" i="1"/>
  <c r="N133" i="1" s="1"/>
  <c r="Q132" i="1" l="1"/>
  <c r="R132" i="1" s="1"/>
  <c r="I16" i="1" s="1"/>
  <c r="N116" i="1"/>
  <c r="M126" i="1"/>
  <c r="N126" i="1" s="1"/>
  <c r="D16" i="1" s="1"/>
  <c r="M132" i="1"/>
  <c r="N132" i="1" s="1"/>
  <c r="E16" i="1" s="1"/>
  <c r="H17" i="1"/>
  <c r="S133" i="1" s="1"/>
  <c r="O133" i="1"/>
  <c r="E17" i="1"/>
  <c r="O127" i="1"/>
  <c r="D17" i="1"/>
  <c r="S132" i="1" l="1"/>
  <c r="O132" i="1"/>
  <c r="O126" i="1"/>
  <c r="S127" i="1"/>
</calcChain>
</file>

<file path=xl/sharedStrings.xml><?xml version="1.0" encoding="utf-8"?>
<sst xmlns="http://schemas.openxmlformats.org/spreadsheetml/2006/main" count="100" uniqueCount="84">
  <si>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</si>
  <si>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</si>
  <si>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</si>
  <si>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</si>
  <si>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</si>
  <si>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</si>
  <si>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</si>
  <si>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</si>
  <si>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</si>
  <si>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</si>
  <si>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</si>
  <si>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</si>
  <si>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</si>
  <si>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</si>
  <si>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</si>
  <si>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</si>
  <si>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</si>
  <si>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</si>
  <si>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</si>
  <si>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</si>
  <si>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</si>
  <si>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</si>
  <si>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</si>
  <si>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</si>
  <si>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</si>
  <si>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</si>
  <si>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</si>
  <si>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</si>
  <si>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</si>
  <si>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</si>
  <si>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</si>
  <si>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</si>
  <si>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</si>
  <si>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</si>
  <si>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</si>
  <si>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</si>
  <si>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</si>
  <si>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</si>
  <si>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</si>
  <si>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</si>
  <si>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</si>
  <si>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</si>
  <si>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</si>
  <si>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</si>
  <si>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</si>
  <si>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</si>
  <si>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</si>
  <si>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</si>
  <si>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</si>
  <si>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</si>
  <si>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</si>
  <si>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</si>
  <si>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</si>
  <si>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</si>
  <si>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</si>
  <si>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</si>
  <si>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</si>
  <si>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</si>
  <si>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</si>
  <si>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</si>
  <si>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</si>
  <si>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</si>
  <si>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</si>
  <si>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</si>
  <si>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</si>
  <si>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</si>
  <si>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</si>
  <si>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</si>
  <si>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</si>
  <si>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</si>
  <si>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</si>
  <si>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</si>
  <si>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</si>
  <si>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</si>
  <si>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</si>
  <si>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</si>
  <si>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</si>
  <si>
    <t>Nick/pitch</t>
  </si>
  <si>
    <t>x</t>
  </si>
  <si>
    <t>y</t>
  </si>
  <si>
    <t>z</t>
  </si>
  <si>
    <t>C</t>
  </si>
  <si>
    <t>B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</si>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</sst>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4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quotePrefix="1" applyNumberFormat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2" fontId="0" fillId="0" borderId="3" xfId="0" applyNumberFormat="1" applyBorder="1"/>
    <xf numFmtId="172" fontId="0" fillId="0" borderId="11" xfId="0" applyNumberFormat="1" applyBorder="1"/>
    <xf numFmtId="172" fontId="0" fillId="0" borderId="4" xfId="0" applyNumberFormat="1" applyBorder="1"/>
    <xf numFmtId="172" fontId="0" fillId="0" borderId="5" xfId="0" applyNumberFormat="1" applyBorder="1"/>
    <xf numFmtId="172" fontId="0" fillId="0" borderId="0" xfId="0" applyNumberFormat="1" applyBorder="1"/>
    <xf numFmtId="172" fontId="0" fillId="0" borderId="6" xfId="0" applyNumberFormat="1" applyBorder="1"/>
    <xf numFmtId="172" fontId="0" fillId="0" borderId="7" xfId="0" applyNumberFormat="1" applyBorder="1"/>
    <xf numFmtId="172" fontId="0" fillId="0" borderId="12" xfId="0" applyNumberFormat="1" applyBorder="1"/>
    <xf numFmtId="172" fontId="0" fillId="0" borderId="8" xfId="0" applyNumberFormat="1" applyBorder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Kinematik!$B$89</c:f>
              <c:numCache>
                <c:formatCode>0.00000</c:formatCode>
                <c:ptCount val="1"/>
                <c:pt idx="0">
                  <c:v>200</c:v>
                </c:pt>
              </c:numCache>
            </c:numRef>
          </c:xVal>
          <c:yVal>
            <c:numRef>
              <c:f>Kinematik!$B$90</c:f>
              <c:numCache>
                <c:formatCode>0.0000</c:formatCode>
                <c:ptCount val="1"/>
                <c:pt idx="0">
                  <c:v>-1.3322676295501878E-14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84256"/>
        <c:axId val="152386176"/>
      </c:scatterChart>
      <c:valAx>
        <c:axId val="152384256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152386176"/>
        <c:crosses val="autoZero"/>
        <c:crossBetween val="midCat"/>
        <c:majorUnit val="300"/>
      </c:valAx>
      <c:valAx>
        <c:axId val="152386176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152384256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Kinematik!$K$102:$L$102</c:f>
              <c:numCache>
                <c:formatCode>General</c:formatCode>
                <c:ptCount val="2"/>
                <c:pt idx="0">
                  <c:v>0</c:v>
                </c:pt>
                <c:pt idx="1">
                  <c:v>200</c:v>
                </c:pt>
              </c:numCache>
            </c:numRef>
          </c:xVal>
          <c:yVal>
            <c:numRef>
              <c:f>Kinematik!$K$103:$L$103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10752"/>
        <c:axId val="152703360"/>
      </c:scatterChart>
      <c:valAx>
        <c:axId val="152410752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152703360"/>
        <c:crosses val="autoZero"/>
        <c:crossBetween val="midCat"/>
        <c:majorUnit val="500"/>
      </c:valAx>
      <c:valAx>
        <c:axId val="152703360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2410752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981247</xdr:colOff>
      <xdr:row>1</xdr:row>
      <xdr:rowOff>79135</xdr:rowOff>
    </xdr:from>
    <xdr:to>
      <xdr:col>14</xdr:col>
      <xdr:colOff>584491</xdr:colOff>
      <xdr:row>11</xdr:row>
      <xdr:rowOff>84490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765" y="312217"/>
          <a:ext cx="5161361" cy="1852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74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87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116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95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114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120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111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124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116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130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126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131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98</xdr:row>
      <xdr:rowOff>62753</xdr:rowOff>
    </xdr:from>
    <xdr:to>
      <xdr:col>5</xdr:col>
      <xdr:colOff>444947</xdr:colOff>
      <xdr:row>111</xdr:row>
      <xdr:rowOff>136782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95</xdr:row>
      <xdr:rowOff>40342</xdr:rowOff>
    </xdr:from>
    <xdr:to>
      <xdr:col>15</xdr:col>
      <xdr:colOff>295835</xdr:colOff>
      <xdr:row>110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135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141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141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144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146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147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141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141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135547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148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147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150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152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147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154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67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74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147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147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147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147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644177</xdr:colOff>
      <xdr:row>52</xdr:row>
      <xdr:rowOff>78760</xdr:rowOff>
    </xdr:from>
    <xdr:ext cx="2689413" cy="7362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𝑉</m:t>
                        </m:r>
                      </m:sub>
                    </m:sSub>
                    <m:sSubSup>
                      <m:sSubSupPr>
                        <m:ctrlPr>
                          <a:rPr lang="de-DE" sz="1100" b="0" i="1">
                            <a:latin typeface="Cambria Math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=</m:t>
                        </m:r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7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𝑇_𝑉 〖=𝑇〗_6^7=</a:t>
              </a:r>
              <a:r>
                <a:rPr lang="de-DE" sz="1100" i="0">
                  <a:latin typeface="Cambria Math"/>
                </a:rPr>
                <a:t>(■8(cos⁡〖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5 〗&amp;−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 〗&amp;</a:t>
              </a:r>
              <a:r>
                <a:rPr lang="de-DE" sz="1100" b="0" i="0">
                  <a:latin typeface="Cambria Math"/>
                </a:rPr>
                <a:t>0&amp;0@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 〗&amp;</a:t>
              </a:r>
              <a:r>
                <a:rPr lang="de-DE" sz="1100" b="0" i="0">
                  <a:latin typeface="Cambria Math"/>
                </a:rPr>
                <a:t>0&amp;0@0&amp;0&amp;1&amp;𝑑_5@0&amp;0&amp;0&amp;1))</a:t>
              </a:r>
              <a:endParaRPr lang="de-DE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286870</xdr:colOff>
      <xdr:row>99</xdr:row>
      <xdr:rowOff>53787</xdr:rowOff>
    </xdr:from>
    <xdr:to>
      <xdr:col>12</xdr:col>
      <xdr:colOff>145223</xdr:colOff>
      <xdr:row>113</xdr:row>
      <xdr:rowOff>0</xdr:rowOff>
    </xdr:to>
    <xdr:pic>
      <xdr:nvPicPr>
        <xdr:cNvPr id="9" name="Grafik 8" descr="https://encrypted-tbn0.gstatic.com/images?q=tbn:ANd9GcR6dqRK5iWrtixSWfDDKDUDawqDGnRKeHokFo4AI0OcJixWjlb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0" y="17803905"/>
          <a:ext cx="7173553" cy="245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8"/>
  <sheetViews>
    <sheetView tabSelected="1" topLeftCell="A40" zoomScale="55" zoomScaleNormal="55" workbookViewId="0">
      <selection activeCell="S67" sqref="S67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6640625" bestFit="1" customWidth="1"/>
    <col min="15" max="15" width="12.109375" bestFit="1" customWidth="1"/>
    <col min="16" max="16" width="10.44140625" customWidth="1"/>
    <col min="17" max="17" width="11.44140625" customWidth="1"/>
    <col min="18" max="18" width="12.44140625" bestFit="1" customWidth="1"/>
    <col min="19" max="19" width="12.77734375" customWidth="1"/>
    <col min="20" max="20" width="12.886718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5">
        <f>B89</f>
        <v>200</v>
      </c>
    </row>
    <row r="5" spans="1:22" x14ac:dyDescent="0.3">
      <c r="G5" s="56">
        <f>B90</f>
        <v>-1.3322676295501878E-14</v>
      </c>
    </row>
    <row r="6" spans="1:22" ht="15" thickBot="1" x14ac:dyDescent="0.35">
      <c r="G6" s="57">
        <f>B91</f>
        <v>400</v>
      </c>
    </row>
    <row r="7" spans="1:22" ht="15" thickBot="1" x14ac:dyDescent="0.35"/>
    <row r="8" spans="1:22" ht="15" thickBot="1" x14ac:dyDescent="0.35">
      <c r="F8" t="s">
        <v>27</v>
      </c>
      <c r="G8" s="110">
        <f>V48</f>
        <v>339.9147157826734</v>
      </c>
      <c r="H8" s="77">
        <f>X48</f>
        <v>-90</v>
      </c>
      <c r="I8" s="77">
        <f t="array" ref="I8:I10">X53:X55</f>
        <v>93</v>
      </c>
    </row>
    <row r="9" spans="1:22" ht="15" thickBot="1" x14ac:dyDescent="0.35">
      <c r="G9" s="111">
        <f>V49</f>
        <v>4.8859295383501378</v>
      </c>
      <c r="H9" s="78">
        <f>X49</f>
        <v>3.0000000000000004</v>
      </c>
      <c r="I9" s="77">
        <v>5.3390701230985497E-19</v>
      </c>
    </row>
    <row r="10" spans="1:22" ht="15" thickBot="1" x14ac:dyDescent="0.35">
      <c r="G10" s="112">
        <f>V50</f>
        <v>400</v>
      </c>
      <c r="H10" s="79">
        <f>X50</f>
        <v>-88</v>
      </c>
      <c r="I10" s="77">
        <v>2.0000000000000036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0</v>
      </c>
      <c r="C15" s="21">
        <f>RADIANS(B15)</f>
        <v>0</v>
      </c>
      <c r="E15" s="20">
        <f>H91</f>
        <v>-3.8166656177562198E-15</v>
      </c>
      <c r="I15" s="20">
        <f>H92</f>
        <v>180</v>
      </c>
      <c r="J15" s="26" t="s">
        <v>42</v>
      </c>
    </row>
    <row r="16" spans="1:22" ht="15.6" x14ac:dyDescent="0.35">
      <c r="A16" s="29" t="s">
        <v>5</v>
      </c>
      <c r="B16" s="30">
        <v>0</v>
      </c>
      <c r="C16" s="21">
        <f t="shared" ref="C16:C20" si="0">RADIANS(B16)</f>
        <v>0</v>
      </c>
      <c r="D16" s="116">
        <f>N126</f>
        <v>0</v>
      </c>
      <c r="E16" s="116">
        <f>N132</f>
        <v>67.380135051959556</v>
      </c>
      <c r="H16" s="116">
        <f>R126</f>
        <v>-67.380135051959556</v>
      </c>
      <c r="I16" s="116">
        <f>R132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21">
        <f t="shared" si="0"/>
        <v>0</v>
      </c>
      <c r="D17" s="117">
        <f>N127</f>
        <v>0</v>
      </c>
      <c r="E17" s="117">
        <f>N133</f>
        <v>-180</v>
      </c>
      <c r="H17" s="117">
        <f>R127</f>
        <v>0</v>
      </c>
      <c r="I17" s="117">
        <f>R133</f>
        <v>-180</v>
      </c>
      <c r="V17">
        <v>0</v>
      </c>
    </row>
    <row r="18" spans="1:24" ht="15.6" x14ac:dyDescent="0.35">
      <c r="A18" s="29" t="s">
        <v>7</v>
      </c>
      <c r="B18" s="30">
        <v>90</v>
      </c>
      <c r="C18" s="21">
        <f t="shared" si="0"/>
        <v>1.5707963267948966</v>
      </c>
      <c r="F18" s="118">
        <f>O148</f>
        <v>90.000000000000185</v>
      </c>
      <c r="G18" s="119">
        <f>O149</f>
        <v>-89.999999999999815</v>
      </c>
      <c r="H18" s="20"/>
      <c r="V18">
        <v>0</v>
      </c>
    </row>
    <row r="19" spans="1:24" ht="15.6" x14ac:dyDescent="0.35">
      <c r="A19" s="29" t="s">
        <v>9</v>
      </c>
      <c r="B19" s="30">
        <v>2</v>
      </c>
      <c r="C19" s="21">
        <f t="shared" si="0"/>
        <v>3.4906585039886591E-2</v>
      </c>
      <c r="F19" s="120">
        <f>H148</f>
        <v>1.9999999999999392</v>
      </c>
      <c r="G19" s="121">
        <f>H149</f>
        <v>-1.9999999999999392</v>
      </c>
      <c r="V19">
        <v>0</v>
      </c>
    </row>
    <row r="20" spans="1:24" ht="16.2" thickBot="1" x14ac:dyDescent="0.4">
      <c r="A20" s="31" t="s">
        <v>10</v>
      </c>
      <c r="B20" s="32">
        <v>3</v>
      </c>
      <c r="C20" s="21">
        <f t="shared" si="0"/>
        <v>5.235987755982989E-2</v>
      </c>
      <c r="F20" s="122">
        <f>K148</f>
        <v>2.9999999999998006</v>
      </c>
      <c r="G20" s="123">
        <f>K149</f>
        <v>-177.0000000000002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0</v>
      </c>
      <c r="H23" s="6">
        <f>RADIANS(G23)</f>
        <v>0</v>
      </c>
      <c r="N23" s="85">
        <f>COS(H23)</f>
        <v>1</v>
      </c>
      <c r="O23" s="69">
        <f>-SIN(H23)*COS(D23)</f>
        <v>0</v>
      </c>
      <c r="P23" s="69">
        <f>SIN(H23)*SIN(D23)</f>
        <v>0</v>
      </c>
      <c r="Q23" s="86">
        <f>E23*COS(H23)</f>
        <v>0</v>
      </c>
      <c r="R23" s="87">
        <f t="array" ref="R23:U26">N23:Q26</f>
        <v>1</v>
      </c>
      <c r="S23" s="88">
        <v>0</v>
      </c>
      <c r="T23" s="88">
        <v>0</v>
      </c>
      <c r="U23" s="89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5">
        <f>SIN(H23)</f>
        <v>0</v>
      </c>
      <c r="O24" s="69">
        <f>COS(H23)*COS(D23)</f>
        <v>6.1257422745431001E-17</v>
      </c>
      <c r="P24" s="69">
        <f>-COS(H23)*SIN(D23)</f>
        <v>1</v>
      </c>
      <c r="Q24" s="86">
        <f>E23*SIN(H23)</f>
        <v>0</v>
      </c>
      <c r="R24" s="87">
        <v>0</v>
      </c>
      <c r="S24" s="88">
        <v>6.1257422745431001E-17</v>
      </c>
      <c r="T24" s="88">
        <v>1</v>
      </c>
      <c r="U24" s="89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5">
        <v>0</v>
      </c>
      <c r="O25" s="69">
        <f>SIN(D23)</f>
        <v>-1</v>
      </c>
      <c r="P25" s="69">
        <f>COS(D23)</f>
        <v>6.1257422745431001E-17</v>
      </c>
      <c r="Q25" s="86">
        <f>F23</f>
        <v>100</v>
      </c>
      <c r="R25" s="87">
        <v>0</v>
      </c>
      <c r="S25" s="88">
        <v>-1</v>
      </c>
      <c r="T25" s="88">
        <v>6.1257422745431001E-17</v>
      </c>
      <c r="U25" s="89">
        <v>100</v>
      </c>
      <c r="V25" s="18">
        <f>$V$17*R25+$V$18*S25+$V$19*T25+$V$20*U25</f>
        <v>100</v>
      </c>
      <c r="W25" s="21">
        <f>IF(ABS(W24)=PI()/2,0,ATAN2(R23,R24))</f>
        <v>0</v>
      </c>
      <c r="X25" s="20">
        <f>DEGREES(W25)</f>
        <v>0</v>
      </c>
    </row>
    <row r="26" spans="1:24" x14ac:dyDescent="0.3">
      <c r="N26" s="85">
        <v>0</v>
      </c>
      <c r="O26" s="69">
        <v>0</v>
      </c>
      <c r="P26" s="69">
        <v>0</v>
      </c>
      <c r="Q26" s="86">
        <v>1</v>
      </c>
      <c r="R26" s="87">
        <v>0</v>
      </c>
      <c r="S26" s="88">
        <v>0</v>
      </c>
      <c r="T26" s="88">
        <v>0</v>
      </c>
      <c r="U26" s="89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 t="shared" ref="D28" si="1"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3">
        <f>COS(H28)</f>
        <v>6.1257422745431001E-17</v>
      </c>
      <c r="O28" s="61">
        <f>-SIN(H28)*COS(D28)</f>
        <v>1</v>
      </c>
      <c r="P28" s="61">
        <f>SIN(H28)*SIN(D28)</f>
        <v>0</v>
      </c>
      <c r="Q28" s="84">
        <f>E28*COS(H28)</f>
        <v>1.83772268236293E-14</v>
      </c>
      <c r="R28" s="87">
        <f t="array" ref="R28:U31">MMULT(R23:U26,N28:Q31)</f>
        <v>6.1257422745431001E-17</v>
      </c>
      <c r="S28" s="88">
        <v>1</v>
      </c>
      <c r="T28" s="88">
        <v>0</v>
      </c>
      <c r="U28" s="89">
        <v>1.83772268236293E-14</v>
      </c>
      <c r="V28" s="18">
        <f>$V$17*R28+$V$18*S28+$V$19*T28+$V$20*U28</f>
        <v>1.83772268236293E-14</v>
      </c>
      <c r="W28" s="21">
        <f>IF(W29=PI()/2,ATAN2(S29,S28),IF(-W29=PI()/2,-ATAN2(S29,S28),ATAN2(T30,S30)))</f>
        <v>-1.5707963267948966</v>
      </c>
      <c r="X28" s="20">
        <f>DEGREES(W28)</f>
        <v>-90</v>
      </c>
    </row>
    <row r="29" spans="1:24" x14ac:dyDescent="0.3">
      <c r="N29" s="83">
        <f>SIN(H28)</f>
        <v>-1</v>
      </c>
      <c r="O29" s="61">
        <f>COS(H28)*COS(D28)</f>
        <v>6.1257422745431001E-17</v>
      </c>
      <c r="P29" s="61">
        <f>-COS(H28)*SIN(D28)</f>
        <v>0</v>
      </c>
      <c r="Q29" s="84">
        <f>E28*SIN(H28)</f>
        <v>-300</v>
      </c>
      <c r="R29" s="87">
        <v>-6.1257422745431001E-17</v>
      </c>
      <c r="S29" s="88">
        <v>3.7524718414124473E-33</v>
      </c>
      <c r="T29" s="88">
        <v>1</v>
      </c>
      <c r="U29" s="89">
        <v>-1.83772268236293E-14</v>
      </c>
      <c r="V29" s="18">
        <f>$V$17*R29+$V$19*S29+$V$18*T29+$V$20*U29</f>
        <v>-1.83772268236293E-14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3">
        <v>0</v>
      </c>
      <c r="O30" s="61">
        <f>SIN(D28)</f>
        <v>0</v>
      </c>
      <c r="P30" s="61">
        <f>COS(D28)</f>
        <v>1</v>
      </c>
      <c r="Q30" s="84">
        <f>F28</f>
        <v>0</v>
      </c>
      <c r="R30" s="87">
        <v>1</v>
      </c>
      <c r="S30" s="88">
        <v>-6.1257422745431001E-17</v>
      </c>
      <c r="T30" s="88">
        <v>6.1257422745431001E-17</v>
      </c>
      <c r="U30" s="89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3">
        <v>0</v>
      </c>
      <c r="O31" s="61">
        <v>0</v>
      </c>
      <c r="P31" s="61">
        <v>0</v>
      </c>
      <c r="Q31" s="84">
        <v>1</v>
      </c>
      <c r="R31" s="87">
        <v>0</v>
      </c>
      <c r="S31" s="88">
        <v>0</v>
      </c>
      <c r="T31" s="88">
        <v>0</v>
      </c>
      <c r="U31" s="89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5">
        <f>COS(H33)</f>
        <v>1</v>
      </c>
      <c r="O33" s="69">
        <f>-SIN(H33)*COS(D33)</f>
        <v>0</v>
      </c>
      <c r="P33" s="69">
        <f>SIN(H33)*SIN(D33)</f>
        <v>0</v>
      </c>
      <c r="Q33" s="86">
        <f>E33*COS(H33)</f>
        <v>0</v>
      </c>
      <c r="R33" s="62">
        <f t="array" ref="R33:U36">MMULT(R28:U31,N33:Q36)</f>
        <v>6.1257422745431001E-17</v>
      </c>
      <c r="S33" s="63">
        <v>6.1257422745431001E-17</v>
      </c>
      <c r="T33" s="63">
        <v>1</v>
      </c>
      <c r="U33" s="64">
        <v>1.83772268236293E-14</v>
      </c>
      <c r="V33" s="18">
        <f>$V$17*R33+$V$18*S33+$V$19*T33+$V$20*U33</f>
        <v>1.83772268236293E-14</v>
      </c>
      <c r="W33" s="21">
        <f>IF(W34=PI()/2,ATAN2(S34,S33),IF(-W34=PI()/2,-ATAN2(S34,S33),ATAN2(T35,S35)))</f>
        <v>-3.1415926535897931</v>
      </c>
      <c r="X33" s="20">
        <f>DEGREES(W33)</f>
        <v>-180</v>
      </c>
    </row>
    <row r="34" spans="1:26" x14ac:dyDescent="0.3">
      <c r="N34" s="85">
        <f>SIN(H33)</f>
        <v>0</v>
      </c>
      <c r="O34" s="69">
        <f>COS(H33)*COS(D33)</f>
        <v>6.1257422745431001E-17</v>
      </c>
      <c r="P34" s="69">
        <f>-COS(H33)*SIN(D33)</f>
        <v>1</v>
      </c>
      <c r="Q34" s="86">
        <f>E33*SIN(H33)</f>
        <v>0</v>
      </c>
      <c r="R34" s="62">
        <v>-6.1257422745431001E-17</v>
      </c>
      <c r="S34" s="63">
        <v>-1</v>
      </c>
      <c r="T34" s="63">
        <v>6.1257422745431001E-17</v>
      </c>
      <c r="U34" s="64">
        <v>-1.83772268236293E-14</v>
      </c>
      <c r="V34" s="18">
        <f>$V$17*R34+$V$19*S34+$V$18*T34+$V$20*U34</f>
        <v>-1.83772268236293E-14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5">
        <v>0</v>
      </c>
      <c r="O35" s="69">
        <f>SIN(D33)</f>
        <v>-1</v>
      </c>
      <c r="P35" s="69">
        <f>COS(D33)</f>
        <v>6.1257422745431001E-17</v>
      </c>
      <c r="Q35" s="86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5">
        <v>0</v>
      </c>
      <c r="O36" s="69">
        <v>0</v>
      </c>
      <c r="P36" s="69">
        <v>0</v>
      </c>
      <c r="Q36" s="86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90</v>
      </c>
      <c r="H38" s="6">
        <f>RADIANS(G38)</f>
        <v>1.5707963267948966</v>
      </c>
      <c r="N38" s="11">
        <f>COS(H38)</f>
        <v>6.1257422745431001E-17</v>
      </c>
      <c r="O38" s="12">
        <f>-SIN(H38)*COS(D38)</f>
        <v>-6.1257422745431001E-17</v>
      </c>
      <c r="P38" s="12">
        <f>SIN(H38)*SIN(D38)</f>
        <v>1</v>
      </c>
      <c r="Q38" s="13">
        <f>E38*COS(H38)</f>
        <v>0</v>
      </c>
      <c r="R38" s="62">
        <f t="array" ref="R38:U41">MMULT(R33:U36,N38:Q41)</f>
        <v>6.1257422745431001E-17</v>
      </c>
      <c r="S38" s="63">
        <v>1</v>
      </c>
      <c r="T38" s="63">
        <v>1.22514845490862E-16</v>
      </c>
      <c r="U38" s="64">
        <v>200.00000000000003</v>
      </c>
      <c r="V38" s="18">
        <f>$V$17*R38+$V$18*S38+$V$19*T38+$V$20*U38</f>
        <v>200.00000000000003</v>
      </c>
      <c r="W38" s="21">
        <f>IF(W39=PI()/2,ATAN2(S39,S38),IF(-W39=PI()/2,-ATAN2(S39,S38),ATAN2(T40,S40)))</f>
        <v>-1.22514845490862E-16</v>
      </c>
      <c r="X38" s="20">
        <f>DEGREES(W38)</f>
        <v>-7.0195835743237771E-15</v>
      </c>
    </row>
    <row r="39" spans="1:26" x14ac:dyDescent="0.3">
      <c r="N39" s="11">
        <f>SIN(H38)</f>
        <v>1</v>
      </c>
      <c r="O39" s="12">
        <f>COS(H38)*COS(D38)</f>
        <v>3.7524718414124473E-33</v>
      </c>
      <c r="P39" s="12">
        <f>-COS(H38)*SIN(D38)</f>
        <v>-6.1257422745431001E-17</v>
      </c>
      <c r="Q39" s="13">
        <f>E38*SIN(H38)</f>
        <v>0</v>
      </c>
      <c r="R39" s="62">
        <v>-1</v>
      </c>
      <c r="S39" s="63">
        <v>6.1257422745431001E-17</v>
      </c>
      <c r="T39" s="63">
        <v>3.7524718414124473E-33</v>
      </c>
      <c r="U39" s="64">
        <v>-6.1257422745431001E-15</v>
      </c>
      <c r="V39" s="18">
        <f>$V$17*R39+$V$19*S39+$V$18*T39+$V$20*U39</f>
        <v>-6.1257422745431001E-15</v>
      </c>
      <c r="W39" s="21">
        <f>ATAN2(SQRT(R38^2+R39^2),-R40)</f>
        <v>0</v>
      </c>
      <c r="X39" s="20">
        <f>DEGREES(W39)</f>
        <v>0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0</v>
      </c>
      <c r="S40" s="63">
        <v>-1.22514845490862E-16</v>
      </c>
      <c r="T40" s="63">
        <v>1</v>
      </c>
      <c r="U40" s="64">
        <v>400</v>
      </c>
      <c r="V40" s="18">
        <f>$V$17*R40+$V$18*S40+$V$19*T40+$V$20*U40</f>
        <v>400</v>
      </c>
      <c r="W40" s="21">
        <f>IF(ABS(W39)=PI()/2,0,ATAN2(R38,R39))</f>
        <v>-1.5707963267948966</v>
      </c>
      <c r="X40" s="20">
        <f>DEGREES(W40)</f>
        <v>-90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8">
        <f>B19</f>
        <v>2</v>
      </c>
      <c r="H43" s="6">
        <f>RADIANS(G43)</f>
        <v>3.4906585039886591E-2</v>
      </c>
      <c r="N43" s="11">
        <f>COS(H43)</f>
        <v>0.99939082701909576</v>
      </c>
      <c r="O43" s="12">
        <f>-SIN(H43)*COS(D43)</f>
        <v>-2.1378532231078771E-18</v>
      </c>
      <c r="P43" s="12">
        <f>SIN(H43)*SIN(D43)</f>
        <v>-3.4899496702500969E-2</v>
      </c>
      <c r="Q43" s="13">
        <f>E43*COS(H43)</f>
        <v>0</v>
      </c>
      <c r="R43" s="62">
        <f t="array" ref="R43:U46">MMULT(R38:U41,N43:Q46)</f>
        <v>3.4899496702501032E-2</v>
      </c>
      <c r="S43" s="63">
        <v>-6.1294739112247347E-17</v>
      </c>
      <c r="T43" s="63">
        <v>0.99939082701909576</v>
      </c>
      <c r="U43" s="64">
        <v>200.00000000000003</v>
      </c>
      <c r="V43" s="18">
        <f>$V$17*R43+$V$18*S43+$V$19*T43+$V$20*U43</f>
        <v>200.00000000000003</v>
      </c>
      <c r="W43" s="21">
        <f>IF(W44=PI()/2,ATAN2(S44,S43),IF(-W44=PI()/2,-ATAN2(S44,S43),ATAN2(T45,S45)))</f>
        <v>-1.5707963267948966</v>
      </c>
      <c r="X43" s="20">
        <f>DEGREES(W43)</f>
        <v>-90</v>
      </c>
    </row>
    <row r="44" spans="1:26" x14ac:dyDescent="0.3">
      <c r="N44" s="11">
        <f>SIN(H43)</f>
        <v>3.4899496702500969E-2</v>
      </c>
      <c r="O44" s="12">
        <f>COS(H43)*COS(D43)</f>
        <v>6.1220106378614654E-17</v>
      </c>
      <c r="P44" s="12">
        <f>-COS(H43)*SIN(D43)</f>
        <v>0.99939082701909576</v>
      </c>
      <c r="Q44" s="13">
        <f>E43*SIN(H43)</f>
        <v>0</v>
      </c>
      <c r="R44" s="62">
        <v>-0.99939082701909576</v>
      </c>
      <c r="S44" s="63">
        <v>2.1378532231078771E-18</v>
      </c>
      <c r="T44" s="63">
        <v>3.4899496702501032E-2</v>
      </c>
      <c r="U44" s="64">
        <v>-6.1257422745431001E-15</v>
      </c>
      <c r="V44" s="18">
        <f>$V$17*R44+$V$19*S44+$V$18*T44+$V$20*U44</f>
        <v>-6.1257422745431001E-15</v>
      </c>
      <c r="W44" s="21">
        <f>ATAN2(SQRT(R43^2+R44^2),-R45)</f>
        <v>4.2757064462157541E-18</v>
      </c>
      <c r="X44" s="20">
        <f>DEGREES(W44)</f>
        <v>2.4497993380504262E-16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-4.2757064462157541E-18</v>
      </c>
      <c r="S45" s="63">
        <v>-1</v>
      </c>
      <c r="T45" s="63">
        <v>-6.1182790011798308E-17</v>
      </c>
      <c r="U45" s="64">
        <v>400</v>
      </c>
      <c r="V45" s="18">
        <f>$V$17*R45+$V$18*S45+$V$19*T45+$V$20*U45</f>
        <v>400</v>
      </c>
      <c r="W45" s="21">
        <f>IF(ABS(W44)=PI()/2,0,ATAN2(R43,R44))</f>
        <v>-1.5358897417550099</v>
      </c>
      <c r="X45" s="20">
        <f>DEGREES(W45)</f>
        <v>-88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7">
        <f>B20</f>
        <v>3</v>
      </c>
      <c r="H48" s="6">
        <f>RADIANS(G48)</f>
        <v>5.235987755982989E-2</v>
      </c>
      <c r="N48" s="11">
        <f>COS(H48)</f>
        <v>0.99862953475457383</v>
      </c>
      <c r="O48" s="12">
        <f>-SIN(H48)*COS(D48)</f>
        <v>-5.2335956242943835E-2</v>
      </c>
      <c r="P48" s="12">
        <f>SIN(H48)*SIN(D48)</f>
        <v>0</v>
      </c>
      <c r="Q48" s="13">
        <f>E48*COS(H48)</f>
        <v>0</v>
      </c>
      <c r="R48" s="95">
        <f t="array" ref="R48:U51">MMULT(R43:U46,N48:Q51)</f>
        <v>3.4851668155187386E-2</v>
      </c>
      <c r="S48" s="96">
        <v>-1.8264985323229177E-3</v>
      </c>
      <c r="T48" s="96">
        <v>0.99939082701909576</v>
      </c>
      <c r="U48" s="89">
        <v>339.9147157826734</v>
      </c>
      <c r="V48" s="18">
        <f>$V$17*R48+$V$18*S48+$V$19*T48+$V$20*U48</f>
        <v>339.9147157826734</v>
      </c>
      <c r="W48" s="90">
        <f>IF(W49=PI()/2,ATAN2(S49,S48),IF(-W49=PI()/2,-ATAN2(S49,S48),ATAN2(T50,S50)))</f>
        <v>-1.5707963267948966</v>
      </c>
      <c r="X48" s="20">
        <f>DEGREES(W48)</f>
        <v>-90</v>
      </c>
      <c r="Y48" s="1" t="s">
        <v>76</v>
      </c>
      <c r="Z48" t="s">
        <v>75</v>
      </c>
    </row>
    <row r="49" spans="1:26" x14ac:dyDescent="0.3">
      <c r="N49" s="11">
        <f>SIN(H48)</f>
        <v>5.2335956242943835E-2</v>
      </c>
      <c r="O49" s="12">
        <f>COS(H48)*COS(D48)</f>
        <v>0.99862953475457383</v>
      </c>
      <c r="P49" s="12">
        <f>-COS(H48)*SIN(D48)</f>
        <v>0</v>
      </c>
      <c r="Q49" s="13">
        <f>E48*SIN(H48)</f>
        <v>0</v>
      </c>
      <c r="R49" s="95">
        <v>-0.99802119662406841</v>
      </c>
      <c r="S49" s="96">
        <v>5.2304074592470849E-2</v>
      </c>
      <c r="T49" s="96">
        <v>3.4899496702501032E-2</v>
      </c>
      <c r="U49" s="89">
        <v>4.8859295383501378</v>
      </c>
      <c r="V49" s="18">
        <f>$V$17*R49+$V$19*S49+$V$18*T49+$V$20*U49</f>
        <v>4.8859295383501378</v>
      </c>
      <c r="W49" s="90">
        <f>ATAN2(SQRT(R48^2+R49^2),-R50)</f>
        <v>5.2359877559829897E-2</v>
      </c>
      <c r="X49" s="20">
        <f>DEGREES(W49)</f>
        <v>3.0000000000000004</v>
      </c>
      <c r="Y49" s="1" t="s">
        <v>73</v>
      </c>
      <c r="Z49" t="s">
        <v>77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5">
        <v>-5.2335956242943842E-2</v>
      </c>
      <c r="S50" s="96">
        <v>-0.99862953475457383</v>
      </c>
      <c r="T50" s="96">
        <v>-6.1182790011798308E-17</v>
      </c>
      <c r="U50" s="89">
        <v>400</v>
      </c>
      <c r="V50" s="18">
        <f>$V$17*R50+$V$19*S50+$V$18*T50+$V$20*U50</f>
        <v>400</v>
      </c>
      <c r="W50" s="90">
        <f>IF(ABS(W49)=PI()/2,0,ATAN2(R48,R49))</f>
        <v>-1.5358897417550099</v>
      </c>
      <c r="X50" s="20">
        <f>DEGREES(W50)</f>
        <v>-88</v>
      </c>
      <c r="Y50" s="1" t="s">
        <v>71</v>
      </c>
      <c r="Z50" t="s">
        <v>72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5">
        <v>0</v>
      </c>
      <c r="S51" s="96">
        <v>0</v>
      </c>
      <c r="T51" s="96">
        <v>0</v>
      </c>
      <c r="U51" s="89">
        <v>1</v>
      </c>
      <c r="V51" s="18">
        <f>$V$17*R51+$V$18*S51+$V$19*T51+$V$20*U51</f>
        <v>1</v>
      </c>
      <c r="W51" s="8"/>
    </row>
    <row r="52" spans="1:26" x14ac:dyDescent="0.3">
      <c r="C52" t="s">
        <v>78</v>
      </c>
      <c r="D52" t="s">
        <v>83</v>
      </c>
      <c r="E52" t="s">
        <v>79</v>
      </c>
      <c r="F52" t="s">
        <v>82</v>
      </c>
      <c r="G52" t="s">
        <v>80</v>
      </c>
      <c r="H52" t="s">
        <v>81</v>
      </c>
      <c r="N52" s="12"/>
      <c r="O52" s="12"/>
      <c r="P52" s="12"/>
      <c r="Q52" s="12"/>
      <c r="R52" s="88"/>
      <c r="S52" s="88"/>
      <c r="T52" s="88"/>
      <c r="U52" s="88"/>
      <c r="V52" s="18"/>
      <c r="W52" s="8"/>
    </row>
    <row r="53" spans="1:26" x14ac:dyDescent="0.3">
      <c r="C53">
        <v>-90</v>
      </c>
      <c r="D53" s="3">
        <f>RADIANS(C53)</f>
        <v>-1.5707963267948966</v>
      </c>
      <c r="E53">
        <v>-90</v>
      </c>
      <c r="F53" s="6">
        <f>RADIANS(E53)</f>
        <v>-1.5707963267948966</v>
      </c>
      <c r="G53">
        <v>-90</v>
      </c>
      <c r="H53" s="6">
        <f>RADIANS(G53)</f>
        <v>-1.5707963267948966</v>
      </c>
      <c r="N53" s="11">
        <f>COS(H53)*COS(F53)</f>
        <v>3.7524718414124473E-33</v>
      </c>
      <c r="O53" s="12">
        <f>-SIN(H53)*COS(D53)+COS(H53)*SIN(F53)*SIN(D53)</f>
        <v>1.22514845490862E-16</v>
      </c>
      <c r="P53" s="12">
        <f>SIN(H53)*SIN(D53)+COS(H53)*SIN(F53)*COS(D53)</f>
        <v>1</v>
      </c>
      <c r="Q53" s="13">
        <v>0</v>
      </c>
      <c r="R53" s="95">
        <f t="array" ref="R53:U56">MMULT(R48:U51,N53:Q56)</f>
        <v>0.99939082701909576</v>
      </c>
      <c r="S53" s="96">
        <v>1.8264985323228609E-3</v>
      </c>
      <c r="T53" s="96">
        <v>3.4851668155187386E-2</v>
      </c>
      <c r="U53" s="89">
        <v>0</v>
      </c>
      <c r="V53" s="18">
        <f>$V$17*R53+$V$18*S53+$V$19*T53+$V$20*U53</f>
        <v>0</v>
      </c>
      <c r="W53" s="90">
        <f>IF(W54=PI()/2,ATAN2(S54,S53),IF(-W54=PI()/2,-ATAN2(S54,S53),ATAN2(T55,S55)))</f>
        <v>1.6231562043547265</v>
      </c>
      <c r="X53" s="20">
        <f>DEGREES(W53)</f>
        <v>93</v>
      </c>
      <c r="Y53" s="1" t="s">
        <v>76</v>
      </c>
      <c r="Z53" t="s">
        <v>75</v>
      </c>
    </row>
    <row r="54" spans="1:26" x14ac:dyDescent="0.3">
      <c r="N54" s="11">
        <f>SIN(H53)*COS(F53)</f>
        <v>-6.1257422745431001E-17</v>
      </c>
      <c r="O54" s="12">
        <f>COS(H53)*COS(D53)+SIN(H53)*SIN(F53)*SIN(D53)</f>
        <v>-1</v>
      </c>
      <c r="P54" s="12">
        <f>-COS(H53)*SIN(D53)+SIN(H53)*SIN(F53)*COS(D53)</f>
        <v>1.22514845490862E-16</v>
      </c>
      <c r="Q54" s="13">
        <v>0</v>
      </c>
      <c r="R54" s="95">
        <v>3.4899496702501032E-2</v>
      </c>
      <c r="S54" s="96">
        <v>-5.2304074592470974E-2</v>
      </c>
      <c r="T54" s="96">
        <v>-0.99802119662406841</v>
      </c>
      <c r="U54" s="89">
        <v>0</v>
      </c>
      <c r="V54" s="18">
        <f>$V$17*R54+$V$19*S54+$V$18*T54+$V$20*U54</f>
        <v>0</v>
      </c>
      <c r="W54" s="90">
        <f>ATAN2(SQRT(R53^2+R54^2),-R55)</f>
        <v>9.3184352642928652E-21</v>
      </c>
      <c r="X54" s="20">
        <f>DEGREES(W54)</f>
        <v>5.3390701230985497E-19</v>
      </c>
      <c r="Y54" s="1" t="s">
        <v>73</v>
      </c>
      <c r="Z54" t="s">
        <v>77</v>
      </c>
    </row>
    <row r="55" spans="1:26" x14ac:dyDescent="0.3">
      <c r="N55" s="11">
        <f>-SIN(F53)</f>
        <v>1</v>
      </c>
      <c r="O55" s="12">
        <f>SIN(D53)*COS(F53)</f>
        <v>-6.1257422745431001E-17</v>
      </c>
      <c r="P55" s="12">
        <f>COS(D53)*COS(F53)</f>
        <v>3.7524718414124473E-33</v>
      </c>
      <c r="Q55" s="13">
        <v>0</v>
      </c>
      <c r="R55" s="95">
        <v>-9.3184352642928652E-21</v>
      </c>
      <c r="S55" s="96">
        <v>0.99862953475457383</v>
      </c>
      <c r="T55" s="96">
        <v>-5.2335956242943966E-2</v>
      </c>
      <c r="U55" s="89">
        <v>0</v>
      </c>
      <c r="V55" s="18">
        <f>$V$17*R55+$V$19*S55+$V$18*T55+$V$20*U55</f>
        <v>0</v>
      </c>
      <c r="W55" s="90">
        <f>IF(ABS(W54)=PI()/2,0,ATAN2(R53,R54))</f>
        <v>3.4906585039886653E-2</v>
      </c>
      <c r="X55" s="20">
        <f>DEGREES(W55)</f>
        <v>2.0000000000000036</v>
      </c>
      <c r="Y55" s="1" t="s">
        <v>71</v>
      </c>
      <c r="Z55" t="s">
        <v>72</v>
      </c>
    </row>
    <row r="56" spans="1:26" x14ac:dyDescent="0.3">
      <c r="N56" s="11">
        <v>0</v>
      </c>
      <c r="O56" s="12">
        <v>0</v>
      </c>
      <c r="P56" s="12">
        <v>0</v>
      </c>
      <c r="Q56" s="13">
        <v>0</v>
      </c>
      <c r="R56" s="95">
        <v>0</v>
      </c>
      <c r="S56" s="96">
        <v>0</v>
      </c>
      <c r="T56" s="96">
        <v>0</v>
      </c>
      <c r="U56" s="89">
        <v>0</v>
      </c>
      <c r="V56" s="18">
        <f>$V$17*R56+$V$18*S56+$V$19*T56+$V$20*U56</f>
        <v>0</v>
      </c>
      <c r="W56" s="8"/>
    </row>
    <row r="57" spans="1:26" x14ac:dyDescent="0.3">
      <c r="N57" s="12"/>
      <c r="O57" s="12"/>
      <c r="P57" s="12"/>
      <c r="Q57" s="12"/>
      <c r="R57" s="88"/>
      <c r="S57" s="88"/>
      <c r="T57" s="88"/>
      <c r="U57" s="88"/>
      <c r="V57" s="18"/>
      <c r="W57" s="8"/>
    </row>
    <row r="58" spans="1:26" x14ac:dyDescent="0.3">
      <c r="N58" s="12"/>
      <c r="O58" s="12"/>
      <c r="P58" s="12"/>
      <c r="Q58" s="12"/>
      <c r="R58" s="88"/>
      <c r="S58" s="88"/>
      <c r="T58" s="88"/>
      <c r="U58" s="88"/>
      <c r="V58" s="18"/>
      <c r="W58" s="8"/>
    </row>
    <row r="59" spans="1:26" x14ac:dyDescent="0.3">
      <c r="A59" s="15" t="s">
        <v>26</v>
      </c>
    </row>
    <row r="60" spans="1:26" x14ac:dyDescent="0.3">
      <c r="A60" s="15"/>
    </row>
    <row r="61" spans="1:26" x14ac:dyDescent="0.3">
      <c r="C61" t="s">
        <v>13</v>
      </c>
      <c r="D61" t="s">
        <v>64</v>
      </c>
      <c r="G61" t="s">
        <v>62</v>
      </c>
    </row>
    <row r="62" spans="1:26" x14ac:dyDescent="0.3">
      <c r="A62" t="s">
        <v>27</v>
      </c>
      <c r="C62" s="7">
        <f t="array" ref="C62:C65">V48:V51</f>
        <v>339.9147157826734</v>
      </c>
      <c r="D62" s="21">
        <f t="array" ref="D62:D64">W48:W50</f>
        <v>-1.5707963267948966</v>
      </c>
      <c r="E62" s="20">
        <f>DEGREES(D62)</f>
        <v>-90</v>
      </c>
      <c r="F62" s="91">
        <f>D62+PI()</f>
        <v>1.5707963267948966</v>
      </c>
      <c r="G62" s="21">
        <f>IF(F62&gt;PI(),F62-2*PI(),F62)</f>
        <v>1.5707963267948966</v>
      </c>
      <c r="H62" s="20">
        <f>DEGREES(G62)</f>
        <v>90</v>
      </c>
    </row>
    <row r="63" spans="1:26" x14ac:dyDescent="0.3">
      <c r="C63" s="7">
        <v>4.8859295383501378</v>
      </c>
      <c r="D63" s="21">
        <v>5.2359877559829897E-2</v>
      </c>
      <c r="E63" s="20">
        <f>DEGREES(D63)</f>
        <v>3.0000000000000004</v>
      </c>
      <c r="F63" s="91">
        <f>D63+PI()/2</f>
        <v>1.6231562043547265</v>
      </c>
      <c r="G63" s="21">
        <f>IF(F63&gt;PI(),F63-2*PI(),F63)</f>
        <v>1.6231562043547265</v>
      </c>
      <c r="H63" s="20">
        <f>DEGREES(G63)</f>
        <v>93</v>
      </c>
    </row>
    <row r="64" spans="1:26" x14ac:dyDescent="0.3">
      <c r="C64" s="7">
        <v>400</v>
      </c>
      <c r="D64" s="21">
        <v>-1.5358897417550099</v>
      </c>
      <c r="E64" s="20">
        <f>DEGREES(D64)</f>
        <v>-88</v>
      </c>
      <c r="F64" s="91">
        <f>D64</f>
        <v>-1.5358897417550099</v>
      </c>
      <c r="G64" s="21">
        <f>IF(F64&gt;PI(),F64-2*PI(),F64)</f>
        <v>-1.5358897417550099</v>
      </c>
      <c r="H64" s="20">
        <f>DEGREES(G64)</f>
        <v>-88</v>
      </c>
      <c r="P64" s="90"/>
    </row>
    <row r="65" spans="1:15" x14ac:dyDescent="0.3">
      <c r="C65" s="7">
        <v>1</v>
      </c>
    </row>
    <row r="66" spans="1:15" x14ac:dyDescent="0.3">
      <c r="C66" s="7"/>
      <c r="O66" s="7"/>
    </row>
    <row r="67" spans="1:15" x14ac:dyDescent="0.3">
      <c r="A67" t="s">
        <v>66</v>
      </c>
      <c r="F67" t="s">
        <v>64</v>
      </c>
      <c r="I67" t="s">
        <v>62</v>
      </c>
    </row>
    <row r="68" spans="1:15" x14ac:dyDescent="0.3">
      <c r="B68" s="108">
        <f>COS(D64)*COS(D63)</f>
        <v>3.4851668155187435E-2</v>
      </c>
      <c r="C68" s="108">
        <f>SIN(D62)*SIN(D63)*COS(D64)-COS(D62)*SIN(D64)</f>
        <v>-1.8264985323227982E-3</v>
      </c>
      <c r="D68" s="108">
        <f>COS(D62)*SIN(D63)*COS(D64)+SIN(D62)*SIN(D64)</f>
        <v>0.99939082701909576</v>
      </c>
      <c r="E68" s="93">
        <f>C62</f>
        <v>339.9147157826734</v>
      </c>
      <c r="F68" s="90">
        <f>IF(F69=PI()/2,ATAN2(C69,C68),IF(-F69=PI()/2,-ATAN2(C69,C68),ATAN2(D70,C70)))</f>
        <v>-1.5707963267948966</v>
      </c>
      <c r="G68" s="7">
        <f>DEGREES(F68)</f>
        <v>-90</v>
      </c>
      <c r="H68" s="91">
        <f>F68+PI()</f>
        <v>1.5707963267948966</v>
      </c>
      <c r="I68" s="21">
        <f>IF(H68&gt;PI(),H68-2*PI(),H68)</f>
        <v>1.5707963267948966</v>
      </c>
      <c r="J68" s="20">
        <f>DEGREES(I68)</f>
        <v>90</v>
      </c>
    </row>
    <row r="69" spans="1:15" x14ac:dyDescent="0.3">
      <c r="B69" s="108">
        <f>COS(D63)*SIN(D64)</f>
        <v>-0.99802119662406841</v>
      </c>
      <c r="C69" s="108">
        <f>SIN(D62)*SIN(D63)*SIN(D64)+COS(D62)*COS(D64)</f>
        <v>5.2304074592470856E-2</v>
      </c>
      <c r="D69" s="108">
        <f>COS(D62)*SIN(D63)*SIN(D64)-SIN(D62)*COS(D64)</f>
        <v>3.489949670250108E-2</v>
      </c>
      <c r="E69" s="93">
        <f>C63</f>
        <v>4.8859295383501378</v>
      </c>
      <c r="F69" s="90">
        <f>ATAN2(SQRT(B68^2+B69^2),-B70)</f>
        <v>5.2359877559829897E-2</v>
      </c>
      <c r="G69" s="7">
        <f>DEGREES(F69)</f>
        <v>3.0000000000000004</v>
      </c>
      <c r="H69" s="91">
        <f>F69+PI()/2</f>
        <v>1.6231562043547265</v>
      </c>
      <c r="I69" s="21">
        <f>IF(H69&gt;PI(),H69-2*PI(),H69)</f>
        <v>1.6231562043547265</v>
      </c>
      <c r="J69" s="20">
        <f>DEGREES(I69)</f>
        <v>93</v>
      </c>
    </row>
    <row r="70" spans="1:15" x14ac:dyDescent="0.3">
      <c r="B70" s="108">
        <f>-SIN(D63)</f>
        <v>-5.2335956242943842E-2</v>
      </c>
      <c r="C70" s="108">
        <f>SIN(D62)*COS(D63)</f>
        <v>-0.99862953475457383</v>
      </c>
      <c r="D70" s="108">
        <f>COS(D62)*COS(D63)</f>
        <v>6.1173471576534015E-17</v>
      </c>
      <c r="E70" s="93">
        <f>C64</f>
        <v>400</v>
      </c>
      <c r="F70" s="90">
        <f>IF(ABS(F69)=PI()/2,0,ATAN2(B68,B69))</f>
        <v>-1.5358897417550099</v>
      </c>
      <c r="G70" s="7">
        <f>DEGREES(F70)</f>
        <v>-88</v>
      </c>
      <c r="H70" s="91">
        <f>F70</f>
        <v>-1.5358897417550099</v>
      </c>
      <c r="I70" s="21">
        <f>IF(H70&gt;PI(),H70-2*PI(),H70)</f>
        <v>-1.5358897417550099</v>
      </c>
      <c r="J70" s="20">
        <f>DEGREES(I70)</f>
        <v>-88</v>
      </c>
    </row>
    <row r="71" spans="1:15" x14ac:dyDescent="0.3">
      <c r="B71" s="93">
        <v>0</v>
      </c>
      <c r="C71" s="93">
        <v>0</v>
      </c>
      <c r="D71" s="93">
        <v>0</v>
      </c>
      <c r="E71" s="93">
        <v>1</v>
      </c>
    </row>
    <row r="72" spans="1:15" x14ac:dyDescent="0.3">
      <c r="A72" s="15" t="s">
        <v>29</v>
      </c>
    </row>
    <row r="73" spans="1:15" ht="15.6" x14ac:dyDescent="0.35">
      <c r="A73" s="9" t="s">
        <v>36</v>
      </c>
    </row>
    <row r="75" spans="1:15" ht="15.6" x14ac:dyDescent="0.35">
      <c r="A75" t="s">
        <v>32</v>
      </c>
      <c r="B75" s="16"/>
      <c r="F75">
        <v>0</v>
      </c>
      <c r="I75" s="7">
        <f t="array" ref="I75:L78">MMULT(B68:E71,F75:F78)</f>
        <v>200</v>
      </c>
      <c r="J75" s="7">
        <v>200</v>
      </c>
      <c r="K75" s="7">
        <v>200</v>
      </c>
      <c r="L75" s="7">
        <v>200</v>
      </c>
    </row>
    <row r="76" spans="1:15" x14ac:dyDescent="0.3">
      <c r="F76">
        <v>0</v>
      </c>
      <c r="I76" s="7">
        <v>-1.3322676295501878E-14</v>
      </c>
      <c r="J76" s="7">
        <v>-1.3322676295501878E-14</v>
      </c>
      <c r="K76" s="7">
        <v>-1.3322676295501878E-14</v>
      </c>
      <c r="L76" s="7">
        <v>-1.3322676295501878E-14</v>
      </c>
    </row>
    <row r="77" spans="1:15" x14ac:dyDescent="0.3">
      <c r="F77">
        <f>-F48</f>
        <v>-140</v>
      </c>
      <c r="I77" s="7">
        <v>400</v>
      </c>
      <c r="J77" s="7">
        <v>400</v>
      </c>
      <c r="K77" s="7">
        <v>400</v>
      </c>
      <c r="L77" s="7">
        <v>400</v>
      </c>
    </row>
    <row r="78" spans="1:15" x14ac:dyDescent="0.3">
      <c r="F78">
        <v>1</v>
      </c>
      <c r="I78" s="7">
        <v>1</v>
      </c>
      <c r="J78" s="7">
        <v>1</v>
      </c>
      <c r="K78" s="7">
        <v>1</v>
      </c>
      <c r="L78" s="7">
        <v>1</v>
      </c>
    </row>
    <row r="79" spans="1:15" ht="15.6" x14ac:dyDescent="0.35">
      <c r="A79" t="s">
        <v>35</v>
      </c>
    </row>
    <row r="80" spans="1:15" ht="15.6" x14ac:dyDescent="0.35">
      <c r="A80" t="s">
        <v>33</v>
      </c>
      <c r="B80" s="17" t="s">
        <v>34</v>
      </c>
      <c r="C80" s="5" t="s">
        <v>31</v>
      </c>
    </row>
    <row r="82" spans="1:9" x14ac:dyDescent="0.3">
      <c r="A82" s="5"/>
      <c r="B82" s="8"/>
      <c r="C82" s="8"/>
      <c r="D82" s="8"/>
      <c r="E82" s="8"/>
    </row>
    <row r="83" spans="1:9" x14ac:dyDescent="0.3">
      <c r="B83" s="8"/>
      <c r="C83" s="8"/>
      <c r="D83" s="8"/>
      <c r="E83" s="8"/>
    </row>
    <row r="84" spans="1:9" x14ac:dyDescent="0.3">
      <c r="B84" s="8"/>
      <c r="C84" s="8"/>
      <c r="D84" s="8"/>
      <c r="E84" s="8"/>
    </row>
    <row r="85" spans="1:9" x14ac:dyDescent="0.3">
      <c r="B85" s="8"/>
      <c r="C85" s="8"/>
      <c r="D85" s="8"/>
      <c r="E85" s="8"/>
    </row>
    <row r="86" spans="1:9" ht="15.6" x14ac:dyDescent="0.35">
      <c r="A86" s="15" t="s">
        <v>37</v>
      </c>
      <c r="B86" s="8"/>
      <c r="C86" s="8"/>
      <c r="D86" s="8"/>
      <c r="E86" s="8"/>
    </row>
    <row r="87" spans="1:9" x14ac:dyDescent="0.3">
      <c r="A87" s="9" t="s">
        <v>39</v>
      </c>
    </row>
    <row r="88" spans="1:9" x14ac:dyDescent="0.3">
      <c r="A88" s="9"/>
    </row>
    <row r="89" spans="1:9" x14ac:dyDescent="0.3">
      <c r="B89" s="76">
        <f t="array" ref="B89:B92">L75:L78</f>
        <v>200</v>
      </c>
      <c r="E89" s="5" t="s">
        <v>34</v>
      </c>
      <c r="H89" s="21">
        <f>ATAN2(B89,B90)</f>
        <v>-6.661338147750939E-17</v>
      </c>
      <c r="I89" s="23">
        <f>DEGREES(H89)</f>
        <v>-3.8166656177562198E-15</v>
      </c>
    </row>
    <row r="90" spans="1:9" x14ac:dyDescent="0.3">
      <c r="A90" t="s">
        <v>30</v>
      </c>
      <c r="B90" s="60">
        <v>-1.3322676295501878E-14</v>
      </c>
      <c r="H90" s="21">
        <f>ATAN2(-B89,-B90)</f>
        <v>3.1415926535897931</v>
      </c>
      <c r="I90" s="23">
        <f>DEGREES(H90)</f>
        <v>180</v>
      </c>
    </row>
    <row r="91" spans="1:9" x14ac:dyDescent="0.3">
      <c r="B91" s="60">
        <v>400</v>
      </c>
      <c r="E91" t="s">
        <v>40</v>
      </c>
      <c r="G91" s="21">
        <f>IF(B93=1,H89,H90)</f>
        <v>-6.661338147750939E-17</v>
      </c>
      <c r="H91" s="23">
        <f>DEGREES(G91)</f>
        <v>-3.8166656177562198E-15</v>
      </c>
      <c r="I91" s="15" t="str">
        <f>IF(ABS(H91-B15)&lt; 0.001,"OK","NOT OK!")</f>
        <v>OK</v>
      </c>
    </row>
    <row r="92" spans="1:9" x14ac:dyDescent="0.3">
      <c r="B92">
        <v>1</v>
      </c>
      <c r="E92" t="s">
        <v>41</v>
      </c>
      <c r="G92" s="21">
        <f>IF(B93=-1,H89,H90)</f>
        <v>3.1415926535897931</v>
      </c>
      <c r="H92" s="23">
        <f>DEGREES(G92)</f>
        <v>180</v>
      </c>
      <c r="I92" s="15" t="str">
        <f>IF(ABS(H92-B15)&lt; 0.001,"OK","NOT OK!")</f>
        <v>NOT OK!</v>
      </c>
    </row>
    <row r="93" spans="1:9" x14ac:dyDescent="0.3">
      <c r="A93" t="s">
        <v>43</v>
      </c>
      <c r="B93">
        <f>SIGN(B89)</f>
        <v>1</v>
      </c>
    </row>
    <row r="95" spans="1:9" ht="16.2" x14ac:dyDescent="0.35">
      <c r="A95" s="15" t="s">
        <v>44</v>
      </c>
    </row>
    <row r="97" spans="1:12" x14ac:dyDescent="0.3">
      <c r="A97" s="9" t="s">
        <v>58</v>
      </c>
    </row>
    <row r="102" spans="1:12" x14ac:dyDescent="0.3">
      <c r="J102" t="s">
        <v>45</v>
      </c>
      <c r="K102">
        <v>0</v>
      </c>
      <c r="L102">
        <f>E118*B93</f>
        <v>200</v>
      </c>
    </row>
    <row r="103" spans="1:12" x14ac:dyDescent="0.3">
      <c r="K103">
        <v>0</v>
      </c>
      <c r="L103" s="4">
        <f>E116</f>
        <v>300</v>
      </c>
    </row>
    <row r="115" spans="1:19" x14ac:dyDescent="0.3">
      <c r="A115" s="15"/>
    </row>
    <row r="116" spans="1:19" x14ac:dyDescent="0.3">
      <c r="E116" s="19">
        <f>B91-F23</f>
        <v>300</v>
      </c>
      <c r="M116" s="90">
        <f>ACOS((E123*E123-E122*E122-E121*E121)/(-2*E122*E121))</f>
        <v>0.58800260354756739</v>
      </c>
      <c r="N116" s="20">
        <f>DEGREES(M116)</f>
        <v>33.690067525979778</v>
      </c>
    </row>
    <row r="118" spans="1:19" x14ac:dyDescent="0.3">
      <c r="E118" s="4">
        <f>SQRT(B89*B89+B90*B90)</f>
        <v>200</v>
      </c>
      <c r="I118" s="19"/>
      <c r="J118" s="19"/>
      <c r="M118" s="109">
        <f>ACOS((E121*E121-E122*E122-E123*E123)/(-2*E122*E123))</f>
        <v>1.5707963267948966</v>
      </c>
      <c r="N118" s="22">
        <f>DEGREES(M118)</f>
        <v>90</v>
      </c>
    </row>
    <row r="119" spans="1:19" x14ac:dyDescent="0.3">
      <c r="E119" s="4"/>
      <c r="I119" s="19"/>
      <c r="J119" s="19"/>
      <c r="M119" s="21"/>
      <c r="N119" s="22"/>
    </row>
    <row r="120" spans="1:19" ht="16.2" thickBot="1" x14ac:dyDescent="0.35">
      <c r="M120" s="33" t="s">
        <v>48</v>
      </c>
      <c r="Q120" s="33" t="s">
        <v>49</v>
      </c>
    </row>
    <row r="121" spans="1:19" x14ac:dyDescent="0.3">
      <c r="B121" t="s">
        <v>56</v>
      </c>
      <c r="E121" s="7">
        <f>SQRT(E118*E118+E116*E116)</f>
        <v>360.55512754639892</v>
      </c>
      <c r="L121" t="s">
        <v>68</v>
      </c>
      <c r="M121" s="34">
        <f>IF(B93=1,1,-1)</f>
        <v>1</v>
      </c>
      <c r="N121" s="35"/>
      <c r="O121" s="35"/>
      <c r="P121" s="35"/>
      <c r="Q121" s="35">
        <f>IF(B93=1,-1,1)</f>
        <v>-1</v>
      </c>
      <c r="R121" s="35"/>
      <c r="S121" s="36"/>
    </row>
    <row r="122" spans="1:19" x14ac:dyDescent="0.3">
      <c r="B122" t="s">
        <v>54</v>
      </c>
      <c r="E122" s="7">
        <f>E28</f>
        <v>300</v>
      </c>
      <c r="F122" s="5"/>
      <c r="L122" s="9" t="s">
        <v>57</v>
      </c>
      <c r="M122" s="113">
        <f>ATAN2(M121*E118,E116)</f>
        <v>0.98279372324732905</v>
      </c>
      <c r="N122" s="37">
        <f>DEGREES(M122)</f>
        <v>56.309932474020215</v>
      </c>
      <c r="O122" s="38"/>
      <c r="P122" s="38"/>
      <c r="Q122" s="39">
        <f>ATAN2(Q121*E118,E116)</f>
        <v>2.158798930342464</v>
      </c>
      <c r="R122" s="37">
        <f>DEGREES(Q122)</f>
        <v>123.69006752597979</v>
      </c>
      <c r="S122" s="40"/>
    </row>
    <row r="123" spans="1:19" x14ac:dyDescent="0.3">
      <c r="B123" t="s">
        <v>55</v>
      </c>
      <c r="E123" s="7">
        <f>F38</f>
        <v>200</v>
      </c>
      <c r="M123" s="41"/>
      <c r="N123" s="38"/>
      <c r="O123" s="38"/>
      <c r="P123" s="38"/>
      <c r="Q123" s="38"/>
      <c r="R123" s="38"/>
      <c r="S123" s="40"/>
    </row>
    <row r="124" spans="1:19" x14ac:dyDescent="0.3">
      <c r="G124" s="1"/>
      <c r="K124" s="115"/>
      <c r="M124" s="41"/>
      <c r="N124" s="38"/>
      <c r="O124" s="38"/>
      <c r="P124" s="38"/>
      <c r="Q124" s="38"/>
      <c r="R124" s="38"/>
      <c r="S124" s="40"/>
    </row>
    <row r="125" spans="1:19" x14ac:dyDescent="0.3">
      <c r="F125" s="5"/>
      <c r="G125" s="1"/>
      <c r="M125" s="41"/>
      <c r="N125" s="38"/>
      <c r="O125" s="38"/>
      <c r="P125" s="38"/>
      <c r="Q125" s="38"/>
      <c r="R125" s="38"/>
      <c r="S125" s="40"/>
    </row>
    <row r="126" spans="1:19" x14ac:dyDescent="0.3">
      <c r="E126" t="s">
        <v>46</v>
      </c>
      <c r="G126" s="1"/>
      <c r="M126" s="114">
        <f>PI()/2-(M122+M116)</f>
        <v>0</v>
      </c>
      <c r="N126" s="43">
        <f>DEGREES(M126)</f>
        <v>0</v>
      </c>
      <c r="O126" s="44" t="str">
        <f>IF(ABS(N126-B16)&lt; 0.001,"OK","NOT OK!")</f>
        <v>OK</v>
      </c>
      <c r="P126" s="38"/>
      <c r="Q126" s="45">
        <f>PI()/2-(Q122+M116)</f>
        <v>-1.1760052070951348</v>
      </c>
      <c r="R126" s="43">
        <f>DEGREES(Q126)</f>
        <v>-67.380135051959556</v>
      </c>
      <c r="S126" s="46" t="str">
        <f>IF(ABS(R126-H16)&lt; 0.001,"OK","NOT OK!")</f>
        <v>OK</v>
      </c>
    </row>
    <row r="127" spans="1:19" x14ac:dyDescent="0.3">
      <c r="G127" s="1"/>
      <c r="M127" s="42">
        <f>PI()/2-M118</f>
        <v>0</v>
      </c>
      <c r="N127" s="43">
        <f>DEGREES(M127)</f>
        <v>0</v>
      </c>
      <c r="O127" s="44" t="str">
        <f>IF(ABS(N127-B17)&lt; 0.001,"OK","NOT OK!")</f>
        <v>OK</v>
      </c>
      <c r="P127" s="38"/>
      <c r="Q127" s="45">
        <f>PI()/2-M118</f>
        <v>0</v>
      </c>
      <c r="R127" s="43">
        <f>DEGREES(Q127)</f>
        <v>0</v>
      </c>
      <c r="S127" s="46" t="str">
        <f>IF(ABS(R127-H17)&lt; 0.001,"OK","NOT OK!")</f>
        <v>OK</v>
      </c>
    </row>
    <row r="128" spans="1:19" x14ac:dyDescent="0.3">
      <c r="M128" s="41"/>
      <c r="N128" s="38"/>
      <c r="O128" s="38"/>
      <c r="P128" s="38"/>
      <c r="Q128" s="38"/>
      <c r="R128" s="38"/>
      <c r="S128" s="40"/>
    </row>
    <row r="129" spans="1:21" x14ac:dyDescent="0.3">
      <c r="M129" s="47"/>
      <c r="N129" s="48"/>
      <c r="O129" s="38"/>
      <c r="P129" s="38"/>
      <c r="Q129" s="38"/>
      <c r="R129" s="38"/>
      <c r="S129" s="40"/>
    </row>
    <row r="130" spans="1:21" x14ac:dyDescent="0.3">
      <c r="F130" s="9"/>
      <c r="G130" s="1"/>
      <c r="M130" s="41"/>
      <c r="N130" s="38"/>
      <c r="O130" s="38"/>
      <c r="P130" s="38"/>
      <c r="Q130" s="38"/>
      <c r="R130" s="38"/>
      <c r="S130" s="40"/>
    </row>
    <row r="131" spans="1:21" x14ac:dyDescent="0.3">
      <c r="M131" s="41"/>
      <c r="N131" s="38"/>
      <c r="O131" s="38"/>
      <c r="P131" s="38"/>
      <c r="Q131" s="38"/>
      <c r="R131" s="38"/>
      <c r="S131" s="40"/>
    </row>
    <row r="132" spans="1:21" x14ac:dyDescent="0.3">
      <c r="E132" t="s">
        <v>47</v>
      </c>
      <c r="M132" s="42">
        <f>PI()/2-(M122-M116)</f>
        <v>1.1760052070951348</v>
      </c>
      <c r="N132" s="43">
        <f>DEGREES(M132)</f>
        <v>67.380135051959556</v>
      </c>
      <c r="O132" s="44" t="str">
        <f>IF(ABS(N132-B16)&lt; 0.001,"OK","NOT OK!")</f>
        <v>NOT OK!</v>
      </c>
      <c r="P132" s="38"/>
      <c r="Q132" s="45">
        <f>PI()/2-(Q122-M116)</f>
        <v>0</v>
      </c>
      <c r="R132" s="43">
        <f>DEGREES(Q132)</f>
        <v>0</v>
      </c>
      <c r="S132" s="46" t="str">
        <f>IF(ABS(R132-H16)&lt; 0.001,"OK","NOT OK!")</f>
        <v>NOT OK!</v>
      </c>
    </row>
    <row r="133" spans="1:21" ht="15" thickBot="1" x14ac:dyDescent="0.35">
      <c r="A133" s="15"/>
      <c r="M133" s="49">
        <f>(M118- PI()*3/2)</f>
        <v>-3.1415926535897931</v>
      </c>
      <c r="N133" s="50">
        <f>DEGREES(M133)</f>
        <v>-180</v>
      </c>
      <c r="O133" s="51" t="str">
        <f>IF(ABS(N133-B17)&lt; 0.001,"OK","NOT OK!")</f>
        <v>NOT OK!</v>
      </c>
      <c r="P133" s="52"/>
      <c r="Q133" s="53">
        <f>(M118- PI()*3/2)</f>
        <v>-3.1415926535897931</v>
      </c>
      <c r="R133" s="50">
        <f>DEGREES(Q133)</f>
        <v>-180</v>
      </c>
      <c r="S133" s="54" t="str">
        <f>IF(ABS(R133-H17)&lt; 0.001,"OK","NOT OK!")</f>
        <v>NOT OK!</v>
      </c>
    </row>
    <row r="135" spans="1:21" ht="16.2" x14ac:dyDescent="0.35">
      <c r="A135" s="15" t="s">
        <v>53</v>
      </c>
    </row>
    <row r="136" spans="1:21" x14ac:dyDescent="0.3">
      <c r="E136" s="58"/>
      <c r="F136" s="58"/>
      <c r="G136" s="58"/>
      <c r="J136" t="s">
        <v>51</v>
      </c>
      <c r="M136" t="s">
        <v>52</v>
      </c>
    </row>
    <row r="137" spans="1:21" x14ac:dyDescent="0.3">
      <c r="E137" s="58"/>
      <c r="F137" s="58"/>
      <c r="G137" s="58"/>
      <c r="H137" s="58"/>
      <c r="I137" s="58"/>
      <c r="J137" s="59">
        <f t="array" ref="J137:L139">MMULT(MMULT(N38:P40,N43:P45),N48:P50)</f>
        <v>-5.2335956242943772E-2</v>
      </c>
      <c r="K137" s="59">
        <v>-0.99862953475457383</v>
      </c>
      <c r="L137" s="59">
        <v>-2.1005368562915366E-18</v>
      </c>
      <c r="M137" s="74">
        <f>COS(C18)*COS(C19)*COS(C20)-SIN(C18)*SIN(C20)</f>
        <v>-5.2335956242943772E-2</v>
      </c>
      <c r="N137" s="74">
        <f>-COS(C18)*COS(C19)*SIN(C20)-SIN(C18)*COS(C20)</f>
        <v>-0.99862953475457383</v>
      </c>
      <c r="O137" s="74">
        <f>-COS(C18)*SIN(C19)</f>
        <v>-2.1378532231078771E-18</v>
      </c>
    </row>
    <row r="138" spans="1:21" x14ac:dyDescent="0.3">
      <c r="E138" s="58"/>
      <c r="F138" s="58"/>
      <c r="G138" s="58"/>
      <c r="H138" s="58"/>
      <c r="I138" s="58"/>
      <c r="J138" s="59">
        <v>0.99802119662406841</v>
      </c>
      <c r="K138" s="59">
        <v>-5.2304074592470787E-2</v>
      </c>
      <c r="L138" s="59">
        <v>-3.4899496702500969E-2</v>
      </c>
      <c r="M138" s="74">
        <f>SIN(C18)*COS(C19)*COS(C20)+COS(C18)*SIN(C20)</f>
        <v>0.99802119662406841</v>
      </c>
      <c r="N138" s="74">
        <f>-SIN(C18)*COS(C19)*SIN(C20)+COS(C18)*COS(C20)</f>
        <v>-5.2304074592470787E-2</v>
      </c>
      <c r="O138" s="74">
        <f>-SIN(C18)*SIN(C19)</f>
        <v>-3.4899496702500969E-2</v>
      </c>
    </row>
    <row r="139" spans="1:21" x14ac:dyDescent="0.3">
      <c r="J139" s="59">
        <v>3.4851668155187324E-2</v>
      </c>
      <c r="K139" s="59">
        <v>-1.8264985323228533E-3</v>
      </c>
      <c r="L139" s="59">
        <v>0.99939082701909576</v>
      </c>
      <c r="M139" s="74">
        <f>SIN(C19)*COS(C20)</f>
        <v>3.4851668155187324E-2</v>
      </c>
      <c r="N139" s="74">
        <f>-SIN(C19)*SIN(C20)</f>
        <v>-1.8264985323228533E-3</v>
      </c>
      <c r="O139" s="74">
        <f>COS(C19)</f>
        <v>0.99939082701909576</v>
      </c>
    </row>
    <row r="141" spans="1:21" ht="15" thickBot="1" x14ac:dyDescent="0.35"/>
    <row r="142" spans="1:21" x14ac:dyDescent="0.3">
      <c r="B142" s="65">
        <f t="array" ref="B142:D144">MMULT(MMULT(N23:P25,N28:P30),N33:P35)</f>
        <v>6.1257422745431001E-17</v>
      </c>
      <c r="C142" s="66">
        <v>6.1257422745431001E-17</v>
      </c>
      <c r="D142" s="67">
        <v>1</v>
      </c>
      <c r="H142" s="65">
        <f t="array" ref="H142:J144">TRANSPOSE(B142:D144)</f>
        <v>6.1257422745431001E-17</v>
      </c>
      <c r="I142" s="66">
        <v>-6.1257422745431001E-17</v>
      </c>
      <c r="J142" s="67">
        <v>1</v>
      </c>
      <c r="M142" s="65">
        <f t="array" ref="M142:O144">B68:D70</f>
        <v>3.4851668155187435E-2</v>
      </c>
      <c r="N142" s="66">
        <v>-1.8264985323227982E-3</v>
      </c>
      <c r="O142" s="67">
        <v>0.99939082701909576</v>
      </c>
      <c r="S142" s="99">
        <f t="array" ref="S142:U144">MMULT(H142:J144,M142:O144)</f>
        <v>-5.2335956242943779E-2</v>
      </c>
      <c r="T142" s="100">
        <v>-0.99862953475457383</v>
      </c>
      <c r="U142" s="101">
        <v>1.202557247320408E-16</v>
      </c>
    </row>
    <row r="143" spans="1:21" x14ac:dyDescent="0.3">
      <c r="B143" s="68">
        <v>-6.1257422745431001E-17</v>
      </c>
      <c r="C143" s="69">
        <v>-1</v>
      </c>
      <c r="D143" s="70">
        <v>6.1257422745431001E-17</v>
      </c>
      <c r="H143" s="68">
        <v>6.1257422745431001E-17</v>
      </c>
      <c r="I143" s="69">
        <v>-1</v>
      </c>
      <c r="J143" s="70">
        <v>-6.1257422745431001E-17</v>
      </c>
      <c r="M143" s="68">
        <v>-0.99802119662406841</v>
      </c>
      <c r="N143" s="69">
        <v>5.2304074592470856E-2</v>
      </c>
      <c r="O143" s="70">
        <v>3.489949670250108E-2</v>
      </c>
      <c r="S143" s="102">
        <v>0.99802119662406841</v>
      </c>
      <c r="T143" s="103">
        <v>-5.2304074592470794E-2</v>
      </c>
      <c r="U143" s="104">
        <v>-3.4899496702501018E-2</v>
      </c>
    </row>
    <row r="144" spans="1:21" ht="15" thickBot="1" x14ac:dyDescent="0.35">
      <c r="B144" s="71">
        <v>1</v>
      </c>
      <c r="C144" s="72">
        <v>-6.1257422745431001E-17</v>
      </c>
      <c r="D144" s="73">
        <v>-6.1257422745431001E-17</v>
      </c>
      <c r="H144" s="71">
        <v>1</v>
      </c>
      <c r="I144" s="72">
        <v>6.1257422745431001E-17</v>
      </c>
      <c r="J144" s="73">
        <v>-6.1257422745431001E-17</v>
      </c>
      <c r="M144" s="71">
        <v>-5.2335956242943842E-2</v>
      </c>
      <c r="N144" s="72">
        <v>-0.99862953475457383</v>
      </c>
      <c r="O144" s="73">
        <v>6.1173471576534015E-17</v>
      </c>
      <c r="S144" s="105">
        <v>3.4851668155187372E-2</v>
      </c>
      <c r="T144" s="106">
        <v>-1.8264985323227338E-3</v>
      </c>
      <c r="U144" s="107">
        <v>0.99939082701909576</v>
      </c>
    </row>
    <row r="148" spans="4:15" x14ac:dyDescent="0.3">
      <c r="D148" s="76">
        <f>U144</f>
        <v>0.99939082701909576</v>
      </c>
      <c r="E148" s="5"/>
      <c r="G148" s="80">
        <f>IF(ABS(D148)=1,0,ACOS(D148))</f>
        <v>3.4906585039885529E-2</v>
      </c>
      <c r="H148" s="81">
        <f>DEGREES(G148)</f>
        <v>1.9999999999999392</v>
      </c>
      <c r="J148" s="80">
        <f>IF(SIN(G148)=0,ATAN2(D152,-D150),ATAN2(D152/SIN(G148),-D150/SIN(G148)))</f>
        <v>5.2359877559826407E-2</v>
      </c>
      <c r="K148" s="81">
        <f>DEGREES(J148)</f>
        <v>2.9999999999998006</v>
      </c>
      <c r="N148" s="2">
        <f>IF(SIN(G148)=0,-ATAN2(-D156,D154),-ATAN2(-D156/SIN(G148),D154/SIN(G148)))</f>
        <v>1.5707963267948999</v>
      </c>
      <c r="O148" s="81">
        <f>DEGREES(N148)</f>
        <v>90.000000000000185</v>
      </c>
    </row>
    <row r="149" spans="4:15" x14ac:dyDescent="0.3">
      <c r="G149" s="80">
        <f>IF(ABS(D148)=1,0,-ACOS(D148))</f>
        <v>-3.4906585039885529E-2</v>
      </c>
      <c r="H149" s="81">
        <f>DEGREES(G149)</f>
        <v>-1.9999999999999392</v>
      </c>
      <c r="J149" s="80">
        <f>IF(SIN(G149)=0,ATAN2(D152,-D150),ATAN2(D152/SIN(G149),-D150/SIN(G149)))</f>
        <v>-3.0892327760299665</v>
      </c>
      <c r="K149" s="81">
        <f>DEGREES(J149)</f>
        <v>-177.0000000000002</v>
      </c>
      <c r="N149" s="2">
        <f>IF(SIN(G149)=0,-ATAN2(-D156,D154),-ATAN2(-D156/SIN(G149),D154/SIN(G149)))</f>
        <v>-1.5707963267948932</v>
      </c>
      <c r="O149" s="81">
        <f>DEGREES(N149)</f>
        <v>-89.999999999999815</v>
      </c>
    </row>
    <row r="150" spans="4:15" x14ac:dyDescent="0.3">
      <c r="D150" s="75">
        <f>T144</f>
        <v>-1.8264985323227338E-3</v>
      </c>
      <c r="G150" s="2"/>
      <c r="H150" s="2"/>
      <c r="I150" s="2"/>
      <c r="J150" s="94"/>
      <c r="K150" s="81"/>
      <c r="L150" s="2"/>
      <c r="M150" s="2"/>
      <c r="N150" s="92"/>
      <c r="O150" s="81"/>
    </row>
    <row r="151" spans="4:15" x14ac:dyDescent="0.3">
      <c r="G151" s="2"/>
      <c r="H151" s="2"/>
      <c r="I151" s="2"/>
      <c r="J151" s="80"/>
      <c r="K151" s="81"/>
      <c r="L151" s="2"/>
      <c r="M151" s="2"/>
      <c r="N151" s="92"/>
      <c r="O151" s="81"/>
    </row>
    <row r="152" spans="4:15" x14ac:dyDescent="0.3">
      <c r="D152" s="58">
        <f>S144</f>
        <v>3.4851668155187372E-2</v>
      </c>
      <c r="I152" s="2"/>
      <c r="J152" s="2"/>
      <c r="K152" s="81"/>
      <c r="L152" s="2"/>
      <c r="M152" s="2"/>
      <c r="N152" s="82"/>
      <c r="O152" s="81"/>
    </row>
    <row r="153" spans="4:15" x14ac:dyDescent="0.3">
      <c r="I153" s="2"/>
      <c r="J153" s="2"/>
      <c r="K153" s="81"/>
      <c r="L153" s="2"/>
      <c r="M153" s="2"/>
      <c r="N153" s="2"/>
      <c r="O153" s="2"/>
    </row>
    <row r="154" spans="4:15" x14ac:dyDescent="0.3">
      <c r="D154" s="58">
        <f>U143</f>
        <v>-3.4899496702501018E-2</v>
      </c>
      <c r="G154" s="2"/>
      <c r="H154" s="2"/>
      <c r="I154" s="2"/>
      <c r="J154" s="2"/>
      <c r="K154" s="2"/>
      <c r="L154" s="2"/>
      <c r="M154" s="2"/>
      <c r="N154" s="2"/>
      <c r="O154" s="2"/>
    </row>
    <row r="155" spans="4:15" x14ac:dyDescent="0.3">
      <c r="G155" s="2"/>
      <c r="H155" s="2"/>
      <c r="I155" s="2"/>
      <c r="J155" s="2"/>
      <c r="K155" s="2"/>
      <c r="L155" s="2"/>
      <c r="M155" s="2"/>
      <c r="N155" s="2"/>
      <c r="O155" s="2"/>
    </row>
    <row r="156" spans="4:15" x14ac:dyDescent="0.3">
      <c r="D156" s="76">
        <f>U142</f>
        <v>1.202557247320408E-16</v>
      </c>
      <c r="I156" s="2"/>
      <c r="J156" s="2"/>
      <c r="K156" s="81"/>
      <c r="L156" s="2"/>
      <c r="M156" s="2"/>
      <c r="N156" s="82"/>
      <c r="O156" s="81"/>
    </row>
    <row r="157" spans="4:15" x14ac:dyDescent="0.3">
      <c r="I157" s="2"/>
      <c r="J157" s="2"/>
      <c r="K157" s="81"/>
      <c r="L157" s="2"/>
      <c r="M157" s="2"/>
      <c r="N157" s="2"/>
      <c r="O157" s="2"/>
    </row>
    <row r="158" spans="4:15" x14ac:dyDescent="0.3">
      <c r="D158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topLeftCell="A88" zoomScale="85" zoomScaleNormal="85" workbookViewId="0">
      <selection activeCell="O111" sqref="O111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Kinematik</vt:lpstr>
      <vt:lpstr>Theorie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2016-08-11T18:59:41Z</dcterms:modified>
</cp:coreProperties>
</file>