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2048" windowHeight="5508" tabRatio="416" activeTab="2"/>
  </bookViews>
  <sheets>
    <sheet name="Kinematik" sheetId="1" r:id="rId1"/>
    <sheet name="Theory Sources" sheetId="2" r:id="rId2"/>
    <sheet name="Trajectory Speed profile" sheetId="3" r:id="rId3"/>
  </sheets>
  <calcPr calcId="152511"/>
  <fileRecoveryPr repairLoad="1"/>
</workbook>
</file>

<file path=xl/calcChain.xml><?xml version="1.0" encoding="utf-8"?>
<calcChain xmlns="http://schemas.openxmlformats.org/spreadsheetml/2006/main">
  <c r="D12" i="3" l="1"/>
  <c r="B12" i="3"/>
  <c r="B14" i="3" s="1"/>
  <c r="B10" i="3"/>
  <c r="I20" i="3" l="1"/>
  <c r="J20" i="3" s="1"/>
  <c r="K20" i="3" s="1"/>
  <c r="L20" i="3" l="1"/>
  <c r="K12" i="3"/>
  <c r="K11" i="3"/>
  <c r="H12" i="3"/>
  <c r="B18" i="3" l="1"/>
  <c r="M20" i="3"/>
  <c r="B13" i="3"/>
  <c r="H21" i="3" s="1"/>
  <c r="I11" i="3"/>
  <c r="T62" i="1" a="1"/>
  <c r="T62" i="1" s="1"/>
  <c r="V53" i="1"/>
  <c r="I23" i="3" l="1"/>
  <c r="K21" i="3"/>
  <c r="J21" i="3"/>
  <c r="H22" i="3"/>
  <c r="I21" i="3"/>
  <c r="J23" i="3"/>
  <c r="L21" i="3"/>
  <c r="L23" i="3"/>
  <c r="H23" i="3"/>
  <c r="K23" i="3"/>
  <c r="M23" i="3"/>
  <c r="J11" i="3"/>
  <c r="B19" i="3"/>
  <c r="N20" i="3"/>
  <c r="N23" i="3" s="1"/>
  <c r="M21" i="3"/>
  <c r="B15" i="3"/>
  <c r="I12" i="3"/>
  <c r="J12" i="3" s="1"/>
  <c r="B16" i="3"/>
  <c r="V65" i="1"/>
  <c r="T63" i="1"/>
  <c r="T64" i="1"/>
  <c r="T65" i="1"/>
  <c r="V63" i="1"/>
  <c r="U62" i="1"/>
  <c r="U64" i="1"/>
  <c r="U65" i="1"/>
  <c r="V62" i="1"/>
  <c r="V64" i="1"/>
  <c r="U63" i="1"/>
  <c r="F53" i="1"/>
  <c r="D53" i="1"/>
  <c r="H53" i="1"/>
  <c r="D5" i="3" l="1"/>
  <c r="N22" i="3"/>
  <c r="I22" i="3"/>
  <c r="L22" i="3"/>
  <c r="J22" i="3"/>
  <c r="K22" i="3"/>
  <c r="M22" i="3"/>
  <c r="O20" i="3"/>
  <c r="N21" i="3"/>
  <c r="N53" i="1"/>
  <c r="P54" i="1"/>
  <c r="N54" i="1"/>
  <c r="N55" i="1"/>
  <c r="O53" i="1"/>
  <c r="O54" i="1"/>
  <c r="O55" i="1"/>
  <c r="P55" i="1"/>
  <c r="P53" i="1"/>
  <c r="O22" i="3" l="1"/>
  <c r="O23" i="3"/>
  <c r="P20" i="3"/>
  <c r="O21" i="3"/>
  <c r="N58" i="1" a="1"/>
  <c r="G48" i="1"/>
  <c r="G43" i="1"/>
  <c r="P23" i="3" l="1"/>
  <c r="P22" i="3"/>
  <c r="P21" i="3"/>
  <c r="Q20" i="3"/>
  <c r="N58" i="1"/>
  <c r="P58" i="1"/>
  <c r="N59" i="1"/>
  <c r="O60" i="1"/>
  <c r="N60" i="1"/>
  <c r="P59" i="1"/>
  <c r="P60" i="1"/>
  <c r="O58" i="1"/>
  <c r="O59" i="1"/>
  <c r="F79" i="1"/>
  <c r="Q23" i="3" l="1"/>
  <c r="Q22" i="3"/>
  <c r="R20" i="3"/>
  <c r="Q21" i="3"/>
  <c r="E125" i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R22" i="3" l="1"/>
  <c r="R23" i="3"/>
  <c r="S20" i="3"/>
  <c r="R21" i="3"/>
  <c r="N141" i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S23" i="3" l="1"/>
  <c r="S22" i="3"/>
  <c r="T20" i="3"/>
  <c r="S21" i="3"/>
  <c r="J139" i="1" a="1"/>
  <c r="R23" i="1" a="1"/>
  <c r="U23" i="1" s="1"/>
  <c r="Q29" i="1"/>
  <c r="P29" i="1"/>
  <c r="Q28" i="1"/>
  <c r="O29" i="1"/>
  <c r="P28" i="1"/>
  <c r="N28" i="1"/>
  <c r="N29" i="1"/>
  <c r="T23" i="3" l="1"/>
  <c r="T22" i="3"/>
  <c r="T21" i="3"/>
  <c r="U20" i="3"/>
  <c r="L140" i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U23" i="3" l="1"/>
  <c r="U22" i="3"/>
  <c r="V20" i="3"/>
  <c r="U21" i="3"/>
  <c r="B144" i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V23" i="3" l="1"/>
  <c r="V22" i="3"/>
  <c r="W20" i="3"/>
  <c r="V21" i="3"/>
  <c r="H144" i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W23" i="3" l="1"/>
  <c r="W22" i="3"/>
  <c r="X20" i="3"/>
  <c r="W21" i="3"/>
  <c r="H146" i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X23" i="3" l="1"/>
  <c r="X22" i="3"/>
  <c r="Y20" i="3"/>
  <c r="X21" i="3"/>
  <c r="R33" i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Y23" i="3" l="1"/>
  <c r="Y22" i="3"/>
  <c r="Z20" i="3"/>
  <c r="Y21" i="3"/>
  <c r="W34" i="1"/>
  <c r="W33" i="1" s="1"/>
  <c r="V36" i="1"/>
  <c r="V35" i="1"/>
  <c r="V34" i="1"/>
  <c r="V33" i="1"/>
  <c r="R38" i="1" a="1"/>
  <c r="Z23" i="3" l="1"/>
  <c r="Z22" i="3"/>
  <c r="AA20" i="3"/>
  <c r="Z21" i="3"/>
  <c r="X33" i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AA23" i="3" l="1"/>
  <c r="AA22" i="3"/>
  <c r="AB20" i="3"/>
  <c r="AA21" i="3"/>
  <c r="W39" i="1"/>
  <c r="W38" i="1" s="1"/>
  <c r="V39" i="1"/>
  <c r="V38" i="1"/>
  <c r="V40" i="1"/>
  <c r="V41" i="1"/>
  <c r="R43" i="1" a="1"/>
  <c r="AB23" i="3" l="1"/>
  <c r="AB22" i="3"/>
  <c r="AC20" i="3"/>
  <c r="AB21" i="3"/>
  <c r="W40" i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AC23" i="3" l="1"/>
  <c r="AC22" i="3"/>
  <c r="AD20" i="3"/>
  <c r="AC21" i="3"/>
  <c r="W44" i="1"/>
  <c r="V45" i="1"/>
  <c r="V44" i="1"/>
  <c r="V43" i="1"/>
  <c r="V46" i="1"/>
  <c r="R48" i="1" a="1"/>
  <c r="AD23" i="3" l="1"/>
  <c r="AD22" i="3"/>
  <c r="AE20" i="3"/>
  <c r="AD21" i="3"/>
  <c r="W45" i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AE23" i="3" l="1"/>
  <c r="AE22" i="3"/>
  <c r="AF20" i="3"/>
  <c r="AE21" i="3"/>
  <c r="R53" i="1" a="1"/>
  <c r="T56" i="1" s="1"/>
  <c r="V50" i="1"/>
  <c r="G10" i="1" s="1"/>
  <c r="V48" i="1"/>
  <c r="G8" i="1" s="1"/>
  <c r="W49" i="1"/>
  <c r="V49" i="1"/>
  <c r="G9" i="1" s="1"/>
  <c r="V51" i="1"/>
  <c r="AF23" i="3" l="1"/>
  <c r="AF22" i="3"/>
  <c r="AF21" i="3"/>
  <c r="AG20" i="3"/>
  <c r="U53" i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AG23" i="3" l="1"/>
  <c r="AG22" i="3"/>
  <c r="AH20" i="3"/>
  <c r="AG21" i="3"/>
  <c r="E72" i="1"/>
  <c r="W54" i="1"/>
  <c r="W53" i="1" s="1"/>
  <c r="V54" i="1"/>
  <c r="V56" i="1"/>
  <c r="V55" i="1"/>
  <c r="D64" i="1" a="1"/>
  <c r="D65" i="1" s="1"/>
  <c r="H10" i="1"/>
  <c r="H8" i="1"/>
  <c r="C67" i="1"/>
  <c r="C64" i="1"/>
  <c r="N64" i="1" s="1" a="1"/>
  <c r="N66" i="1" s="1"/>
  <c r="P72" i="1" s="1"/>
  <c r="C65" i="1"/>
  <c r="AH23" i="3" l="1"/>
  <c r="AH22" i="3"/>
  <c r="AI20" i="3"/>
  <c r="AH21" i="3"/>
  <c r="N67" i="1"/>
  <c r="E70" i="1"/>
  <c r="N64" i="1"/>
  <c r="P70" i="1" s="1"/>
  <c r="E71" i="1"/>
  <c r="N65" i="1"/>
  <c r="P71" i="1" s="1"/>
  <c r="X53" i="1"/>
  <c r="B72" i="1"/>
  <c r="W55" i="1"/>
  <c r="X55" i="1" s="1"/>
  <c r="X54" i="1"/>
  <c r="E65" i="1"/>
  <c r="F65" i="1"/>
  <c r="G65" i="1" s="1"/>
  <c r="H65" i="1" s="1"/>
  <c r="D64" i="1"/>
  <c r="D66" i="1"/>
  <c r="B71" i="1" s="1"/>
  <c r="AI23" i="3" l="1"/>
  <c r="AI22" i="3"/>
  <c r="AJ20" i="3"/>
  <c r="AI21" i="3"/>
  <c r="O64" i="1" a="1"/>
  <c r="O64" i="1"/>
  <c r="O66" i="1"/>
  <c r="O65" i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AJ23" i="3" l="1"/>
  <c r="AJ22" i="3"/>
  <c r="AJ21" i="3"/>
  <c r="AK20" i="3"/>
  <c r="M70" i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6" i="1"/>
  <c r="N145" i="1"/>
  <c r="O144" i="1"/>
  <c r="M144" i="1"/>
  <c r="AK23" i="3" l="1"/>
  <c r="AK22" i="3"/>
  <c r="AL20" i="3"/>
  <c r="AK21" i="3"/>
  <c r="M145" i="1"/>
  <c r="N144" i="1"/>
  <c r="Q70" i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K77" i="1"/>
  <c r="I78" i="1"/>
  <c r="L79" i="1"/>
  <c r="K80" i="1"/>
  <c r="L78" i="1"/>
  <c r="J78" i="1"/>
  <c r="I80" i="1"/>
  <c r="K79" i="1"/>
  <c r="AL23" i="3" l="1"/>
  <c r="AL22" i="3"/>
  <c r="AM20" i="3"/>
  <c r="AL21" i="3"/>
  <c r="B91" i="1" a="1"/>
  <c r="B94" i="1" s="1"/>
  <c r="S144" i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AM23" i="3" l="1"/>
  <c r="AM22" i="3"/>
  <c r="AN20" i="3"/>
  <c r="AM21" i="3"/>
  <c r="S144" i="1"/>
  <c r="U144" i="1"/>
  <c r="D158" i="1" s="1"/>
  <c r="U145" i="1"/>
  <c r="D156" i="1" s="1"/>
  <c r="U146" i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AN23" i="3" l="1"/>
  <c r="AN22" i="3"/>
  <c r="AO20" i="3"/>
  <c r="AN21" i="3"/>
  <c r="D150" i="1"/>
  <c r="G151" i="1" s="1"/>
  <c r="H151" i="1" s="1"/>
  <c r="G19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AO23" i="3" l="1"/>
  <c r="AO22" i="3"/>
  <c r="AP20" i="3"/>
  <c r="AO21" i="3"/>
  <c r="G150" i="1"/>
  <c r="H150" i="1" s="1"/>
  <c r="F19" i="1" s="1"/>
  <c r="N151" i="1"/>
  <c r="O151" i="1" s="1"/>
  <c r="G18" i="1" s="1"/>
  <c r="J151" i="1"/>
  <c r="K151" i="1" s="1"/>
  <c r="G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AP23" i="3" l="1"/>
  <c r="AP22" i="3"/>
  <c r="AQ20" i="3"/>
  <c r="AP21" i="3"/>
  <c r="J150" i="1"/>
  <c r="K150" i="1" s="1"/>
  <c r="F20" i="1" s="1"/>
  <c r="N150" i="1"/>
  <c r="O150" i="1" s="1"/>
  <c r="F18" i="1" s="1"/>
  <c r="Q134" i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AQ23" i="3" l="1"/>
  <c r="AQ22" i="3"/>
  <c r="AR20" i="3"/>
  <c r="AQ21" i="3"/>
  <c r="S134" i="1"/>
  <c r="O134" i="1"/>
  <c r="O128" i="1"/>
  <c r="S129" i="1"/>
  <c r="AR23" i="3" l="1"/>
  <c r="AR22" i="3"/>
  <c r="AR21" i="3"/>
  <c r="AS20" i="3"/>
  <c r="AS23" i="3" l="1"/>
  <c r="AS22" i="3"/>
  <c r="AT20" i="3"/>
  <c r="AS21" i="3"/>
  <c r="AT23" i="3" l="1"/>
  <c r="AT22" i="3"/>
  <c r="AU20" i="3"/>
  <c r="AT21" i="3"/>
  <c r="AU23" i="3" l="1"/>
  <c r="AU22" i="3"/>
  <c r="AV20" i="3"/>
  <c r="AU21" i="3"/>
  <c r="AV23" i="3" l="1"/>
  <c r="AV22" i="3"/>
  <c r="AW20" i="3"/>
  <c r="AV21" i="3"/>
  <c r="AW23" i="3" l="1"/>
  <c r="AW22" i="3"/>
  <c r="AX20" i="3"/>
  <c r="AW21" i="3"/>
  <c r="AX23" i="3" l="1"/>
  <c r="AX22" i="3"/>
  <c r="AY20" i="3"/>
  <c r="AX21" i="3"/>
  <c r="AY23" i="3" l="1"/>
  <c r="AY22" i="3"/>
  <c r="AZ20" i="3"/>
  <c r="AY21" i="3"/>
  <c r="AZ23" i="3" l="1"/>
  <c r="AZ22" i="3"/>
  <c r="AZ21" i="3"/>
  <c r="BA20" i="3"/>
  <c r="BA23" i="3" l="1"/>
  <c r="BA22" i="3"/>
  <c r="BB20" i="3"/>
  <c r="BA21" i="3"/>
  <c r="BB23" i="3" l="1"/>
  <c r="BB22" i="3"/>
  <c r="BC20" i="3"/>
  <c r="BB21" i="3"/>
  <c r="BC23" i="3" l="1"/>
  <c r="BC22" i="3"/>
  <c r="BD20" i="3"/>
  <c r="BC21" i="3"/>
  <c r="BD23" i="3" l="1"/>
  <c r="BD22" i="3"/>
  <c r="BD21" i="3"/>
  <c r="BE20" i="3"/>
  <c r="BE23" i="3" l="1"/>
  <c r="BE22" i="3"/>
  <c r="BF20" i="3"/>
  <c r="BE21" i="3"/>
  <c r="BF23" i="3" l="1"/>
  <c r="BF22" i="3"/>
  <c r="BF21" i="3"/>
</calcChain>
</file>

<file path=xl/sharedStrings.xml><?xml version="1.0" encoding="utf-8"?>
<sst xmlns="http://schemas.openxmlformats.org/spreadsheetml/2006/main" count="138" uniqueCount="111">
  <si>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</si>
  <si>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</si>
  <si>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</si>
  <si>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</si>
  <si>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</si>
  <si>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</si>
  <si>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</si>
  <si>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</si>
  <si>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</si>
  <si>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</si>
  <si>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</si>
  <si>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</si>
  <si>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</si>
  <si>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</si>
  <si>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</si>
  <si>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</si>
  <si>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</si>
  <si>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</si>
  <si>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</si>
  <si>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</si>
  <si>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</si>
  <si>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</si>
  <si>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</si>
  <si>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</si>
  <si>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</si>
  <si>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</si>
  <si>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</si>
  <si>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</si>
  <si>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</si>
  <si>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</si>
  <si>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</si>
  <si>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</si>
  <si>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</si>
  <si>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</si>
  <si>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</si>
  <si>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</si>
  <si>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</si>
  <si>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</si>
  <si>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</si>
  <si>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</si>
  <si>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</si>
  <si>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</si>
  <si>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</si>
  <si>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</si>
  <si>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</si>
  <si>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</si>
  <si>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</si>
  <si>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</si>
  <si>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</si>
  <si>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</si>
  <si>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</si>
  <si>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</si>
  <si>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</si>
  <si>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</si>
  <si>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</si>
  <si>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</si>
  <si>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</si>
  <si>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</si>
  <si>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</si>
  <si>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</si>
  <si>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</si>
  <si>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</si>
  <si>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</si>
  <si>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</si>
  <si>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</si>
  <si>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</si>
  <si>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</si>
  <si>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</si>
  <si>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</si>
  <si>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</si>
  <si>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</si>
  <si>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</si>
  <si>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</si>
  <si>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</si>
  <si>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</si>
  <si>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</si>
  <si>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</si>
  <si>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</si>
  <si>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</si>
  <si>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</si>
  <si>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</si>
  <si>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</si>
  <si>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</si>
  <si>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</si>
  <si>
    <t>v</t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</si>
  <si>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</si>
  <si>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1</t>
    </r>
  </si>
  <si>
    <t>[mm/ms]</t>
  </si>
  <si>
    <t>distance</t>
  </si>
  <si>
    <t>time</t>
  </si>
  <si>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ges</t>
    </r>
  </si>
  <si>
    <t>[mm]</t>
  </si>
  <si>
    <t>[ms]</t>
  </si>
  <si>
    <r>
      <t>t</t>
    </r>
    <r>
      <rPr>
        <vertAlign val="subscript"/>
        <sz val="11"/>
        <color theme="1"/>
        <rFont val="Calibri"/>
        <family val="2"/>
        <scheme val="minor"/>
      </rPr>
      <t>0</t>
    </r>
  </si>
  <si>
    <r>
      <t>t</t>
    </r>
    <r>
      <rPr>
        <vertAlign val="subscript"/>
        <sz val="11"/>
        <color theme="1"/>
        <rFont val="Calibri"/>
        <family val="2"/>
        <scheme val="minor"/>
      </rPr>
      <t>1</t>
    </r>
  </si>
  <si>
    <r>
      <t>[mm/ms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</si>
  <si>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 xml:space="preserve">d = </t>
  </si>
  <si>
    <r>
      <t>v</t>
    </r>
    <r>
      <rPr>
        <vertAlign val="subscript"/>
        <sz val="11"/>
        <color theme="1"/>
        <rFont val="Calibri"/>
        <family val="2"/>
        <scheme val="minor"/>
      </rPr>
      <t>s</t>
    </r>
  </si>
  <si>
    <t>Speed Profile</t>
  </si>
  <si>
    <r>
      <t>v</t>
    </r>
    <r>
      <rPr>
        <vertAlign val="subscript"/>
        <sz val="11"/>
        <color theme="1"/>
        <rFont val="Calibri"/>
        <family val="2"/>
        <scheme val="minor"/>
      </rPr>
      <t>average</t>
    </r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</si>
  <si>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(t)</t>
    </r>
  </si>
  <si>
    <t>`v0*t + 0,5*a*t*t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</si>
  <si>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(t)</t>
    </r>
  </si>
  <si>
    <t>(t-t0)*vs + s0(t0)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</si>
  <si>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(t)</t>
    </r>
  </si>
  <si>
    <t>s1(t-(tg-t2)) + 0,5*a*(t-(tg-t2))*(t-(tg-t2))</t>
  </si>
  <si>
    <t>t</t>
  </si>
  <si>
    <t>v(t)</t>
  </si>
  <si>
    <t>x(t)</t>
  </si>
  <si>
    <r>
      <t>t</t>
    </r>
    <r>
      <rPr>
        <vertAlign val="subscript"/>
        <sz val="11"/>
        <color theme="1"/>
        <rFont val="Calibri"/>
        <family val="2"/>
        <scheme val="minor"/>
      </rPr>
      <t>abs,0</t>
    </r>
  </si>
  <si>
    <r>
      <t>t</t>
    </r>
    <r>
      <rPr>
        <vertAlign val="subscript"/>
        <sz val="11"/>
        <color theme="1"/>
        <rFont val="Calibri"/>
        <family val="2"/>
        <scheme val="minor"/>
      </rPr>
      <t>abs,1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</si>
</sst>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3" formatCode="0.000000000"/>
    <numFmt numFmtId="184" formatCode="0.0000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0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4" fontId="0" fillId="0" borderId="3" xfId="0" applyNumberFormat="1" applyBorder="1"/>
    <xf numFmtId="184" fontId="0" fillId="0" borderId="11" xfId="0" applyNumberFormat="1" applyBorder="1"/>
    <xf numFmtId="184" fontId="0" fillId="0" borderId="4" xfId="0" applyNumberFormat="1" applyBorder="1"/>
    <xf numFmtId="184" fontId="0" fillId="0" borderId="5" xfId="0" applyNumberFormat="1" applyBorder="1"/>
    <xf numFmtId="184" fontId="0" fillId="0" borderId="0" xfId="0" applyNumberFormat="1" applyBorder="1"/>
    <xf numFmtId="184" fontId="0" fillId="0" borderId="6" xfId="0" applyNumberFormat="1" applyBorder="1"/>
    <xf numFmtId="184" fontId="0" fillId="0" borderId="7" xfId="0" applyNumberFormat="1" applyBorder="1"/>
    <xf numFmtId="184" fontId="0" fillId="0" borderId="12" xfId="0" applyNumberFormat="1" applyBorder="1"/>
    <xf numFmtId="184" fontId="0" fillId="0" borderId="8" xfId="0" applyNumberFormat="1" applyBorder="1"/>
    <xf numFmtId="183" fontId="0" fillId="0" borderId="0" xfId="0" applyNumberFormat="1"/>
    <xf numFmtId="183" fontId="0" fillId="0" borderId="0" xfId="0" quotePrefix="1" applyNumberFormat="1"/>
    <xf numFmtId="182" fontId="0" fillId="0" borderId="0" xfId="0" applyNumberFormat="1" applyFont="1" applyBorder="1"/>
    <xf numFmtId="2" fontId="0" fillId="0" borderId="0" xfId="0" applyNumberFormat="1"/>
    <xf numFmtId="0" fontId="3" fillId="0" borderId="0" xfId="0" applyFont="1"/>
    <xf numFmtId="172" fontId="0" fillId="0" borderId="0" xfId="0" quotePrefix="1" applyNumberFormat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199.72590695091478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10.467191248588756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22008"/>
        <c:axId val="339425536"/>
      </c:scatterChart>
      <c:valAx>
        <c:axId val="339422008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339425536"/>
        <c:crosses val="autoZero"/>
        <c:crossBetween val="midCat"/>
        <c:majorUnit val="300"/>
      </c:valAx>
      <c:valAx>
        <c:axId val="339425536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339422008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20048"/>
        <c:axId val="339425928"/>
      </c:scatterChart>
      <c:valAx>
        <c:axId val="339420048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339425928"/>
        <c:crosses val="autoZero"/>
        <c:crossBetween val="midCat"/>
        <c:majorUnit val="500"/>
      </c:valAx>
      <c:valAx>
        <c:axId val="339425928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9420048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'Trajectory Speed profile'!$H$11:$K$11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183.33333333333334</c:v>
                </c:pt>
                <c:pt idx="2" formatCode="0.000">
                  <c:v>983.33333333333337</c:v>
                </c:pt>
                <c:pt idx="3" formatCode="General">
                  <c:v>1000</c:v>
                </c:pt>
              </c:numCache>
            </c:numRef>
          </c:xVal>
          <c:yVal>
            <c:numRef>
              <c:f>'Trajectory Speed profile'!$H$12:$K$12</c:f>
              <c:numCache>
                <c:formatCode>0.000</c:formatCode>
                <c:ptCount val="4"/>
                <c:pt idx="0" formatCode="General">
                  <c:v>0.3</c:v>
                </c:pt>
                <c:pt idx="1">
                  <c:v>0.11666666666666664</c:v>
                </c:pt>
                <c:pt idx="2">
                  <c:v>0.11666666666666664</c:v>
                </c:pt>
                <c:pt idx="3" formatCode="General">
                  <c:v>0.1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22400"/>
        <c:axId val="339419656"/>
      </c:scatterChart>
      <c:valAx>
        <c:axId val="33942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9419656"/>
        <c:crosses val="autoZero"/>
        <c:crossBetween val="midCat"/>
      </c:valAx>
      <c:valAx>
        <c:axId val="33941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9422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Speed</c:v>
          </c:tx>
          <c:spPr>
            <a:ln w="28575">
              <a:solidFill>
                <a:schemeClr val="accent1">
                  <a:alpha val="20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'Trajectory Speed profile'!$H$20:$BF$20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xVal>
          <c:yVal>
            <c:numRef>
              <c:f>'Trajectory Speed profile'!$H$21:$BF$21</c:f>
              <c:numCache>
                <c:formatCode>0.00</c:formatCode>
                <c:ptCount val="51"/>
                <c:pt idx="0">
                  <c:v>0.3</c:v>
                </c:pt>
                <c:pt idx="1">
                  <c:v>0.27999999999999997</c:v>
                </c:pt>
                <c:pt idx="2">
                  <c:v>0.26</c:v>
                </c:pt>
                <c:pt idx="3">
                  <c:v>0.24</c:v>
                </c:pt>
                <c:pt idx="4">
                  <c:v>0.21999999999999997</c:v>
                </c:pt>
                <c:pt idx="5">
                  <c:v>0.19999999999999998</c:v>
                </c:pt>
                <c:pt idx="6">
                  <c:v>0.18</c:v>
                </c:pt>
                <c:pt idx="7">
                  <c:v>0.15999999999999998</c:v>
                </c:pt>
                <c:pt idx="8">
                  <c:v>0.13999999999999999</c:v>
                </c:pt>
                <c:pt idx="9">
                  <c:v>0.12</c:v>
                </c:pt>
                <c:pt idx="10">
                  <c:v>0.11666666666666664</c:v>
                </c:pt>
                <c:pt idx="11">
                  <c:v>0.11666666666666664</c:v>
                </c:pt>
                <c:pt idx="12">
                  <c:v>0.11666666666666664</c:v>
                </c:pt>
                <c:pt idx="13">
                  <c:v>0.11666666666666664</c:v>
                </c:pt>
                <c:pt idx="14">
                  <c:v>0.11666666666666664</c:v>
                </c:pt>
                <c:pt idx="15">
                  <c:v>0.11666666666666664</c:v>
                </c:pt>
                <c:pt idx="16">
                  <c:v>0.11666666666666664</c:v>
                </c:pt>
                <c:pt idx="17">
                  <c:v>0.11666666666666664</c:v>
                </c:pt>
                <c:pt idx="18">
                  <c:v>0.11666666666666664</c:v>
                </c:pt>
                <c:pt idx="19">
                  <c:v>0.11666666666666664</c:v>
                </c:pt>
                <c:pt idx="20">
                  <c:v>0.11666666666666664</c:v>
                </c:pt>
                <c:pt idx="21">
                  <c:v>0.11666666666666664</c:v>
                </c:pt>
                <c:pt idx="22">
                  <c:v>0.11666666666666664</c:v>
                </c:pt>
                <c:pt idx="23">
                  <c:v>0.11666666666666664</c:v>
                </c:pt>
                <c:pt idx="24">
                  <c:v>0.11666666666666664</c:v>
                </c:pt>
                <c:pt idx="25">
                  <c:v>0.11666666666666664</c:v>
                </c:pt>
                <c:pt idx="26">
                  <c:v>0.11666666666666664</c:v>
                </c:pt>
                <c:pt idx="27">
                  <c:v>0.11666666666666664</c:v>
                </c:pt>
                <c:pt idx="28">
                  <c:v>0.11666666666666664</c:v>
                </c:pt>
                <c:pt idx="29">
                  <c:v>0.11666666666666664</c:v>
                </c:pt>
                <c:pt idx="30">
                  <c:v>0.11666666666666664</c:v>
                </c:pt>
                <c:pt idx="31">
                  <c:v>0.11666666666666664</c:v>
                </c:pt>
                <c:pt idx="32">
                  <c:v>0.11666666666666664</c:v>
                </c:pt>
                <c:pt idx="33">
                  <c:v>0.11666666666666664</c:v>
                </c:pt>
                <c:pt idx="34">
                  <c:v>0.11666666666666664</c:v>
                </c:pt>
                <c:pt idx="35">
                  <c:v>0.11666666666666664</c:v>
                </c:pt>
                <c:pt idx="36">
                  <c:v>0.11666666666666664</c:v>
                </c:pt>
                <c:pt idx="37">
                  <c:v>0.11666666666666664</c:v>
                </c:pt>
                <c:pt idx="38">
                  <c:v>0.11666666666666664</c:v>
                </c:pt>
                <c:pt idx="39">
                  <c:v>0.11666666666666664</c:v>
                </c:pt>
                <c:pt idx="40">
                  <c:v>0.11666666666666664</c:v>
                </c:pt>
                <c:pt idx="41">
                  <c:v>0.11666666666666664</c:v>
                </c:pt>
                <c:pt idx="42">
                  <c:v>0.11666666666666664</c:v>
                </c:pt>
                <c:pt idx="43">
                  <c:v>0.11666666666666664</c:v>
                </c:pt>
                <c:pt idx="44">
                  <c:v>0.11666666666666664</c:v>
                </c:pt>
                <c:pt idx="45">
                  <c:v>0.11666666666666664</c:v>
                </c:pt>
                <c:pt idx="46">
                  <c:v>0.11666666666666664</c:v>
                </c:pt>
                <c:pt idx="47">
                  <c:v>0.11666666666666664</c:v>
                </c:pt>
                <c:pt idx="48">
                  <c:v>0.11666666666666664</c:v>
                </c:pt>
                <c:pt idx="49">
                  <c:v>0.11666666666666664</c:v>
                </c:pt>
                <c:pt idx="50">
                  <c:v>0.1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27104"/>
        <c:axId val="339423968"/>
      </c:scatterChart>
      <c:valAx>
        <c:axId val="33942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9423968"/>
        <c:crosses val="autoZero"/>
        <c:crossBetween val="midCat"/>
      </c:valAx>
      <c:valAx>
        <c:axId val="3394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9427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Position Profile x(t)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1"/>
          <c:order val="0"/>
          <c:tx>
            <c:v>Position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'Trajectory Speed profile'!$H$20:$BF$20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xVal>
          <c:yVal>
            <c:numRef>
              <c:f>'Trajectory Speed profile'!$H$22:$BF$22</c:f>
              <c:numCache>
                <c:formatCode>General</c:formatCode>
                <c:ptCount val="51"/>
                <c:pt idx="0">
                  <c:v>0</c:v>
                </c:pt>
                <c:pt idx="1">
                  <c:v>5.8</c:v>
                </c:pt>
                <c:pt idx="2">
                  <c:v>11.2</c:v>
                </c:pt>
                <c:pt idx="3">
                  <c:v>16.2</c:v>
                </c:pt>
                <c:pt idx="4">
                  <c:v>20.8</c:v>
                </c:pt>
                <c:pt idx="5">
                  <c:v>25</c:v>
                </c:pt>
                <c:pt idx="6">
                  <c:v>28.8</c:v>
                </c:pt>
                <c:pt idx="7">
                  <c:v>32.200000000000003</c:v>
                </c:pt>
                <c:pt idx="8">
                  <c:v>35.200000000000003</c:v>
                </c:pt>
                <c:pt idx="9">
                  <c:v>37.799999999999997</c:v>
                </c:pt>
                <c:pt idx="10">
                  <c:v>40.138888888888886</c:v>
                </c:pt>
                <c:pt idx="11">
                  <c:v>42.472222222222221</c:v>
                </c:pt>
                <c:pt idx="12">
                  <c:v>44.80555555555555</c:v>
                </c:pt>
                <c:pt idx="13">
                  <c:v>47.138888888888886</c:v>
                </c:pt>
                <c:pt idx="14">
                  <c:v>49.472222222222214</c:v>
                </c:pt>
                <c:pt idx="15">
                  <c:v>51.80555555555555</c:v>
                </c:pt>
                <c:pt idx="16">
                  <c:v>54.138888888888886</c:v>
                </c:pt>
                <c:pt idx="17">
                  <c:v>56.472222222222214</c:v>
                </c:pt>
                <c:pt idx="18">
                  <c:v>58.80555555555555</c:v>
                </c:pt>
                <c:pt idx="19">
                  <c:v>61.138888888888886</c:v>
                </c:pt>
                <c:pt idx="20">
                  <c:v>63.472222222222214</c:v>
                </c:pt>
                <c:pt idx="21">
                  <c:v>65.805555555555543</c:v>
                </c:pt>
                <c:pt idx="22">
                  <c:v>68.138888888888872</c:v>
                </c:pt>
                <c:pt idx="23">
                  <c:v>70.4722222222222</c:v>
                </c:pt>
                <c:pt idx="24">
                  <c:v>72.805555555555543</c:v>
                </c:pt>
                <c:pt idx="25">
                  <c:v>75.138888888888872</c:v>
                </c:pt>
                <c:pt idx="26">
                  <c:v>77.4722222222222</c:v>
                </c:pt>
                <c:pt idx="27">
                  <c:v>79.805555555555543</c:v>
                </c:pt>
                <c:pt idx="28">
                  <c:v>82.138888888888872</c:v>
                </c:pt>
                <c:pt idx="29">
                  <c:v>84.4722222222222</c:v>
                </c:pt>
                <c:pt idx="30">
                  <c:v>86.805555555555543</c:v>
                </c:pt>
                <c:pt idx="31">
                  <c:v>89.138888888888872</c:v>
                </c:pt>
                <c:pt idx="32">
                  <c:v>91.4722222222222</c:v>
                </c:pt>
                <c:pt idx="33">
                  <c:v>93.805555555555543</c:v>
                </c:pt>
                <c:pt idx="34">
                  <c:v>96.138888888888872</c:v>
                </c:pt>
                <c:pt idx="35">
                  <c:v>98.4722222222222</c:v>
                </c:pt>
                <c:pt idx="36">
                  <c:v>100.80555555555554</c:v>
                </c:pt>
                <c:pt idx="37">
                  <c:v>103.13888888888887</c:v>
                </c:pt>
                <c:pt idx="38">
                  <c:v>105.4722222222222</c:v>
                </c:pt>
                <c:pt idx="39">
                  <c:v>107.80555555555553</c:v>
                </c:pt>
                <c:pt idx="40">
                  <c:v>110.13888888888887</c:v>
                </c:pt>
                <c:pt idx="41">
                  <c:v>112.4722222222222</c:v>
                </c:pt>
                <c:pt idx="42">
                  <c:v>114.80555555555553</c:v>
                </c:pt>
                <c:pt idx="43">
                  <c:v>117.13888888888887</c:v>
                </c:pt>
                <c:pt idx="44">
                  <c:v>119.4722222222222</c:v>
                </c:pt>
                <c:pt idx="45">
                  <c:v>121.80555555555553</c:v>
                </c:pt>
                <c:pt idx="46">
                  <c:v>124.13888888888886</c:v>
                </c:pt>
                <c:pt idx="47">
                  <c:v>126.4722222222222</c:v>
                </c:pt>
                <c:pt idx="48">
                  <c:v>128.80555555555554</c:v>
                </c:pt>
                <c:pt idx="49">
                  <c:v>131.13888888888886</c:v>
                </c:pt>
                <c:pt idx="50">
                  <c:v>133.33333333333331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24752"/>
        <c:axId val="339425144"/>
      </c:scatterChart>
      <c:valAx>
        <c:axId val="339424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9425144"/>
        <c:crosses val="autoZero"/>
        <c:crossBetween val="midCat"/>
      </c:valAx>
      <c:valAx>
        <c:axId val="33942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9424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 panose="02040503050406030204" pitchFamily="18" charset="0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𝑉</a:t>
              </a:r>
              <a:r>
                <a:rPr lang="de-DE" sz="1100" b="0" i="0">
                  <a:latin typeface="Cambria Math" panose="02040503050406030204" pitchFamily="18" charset="0"/>
                </a:rPr>
                <a:t> 〖</a:t>
              </a:r>
              <a:r>
                <a:rPr lang="de-DE" sz="1100" b="0" i="0">
                  <a:latin typeface="Cambria Math"/>
                </a:rPr>
                <a:t>=𝑇</a:t>
              </a:r>
              <a:r>
                <a:rPr lang="de-DE" sz="1100" b="0" i="0">
                  <a:latin typeface="Cambria Math" panose="02040503050406030204" pitchFamily="18" charset="0"/>
                </a:rPr>
                <a:t>〗_</a:t>
              </a:r>
              <a:r>
                <a:rPr lang="de-DE" sz="1100" b="0" i="0">
                  <a:latin typeface="Cambria Math"/>
                </a:rPr>
                <a:t>6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7=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788670</xdr:colOff>
      <xdr:row>0</xdr:row>
      <xdr:rowOff>0</xdr:rowOff>
    </xdr:from>
    <xdr:to>
      <xdr:col>11</xdr:col>
      <xdr:colOff>605790</xdr:colOff>
      <xdr:row>14</xdr:row>
      <xdr:rowOff>68580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784860</xdr:colOff>
      <xdr:row>24</xdr:row>
      <xdr:rowOff>30480</xdr:rowOff>
    </xdr:from>
    <xdr:to>
      <xdr:col>11</xdr:col>
      <xdr:colOff>601980</xdr:colOff>
      <xdr:row>39</xdr:row>
      <xdr:rowOff>91440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708660</xdr:colOff>
      <xdr:row>24</xdr:row>
      <xdr:rowOff>15240</xdr:rowOff>
    </xdr:from>
    <xdr:to>
      <xdr:col>17</xdr:col>
      <xdr:colOff>525780</xdr:colOff>
      <xdr:row>39</xdr:row>
      <xdr:rowOff>76200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zoomScale="85" zoomScaleNormal="85" workbookViewId="0">
      <selection activeCell="A15" sqref="A15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B91</f>
        <v>199.72590695091478</v>
      </c>
    </row>
    <row r="5" spans="1:22" x14ac:dyDescent="0.3">
      <c r="G5" s="56">
        <f>B92</f>
        <v>10.467191248588756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339.53404181655299</v>
      </c>
      <c r="H8" s="76">
        <f>X48</f>
        <v>-90.000020000000006</v>
      </c>
      <c r="I8" s="76">
        <f t="array" ref="I8:I10">X53:X55</f>
        <v>30.000000000000011</v>
      </c>
    </row>
    <row r="9" spans="1:22" ht="15" thickBot="1" x14ac:dyDescent="0.35">
      <c r="G9" s="101">
        <f>V49</f>
        <v>17.794225122600796</v>
      </c>
      <c r="H9" s="77">
        <f>X49</f>
        <v>-59.999999999998494</v>
      </c>
      <c r="I9" s="76">
        <v>1.0000000001754899E-5</v>
      </c>
    </row>
    <row r="10" spans="1:22" ht="15" thickBot="1" x14ac:dyDescent="0.35">
      <c r="G10" s="102">
        <f>V50</f>
        <v>399.99997556539046</v>
      </c>
      <c r="H10" s="78">
        <f>X50</f>
        <v>-86.999982679491922</v>
      </c>
      <c r="I10" s="76">
        <v>3.0000000000000071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3</v>
      </c>
      <c r="C15" s="21">
        <f t="shared" ref="C15:C20" si="0">RADIANS(B15)</f>
        <v>5.235987755982989E-2</v>
      </c>
      <c r="E15" s="20">
        <f>H93</f>
        <v>2.9999999999999973</v>
      </c>
      <c r="I15" s="20">
        <f>H94</f>
        <v>-177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si="0"/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1.1389518979542156E-8</v>
      </c>
      <c r="G18" s="109">
        <f>O151</f>
        <v>-179.99999998861048</v>
      </c>
      <c r="H18" s="20"/>
      <c r="V18">
        <v>0</v>
      </c>
    </row>
    <row r="19" spans="1:24" ht="15.6" x14ac:dyDescent="0.35">
      <c r="A19" s="29" t="s">
        <v>9</v>
      </c>
      <c r="B19" s="30">
        <v>1.0000000000000001E-5</v>
      </c>
      <c r="C19" s="21">
        <f t="shared" si="0"/>
        <v>1.7453292519943297E-7</v>
      </c>
      <c r="F19" s="110">
        <f>H150</f>
        <v>9.9931643150853205E-6</v>
      </c>
      <c r="G19" s="111">
        <f>H151</f>
        <v>-9.9931643150853205E-6</v>
      </c>
      <c r="V19">
        <v>0</v>
      </c>
    </row>
    <row r="20" spans="1:24" ht="16.2" thickBot="1" x14ac:dyDescent="0.4">
      <c r="A20" s="31" t="s">
        <v>10</v>
      </c>
      <c r="B20" s="32">
        <v>30</v>
      </c>
      <c r="C20" s="21">
        <f t="shared" si="0"/>
        <v>0.52359877559829882</v>
      </c>
      <c r="F20" s="112">
        <f>K150</f>
        <v>29.999999989149014</v>
      </c>
      <c r="G20" s="113">
        <f>K151</f>
        <v>-150.00000001085098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3</v>
      </c>
      <c r="H23" s="6">
        <f>RADIANS(G23)</f>
        <v>5.235987755982989E-2</v>
      </c>
      <c r="N23" s="84">
        <f>COS(H23)</f>
        <v>0.99862953475457383</v>
      </c>
      <c r="O23" s="69">
        <f>-SIN(H23)*COS(D23)</f>
        <v>-3.2059657963603892E-18</v>
      </c>
      <c r="P23" s="69">
        <f>SIN(H23)*SIN(D23)</f>
        <v>-5.2335956242943835E-2</v>
      </c>
      <c r="Q23" s="85">
        <f>E23*COS(H23)</f>
        <v>0</v>
      </c>
      <c r="R23" s="86">
        <f t="array" ref="R23:U26">N23:Q26</f>
        <v>0.99862953475457383</v>
      </c>
      <c r="S23" s="87">
        <v>-3.2059657963603892E-18</v>
      </c>
      <c r="T23" s="87">
        <v>-5.2335956242943835E-2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5.2335956242943835E-2</v>
      </c>
      <c r="O24" s="69">
        <f>COS(H23)*COS(D23)</f>
        <v>6.1173471576534015E-17</v>
      </c>
      <c r="P24" s="69">
        <f>-COS(H23)*SIN(D23)</f>
        <v>0.99862953475457383</v>
      </c>
      <c r="Q24" s="85">
        <f>E23*SIN(H23)</f>
        <v>0</v>
      </c>
      <c r="R24" s="86">
        <v>5.2335956242943835E-2</v>
      </c>
      <c r="S24" s="87">
        <v>6.1173471576534015E-17</v>
      </c>
      <c r="T24" s="87">
        <v>0.99862953475457383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5.235987755982989E-2</v>
      </c>
      <c r="X25" s="20">
        <f>DEGREES(W25)</f>
        <v>3.0000000000000004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6.4379437372894405E-17</v>
      </c>
      <c r="S28" s="87">
        <v>0.99862953475457383</v>
      </c>
      <c r="T28" s="87">
        <v>-5.2335956242943835E-2</v>
      </c>
      <c r="U28" s="88">
        <v>1.9313831211868321E-14</v>
      </c>
      <c r="V28" s="18">
        <f>$V$17*R28+$V$18*S28+$V$19*T28+$V$20*U28</f>
        <v>1.9313831211868321E-14</v>
      </c>
      <c r="W28" s="21">
        <f>IF(W29=PI()/2,ATAN2(S29,S28),IF(-W29=PI()/2,-ATAN2(S29,S28),ATAN2(T30,S30)))</f>
        <v>-1.5184364492350668</v>
      </c>
      <c r="X28" s="20">
        <f>DEGREES(W28)</f>
        <v>-87.000000000000014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-5.7967505780173625E-17</v>
      </c>
      <c r="S29" s="87">
        <v>5.2335956242943835E-2</v>
      </c>
      <c r="T29" s="87">
        <v>0.99862953475457383</v>
      </c>
      <c r="U29" s="88">
        <v>-1.7390251734052088E-14</v>
      </c>
      <c r="V29" s="18">
        <f>$V$17*R29+$V$19*S29+$V$18*T29+$V$20*U29</f>
        <v>-1.7390251734052088E-14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6.4379437372894405E-17</v>
      </c>
      <c r="S33" s="63">
        <v>5.2335956242943897E-2</v>
      </c>
      <c r="T33" s="63">
        <v>0.99862953475457383</v>
      </c>
      <c r="U33" s="64">
        <v>1.9313831211868321E-14</v>
      </c>
      <c r="V33" s="18">
        <f>$V$17*R33+$V$18*S33+$V$19*T33+$V$20*U33</f>
        <v>1.9313831211868321E-14</v>
      </c>
      <c r="W33" s="21">
        <f>IF(W34=PI()/2,ATAN2(S34,S33),IF(-W34=PI()/2,-ATAN2(S34,S33),ATAN2(T35,S35)))</f>
        <v>-3.0892327760299634</v>
      </c>
      <c r="X33" s="20">
        <f>DEGREES(W33)</f>
        <v>-177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-5.7967505780173625E-17</v>
      </c>
      <c r="S34" s="63">
        <v>-0.99862953475457383</v>
      </c>
      <c r="T34" s="63">
        <v>5.2335956242943897E-2</v>
      </c>
      <c r="U34" s="64">
        <v>-1.7390251734052088E-14</v>
      </c>
      <c r="V34" s="18">
        <f>$V$17*R34+$V$19*S34+$V$18*T34+$V$20*U34</f>
        <v>-1.7390251734052088E-14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6.4379437372894405E-17</v>
      </c>
      <c r="S38" s="63">
        <v>0.99862953475457383</v>
      </c>
      <c r="T38" s="63">
        <v>-5.2335956242943835E-2</v>
      </c>
      <c r="U38" s="64">
        <v>199.7259069509148</v>
      </c>
      <c r="V38" s="18">
        <f>$V$17*R38+$V$18*S38+$V$19*T38+$V$20*U38</f>
        <v>199.7259069509148</v>
      </c>
      <c r="W38" s="21">
        <f>IF(W39=PI()/2,ATAN2(S39,S38),IF(-W39=PI()/2,-ATAN2(S39,S38),ATAN2(T40,S40)))</f>
        <v>-1.5184364492350668</v>
      </c>
      <c r="X38" s="20">
        <f>DEGREES(W38)</f>
        <v>-87.000000000000014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-5.7967505780173625E-17</v>
      </c>
      <c r="S39" s="63">
        <v>5.2335956242943835E-2</v>
      </c>
      <c r="T39" s="63">
        <v>0.99862953475457383</v>
      </c>
      <c r="U39" s="64">
        <v>10.467191248588762</v>
      </c>
      <c r="V39" s="18">
        <f>$V$17*R39+$V$19*S39+$V$18*T39+$V$20*U39</f>
        <v>10.467191248588762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1.0000000000000001E-5</v>
      </c>
      <c r="H43" s="6">
        <f>RADIANS(G43)</f>
        <v>1.7453292519943297E-7</v>
      </c>
      <c r="N43" s="11">
        <f>COS(H43)</f>
        <v>0.99999999999998479</v>
      </c>
      <c r="O43" s="12">
        <f>-SIN(H43)*COS(D43)</f>
        <v>-1.0691437181938299E-23</v>
      </c>
      <c r="P43" s="12">
        <f>SIN(H43)*SIN(D43)</f>
        <v>-1.7453292519943209E-7</v>
      </c>
      <c r="Q43" s="13">
        <f>E43*COS(H43)</f>
        <v>0</v>
      </c>
      <c r="R43" s="62">
        <f t="array" ref="R43:U46">MMULT(R38:U41,N43:Q46)</f>
        <v>1.7429373395564313E-7</v>
      </c>
      <c r="S43" s="63">
        <v>5.2335956242943897E-2</v>
      </c>
      <c r="T43" s="63">
        <v>0.99862953475455862</v>
      </c>
      <c r="U43" s="64">
        <v>199.7259069509148</v>
      </c>
      <c r="V43" s="18">
        <f>$V$17*R43+$V$18*S43+$V$19*T43+$V$20*U43</f>
        <v>199.7259069509148</v>
      </c>
      <c r="W43" s="21">
        <f>IF(W44=PI()/2,ATAN2(S44,S43),IF(-W44=PI()/2,-ATAN2(S44,S43),ATAN2(T45,S45)))</f>
        <v>-3.1415926532388139</v>
      </c>
      <c r="X43" s="20">
        <f>DEGREES(W43)</f>
        <v>-179.99999997989036</v>
      </c>
    </row>
    <row r="44" spans="1:26" x14ac:dyDescent="0.3">
      <c r="N44" s="11">
        <f>SIN(H43)</f>
        <v>1.7453292519943209E-7</v>
      </c>
      <c r="O44" s="12">
        <f>COS(H43)*COS(D43)</f>
        <v>6.1257422745430064E-17</v>
      </c>
      <c r="P44" s="12">
        <f>-COS(H43)*SIN(D43)</f>
        <v>0.99999999999998479</v>
      </c>
      <c r="Q44" s="13">
        <f>E43*SIN(H43)</f>
        <v>0</v>
      </c>
      <c r="R44" s="62">
        <v>9.1343474782229625E-9</v>
      </c>
      <c r="S44" s="63">
        <v>-0.99862953475457383</v>
      </c>
      <c r="T44" s="63">
        <v>5.2335956242943099E-2</v>
      </c>
      <c r="U44" s="64">
        <v>10.467191248588762</v>
      </c>
      <c r="V44" s="18">
        <f>$V$17*R44+$V$19*S44+$V$18*T44+$V$20*U44</f>
        <v>10.467191248588762</v>
      </c>
      <c r="W44" s="21">
        <f>ATAN2(SQRT(R43^2+R44^2),-R45)</f>
        <v>-1.5707961522619713</v>
      </c>
      <c r="X44" s="20">
        <f>DEGREES(W44)</f>
        <v>-89.999989999999997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0.99999999999998479</v>
      </c>
      <c r="S45" s="63">
        <v>-6.1257433436868186E-17</v>
      </c>
      <c r="T45" s="63">
        <v>-1.7453292526068951E-7</v>
      </c>
      <c r="U45" s="64">
        <v>400</v>
      </c>
      <c r="V45" s="18">
        <f>$V$17*R45+$V$18*S45+$V$19*T45+$V$20*U45</f>
        <v>400</v>
      </c>
      <c r="W45" s="21">
        <f>IF(ABS(W44)=PI()/2,0,ATAN2(R43,R44))</f>
        <v>5.2359877208850721E-2</v>
      </c>
      <c r="X45" s="20">
        <f>DEGREES(W45)</f>
        <v>2.9999999798903754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30</v>
      </c>
      <c r="H48" s="6">
        <f>RADIANS(G48)</f>
        <v>0.52359877559829882</v>
      </c>
      <c r="N48" s="11">
        <f>COS(H48)</f>
        <v>0.86602540378443871</v>
      </c>
      <c r="O48" s="12">
        <f>-SIN(H48)*COS(D48)</f>
        <v>-0.49999999999999994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2.6168129064273273E-2</v>
      </c>
      <c r="S48" s="95">
        <v>4.5324180490873223E-2</v>
      </c>
      <c r="T48" s="95">
        <v>0.99862953475455862</v>
      </c>
      <c r="U48" s="88">
        <v>339.53404181655299</v>
      </c>
      <c r="V48" s="18">
        <f>$V$17*R48+$V$18*S48+$V$19*T48+$V$20*U48</f>
        <v>339.53404181655299</v>
      </c>
      <c r="W48" s="89">
        <f>IF(W49=PI()/2,ATAN2(S49,S48),IF(-W49=PI()/2,-ATAN2(S49,S48),ATAN2(T50,S50)))</f>
        <v>-1.570796675860747</v>
      </c>
      <c r="X48" s="20">
        <f>DEGREES(W48)</f>
        <v>-90.000020000000006</v>
      </c>
      <c r="Y48" s="1" t="s">
        <v>76</v>
      </c>
      <c r="Z48" t="s">
        <v>75</v>
      </c>
    </row>
    <row r="49" spans="1:26" x14ac:dyDescent="0.3">
      <c r="N49" s="11">
        <f>SIN(H48)</f>
        <v>0.49999999999999994</v>
      </c>
      <c r="O49" s="12">
        <f>COS(H48)*COS(D48)</f>
        <v>0.86602540378443871</v>
      </c>
      <c r="P49" s="12">
        <f>-COS(H48)*SIN(D48)</f>
        <v>0</v>
      </c>
      <c r="Q49" s="13">
        <f>E48*SIN(H48)</f>
        <v>0</v>
      </c>
      <c r="R49" s="94">
        <v>-0.49931475946670989</v>
      </c>
      <c r="S49" s="95">
        <v>-0.86483855063406967</v>
      </c>
      <c r="T49" s="95">
        <v>5.2335956242943099E-2</v>
      </c>
      <c r="U49" s="88">
        <v>17.794225122600796</v>
      </c>
      <c r="V49" s="18">
        <f>$V$17*R49+$V$19*S49+$V$18*T49+$V$20*U49</f>
        <v>17.794225122600796</v>
      </c>
      <c r="W49" s="89">
        <f>ATAN2(SQRT(R48^2+R49^2),-R50)</f>
        <v>-1.0471975511965714</v>
      </c>
      <c r="X49" s="20">
        <f>DEGREES(W49)</f>
        <v>-59.999999999998494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0.8660254037844255</v>
      </c>
      <c r="S50" s="95">
        <v>-0.49999999999999239</v>
      </c>
      <c r="T50" s="95">
        <v>-1.7453292526068951E-7</v>
      </c>
      <c r="U50" s="88">
        <v>399.99997556539046</v>
      </c>
      <c r="V50" s="18">
        <f>$V$17*R50+$V$19*S50+$V$18*T50+$V$20*U50</f>
        <v>399.99997556539046</v>
      </c>
      <c r="W50" s="89">
        <f>IF(ABS(W49)=PI()/2,0,ATAN2(R48,R49))</f>
        <v>-1.5184361469351726</v>
      </c>
      <c r="X50" s="20">
        <f>DEGREES(W50)</f>
        <v>-86.999982679491922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0.99862953475455862</v>
      </c>
      <c r="S53" s="95">
        <v>-4.5324180490873285E-2</v>
      </c>
      <c r="T53" s="95">
        <v>2.6168129064273279E-2</v>
      </c>
      <c r="U53" s="88">
        <v>339.53404181655299</v>
      </c>
      <c r="V53" s="18">
        <f>$V$17*R53+$V$18*S53+$V$19*T53+$V$20*U53</f>
        <v>339.53404181655299</v>
      </c>
      <c r="W53" s="89">
        <f>IF(W54=PI()/2,ATAN2(S54,S53),IF(-W54=PI()/2,-ATAN2(S54,S53),ATAN2(T55,S55)))</f>
        <v>0.52359877559829904</v>
      </c>
      <c r="X53" s="20">
        <f>DEGREES(W53)</f>
        <v>30.000000000000011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5.2335956242943155E-2</v>
      </c>
      <c r="S54" s="95">
        <v>0.86483855063406956</v>
      </c>
      <c r="T54" s="95">
        <v>-0.49931475946671</v>
      </c>
      <c r="U54" s="88">
        <v>17.794225122600796</v>
      </c>
      <c r="V54" s="18">
        <f>$V$17*R54+$V$19*S54+$V$18*T54+$V$20*U54</f>
        <v>17.794225122600796</v>
      </c>
      <c r="W54" s="89">
        <f>ATAN2(SQRT(R53^2+R54^2),-R55)</f>
        <v>1.745329252300617E-7</v>
      </c>
      <c r="X54" s="20">
        <f>DEGREES(W54)</f>
        <v>1.0000000001754899E-5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-1.745329252300608E-7</v>
      </c>
      <c r="S55" s="95">
        <v>0.49999999999999251</v>
      </c>
      <c r="T55" s="95">
        <v>0.86602540378442538</v>
      </c>
      <c r="U55" s="88">
        <v>399.99997556539046</v>
      </c>
      <c r="V55" s="18">
        <f>$V$17*R55+$V$19*S55+$V$18*T55+$V$20*U55</f>
        <v>399.99997556539046</v>
      </c>
      <c r="W55" s="89">
        <f>IF(ABS(W54)=PI()/2,0,ATAN2(R53,R54))</f>
        <v>5.2359877559830008E-2</v>
      </c>
      <c r="X55" s="20">
        <f>DEGREES(W55)</f>
        <v>3.0000000000000071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  <c r="R62">
        <v>1</v>
      </c>
      <c r="T62">
        <f t="array" ref="T62:V65">MMULT(R53:U56,R62:R65)</f>
        <v>0.97947348332795858</v>
      </c>
      <c r="U62">
        <v>0.97947348332795858</v>
      </c>
      <c r="V62">
        <v>0.97947348332795858</v>
      </c>
    </row>
    <row r="63" spans="1:26" x14ac:dyDescent="0.3">
      <c r="C63" t="s">
        <v>13</v>
      </c>
      <c r="D63" t="s">
        <v>64</v>
      </c>
      <c r="G63" t="s">
        <v>62</v>
      </c>
      <c r="R63">
        <v>1</v>
      </c>
      <c r="T63">
        <v>0.41785974741030274</v>
      </c>
      <c r="U63">
        <v>0.41785974741030274</v>
      </c>
      <c r="V63">
        <v>0.41785974741030274</v>
      </c>
    </row>
    <row r="64" spans="1:26" x14ac:dyDescent="0.3">
      <c r="A64" t="s">
        <v>27</v>
      </c>
      <c r="C64" s="7">
        <f t="array" ref="C64:C67">V48:V51</f>
        <v>339.53404181655299</v>
      </c>
      <c r="D64" s="21">
        <f t="array" ref="D64:D66">W48:W50</f>
        <v>-1.570796675860747</v>
      </c>
      <c r="E64" s="20">
        <f>DEGREES(D64)</f>
        <v>-90.000020000000006</v>
      </c>
      <c r="F64" s="90">
        <f>D64+PI()</f>
        <v>1.5707959777290461</v>
      </c>
      <c r="G64" s="21">
        <f>IF(F64&gt;PI(),F64-2*PI(),F64)</f>
        <v>1.5707959777290461</v>
      </c>
      <c r="H64" s="20">
        <f>DEGREES(G64)</f>
        <v>89.999979999999994</v>
      </c>
      <c r="N64">
        <f t="array" ref="N64:N67">C64:C67</f>
        <v>339.53404181655299</v>
      </c>
      <c r="O64">
        <f t="array" ref="O64:O66">W53:W55</f>
        <v>0.52359877559829904</v>
      </c>
      <c r="R64">
        <v>1</v>
      </c>
      <c r="T64">
        <v>1.3660252292514927</v>
      </c>
      <c r="U64">
        <v>1.3660252292514927</v>
      </c>
      <c r="V64">
        <v>1.3660252292514927</v>
      </c>
    </row>
    <row r="65" spans="1:22" x14ac:dyDescent="0.3">
      <c r="C65" s="7">
        <v>17.794225122600796</v>
      </c>
      <c r="D65" s="21">
        <v>-1.0471975511965714</v>
      </c>
      <c r="E65" s="20">
        <f>DEGREES(D65)</f>
        <v>-59.999999999998494</v>
      </c>
      <c r="F65" s="90">
        <f>D65+PI()/2</f>
        <v>0.52359877559832513</v>
      </c>
      <c r="G65" s="21">
        <f>IF(F65&gt;PI(),F65-2*PI(),F65)</f>
        <v>0.52359877559832513</v>
      </c>
      <c r="H65" s="20">
        <f>DEGREES(G65)</f>
        <v>30.000000000001506</v>
      </c>
      <c r="N65">
        <v>17.794225122600796</v>
      </c>
      <c r="O65">
        <v>1.745329252300617E-7</v>
      </c>
      <c r="R65">
        <v>0</v>
      </c>
      <c r="T65">
        <v>0</v>
      </c>
      <c r="U65">
        <v>0</v>
      </c>
      <c r="V65">
        <v>0</v>
      </c>
    </row>
    <row r="66" spans="1:22" x14ac:dyDescent="0.3">
      <c r="C66" s="7">
        <v>399.99997556539046</v>
      </c>
      <c r="D66" s="21">
        <v>-1.5184361469351726</v>
      </c>
      <c r="E66" s="20">
        <f>DEGREES(D66)</f>
        <v>-86.999982679491922</v>
      </c>
      <c r="F66" s="90">
        <f>D66</f>
        <v>-1.5184361469351726</v>
      </c>
      <c r="G66" s="21">
        <f>IF(F66&gt;PI(),F66-2*PI(),F66)</f>
        <v>-1.5184361469351726</v>
      </c>
      <c r="H66" s="20">
        <f>DEGREES(G66)</f>
        <v>-86.999982679491922</v>
      </c>
      <c r="N66">
        <v>399.99997556539046</v>
      </c>
      <c r="O66">
        <v>5.2359877559830008E-2</v>
      </c>
      <c r="P66" s="89"/>
    </row>
    <row r="67" spans="1:22" x14ac:dyDescent="0.3">
      <c r="C67" s="7">
        <v>1</v>
      </c>
      <c r="N67">
        <v>1</v>
      </c>
    </row>
    <row r="68" spans="1:22" x14ac:dyDescent="0.3">
      <c r="C68" s="7"/>
      <c r="O68" s="7"/>
    </row>
    <row r="69" spans="1:22" x14ac:dyDescent="0.3">
      <c r="A69" t="s">
        <v>66</v>
      </c>
      <c r="F69" t="s">
        <v>64</v>
      </c>
      <c r="I69" t="s">
        <v>62</v>
      </c>
    </row>
    <row r="70" spans="1:22" x14ac:dyDescent="0.3">
      <c r="B70" s="98">
        <f>COS(D66)*COS(D65)</f>
        <v>2.6168129064273231E-2</v>
      </c>
      <c r="C70" s="98">
        <f>SIN(D64)*SIN(D65)*COS(D66)-COS(D64)*SIN(D66)</f>
        <v>4.5324180490873299E-2</v>
      </c>
      <c r="D70" s="98">
        <f>COS(D64)*SIN(D65)*COS(D66)+SIN(D64)*SIN(D66)</f>
        <v>0.99862953475455873</v>
      </c>
      <c r="E70" s="92">
        <f>C64</f>
        <v>339.53404181655299</v>
      </c>
      <c r="F70" s="89">
        <f>IF(F71=PI()/2,ATAN2(C71,C70),IF(-F71=PI()/2,-ATAN2(C71,C70),ATAN2(D72,C72)))</f>
        <v>-1.5707966758607468</v>
      </c>
      <c r="G70" s="7">
        <f>DEGREES(F70)</f>
        <v>-90.000019999999992</v>
      </c>
      <c r="H70" s="90">
        <f>F70+PI()</f>
        <v>1.5707959777290463</v>
      </c>
      <c r="I70" s="21">
        <f>IF(H70&gt;PI(),H70-2*PI(),H70)</f>
        <v>1.5707959777290463</v>
      </c>
      <c r="J70" s="20">
        <f>DEGREES(I70)</f>
        <v>89.999980000000008</v>
      </c>
      <c r="M70" s="98">
        <f>COS(O66)*COS(O65)</f>
        <v>0.99862953475455862</v>
      </c>
      <c r="N70" s="98">
        <f>SIN(O64)*SIN(O65)*COS(O66)-COS(O64)*SIN(O66)</f>
        <v>-4.5324180490873285E-2</v>
      </c>
      <c r="O70" s="98">
        <f>COS(O64)*SIN(O65)*COS(O66)+SIN(O64)*SIN(O66)</f>
        <v>2.6168129064273279E-2</v>
      </c>
      <c r="P70" s="92">
        <f>N64</f>
        <v>339.53404181655299</v>
      </c>
      <c r="Q70" s="75">
        <f t="array" ref="Q70:T73">MMULT(M70:P73,N58:Q61)</f>
        <v>2.6168129064273273E-2</v>
      </c>
      <c r="R70" s="75">
        <v>4.5324180490873223E-2</v>
      </c>
      <c r="S70" s="75">
        <v>0.99862953475455862</v>
      </c>
      <c r="T70" s="75">
        <v>339.53404181655299</v>
      </c>
    </row>
    <row r="71" spans="1:22" x14ac:dyDescent="0.3">
      <c r="B71" s="98">
        <f>COS(D65)*SIN(D66)</f>
        <v>-0.49931475946670983</v>
      </c>
      <c r="C71" s="98">
        <f>SIN(D64)*SIN(D65)*SIN(D66)+COS(D64)*COS(D66)</f>
        <v>-0.86483855063406989</v>
      </c>
      <c r="D71" s="98">
        <f>COS(D64)*SIN(D65)*SIN(D66)-SIN(D64)*COS(D66)</f>
        <v>5.2335956242943141E-2</v>
      </c>
      <c r="E71" s="92">
        <f>C65</f>
        <v>17.794225122600796</v>
      </c>
      <c r="F71" s="89">
        <f>ATAN2(SQRT(B70^2+B71^2),-B72)</f>
        <v>-1.0471975511965714</v>
      </c>
      <c r="G71" s="7">
        <f>DEGREES(F71)</f>
        <v>-59.999999999998494</v>
      </c>
      <c r="H71" s="90">
        <f>F71+PI()/2</f>
        <v>0.52359877559832513</v>
      </c>
      <c r="I71" s="21">
        <f>IF(H71&gt;PI(),H71-2*PI(),H71)</f>
        <v>0.52359877559832513</v>
      </c>
      <c r="J71" s="20">
        <f>DEGREES(I71)</f>
        <v>30.000000000001506</v>
      </c>
      <c r="M71" s="98">
        <f>COS(O65)*SIN(O66)</f>
        <v>5.2335956242943155E-2</v>
      </c>
      <c r="N71" s="98">
        <f>SIN(O64)*SIN(O65)*SIN(O66)+COS(O64)*COS(O66)</f>
        <v>0.86483855063406956</v>
      </c>
      <c r="O71" s="98">
        <f>COS(O64)*SIN(O65)*SIN(O66)-SIN(O64)*COS(O66)</f>
        <v>-0.49931475946671</v>
      </c>
      <c r="P71" s="92">
        <f>N65</f>
        <v>17.794225122600796</v>
      </c>
      <c r="Q71" s="75">
        <v>-0.49931475946670989</v>
      </c>
      <c r="R71" s="75">
        <v>-0.86483855063406967</v>
      </c>
      <c r="S71" s="75">
        <v>5.2335956242943099E-2</v>
      </c>
      <c r="T71" s="75">
        <v>17.794225122600796</v>
      </c>
    </row>
    <row r="72" spans="1:22" x14ac:dyDescent="0.3">
      <c r="B72" s="98">
        <f>-SIN(D65)</f>
        <v>0.8660254037844255</v>
      </c>
      <c r="C72" s="98">
        <f>SIN(D64)*COS(D65)</f>
        <v>-0.49999999999999228</v>
      </c>
      <c r="D72" s="98">
        <f>COS(D64)*COS(D65)</f>
        <v>-1.745329251927786E-7</v>
      </c>
      <c r="E72" s="92">
        <f>C66</f>
        <v>399.99997556539046</v>
      </c>
      <c r="F72" s="89">
        <f>IF(ABS(F71)=PI()/2,0,ATAN2(B70,B71))</f>
        <v>-1.5184361469351726</v>
      </c>
      <c r="G72" s="7">
        <f>DEGREES(F72)</f>
        <v>-86.999982679491922</v>
      </c>
      <c r="H72" s="90">
        <f>F72</f>
        <v>-1.5184361469351726</v>
      </c>
      <c r="I72" s="21">
        <f>IF(H72&gt;PI(),H72-2*PI(),H72)</f>
        <v>-1.5184361469351726</v>
      </c>
      <c r="J72" s="20">
        <f>DEGREES(I72)</f>
        <v>-86.999982679491922</v>
      </c>
      <c r="M72" s="98">
        <f>-SIN(O65)</f>
        <v>-1.7453292523006083E-7</v>
      </c>
      <c r="N72" s="98">
        <f>SIN(O64)*COS(O65)</f>
        <v>0.49999999999999251</v>
      </c>
      <c r="O72" s="98">
        <f>COS(O64)*COS(O65)</f>
        <v>0.86602540378442538</v>
      </c>
      <c r="P72" s="92">
        <f>N66</f>
        <v>399.99997556539046</v>
      </c>
      <c r="Q72" s="75">
        <v>0.8660254037844255</v>
      </c>
      <c r="R72" s="75">
        <v>-0.49999999999999239</v>
      </c>
      <c r="S72" s="75">
        <v>-1.7453292526068954E-7</v>
      </c>
      <c r="T72" s="75">
        <v>399.99997556539046</v>
      </c>
    </row>
    <row r="73" spans="1:22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2" x14ac:dyDescent="0.3">
      <c r="A74" s="15" t="s">
        <v>29</v>
      </c>
    </row>
    <row r="75" spans="1:22" ht="15.6" x14ac:dyDescent="0.35">
      <c r="A75" s="9" t="s">
        <v>36</v>
      </c>
    </row>
    <row r="77" spans="1:22" ht="15.6" x14ac:dyDescent="0.35">
      <c r="A77" t="s">
        <v>32</v>
      </c>
      <c r="B77" s="16"/>
      <c r="F77">
        <v>0</v>
      </c>
      <c r="I77" s="7">
        <f t="array" ref="I77:L80">MMULT(B70:E73,F77:F80)</f>
        <v>199.72590695091478</v>
      </c>
      <c r="J77" s="7">
        <v>199.72590695091478</v>
      </c>
      <c r="K77" s="7">
        <v>199.72590695091478</v>
      </c>
      <c r="L77" s="7">
        <v>199.72590695091478</v>
      </c>
    </row>
    <row r="78" spans="1:22" x14ac:dyDescent="0.3">
      <c r="F78">
        <v>0</v>
      </c>
      <c r="I78" s="7">
        <v>10.467191248588756</v>
      </c>
      <c r="J78" s="7">
        <v>10.467191248588756</v>
      </c>
      <c r="K78" s="7">
        <v>10.467191248588756</v>
      </c>
      <c r="L78" s="7">
        <v>10.467191248588756</v>
      </c>
    </row>
    <row r="79" spans="1:22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2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35</v>
      </c>
    </row>
    <row r="82" spans="1:9" ht="15.6" x14ac:dyDescent="0.35">
      <c r="A82" t="s">
        <v>33</v>
      </c>
      <c r="B82" s="17" t="s">
        <v>34</v>
      </c>
      <c r="C82" s="5" t="s">
        <v>31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37</v>
      </c>
      <c r="B88" s="8"/>
      <c r="C88" s="8"/>
      <c r="D88" s="8"/>
      <c r="E88" s="8"/>
    </row>
    <row r="89" spans="1:9" x14ac:dyDescent="0.3">
      <c r="A89" s="9" t="s">
        <v>39</v>
      </c>
    </row>
    <row r="90" spans="1:9" x14ac:dyDescent="0.3">
      <c r="A90" s="9"/>
    </row>
    <row r="91" spans="1:9" x14ac:dyDescent="0.3">
      <c r="B91" s="75">
        <f t="array" ref="B91:B94">L77:L80</f>
        <v>199.72590695091478</v>
      </c>
      <c r="E91" s="5" t="s">
        <v>34</v>
      </c>
      <c r="H91" s="21">
        <f>ATAN2(B91,B92)</f>
        <v>5.2359877559829841E-2</v>
      </c>
      <c r="I91" s="23">
        <f>DEGREES(H91)</f>
        <v>2.9999999999999973</v>
      </c>
    </row>
    <row r="92" spans="1:9" x14ac:dyDescent="0.3">
      <c r="A92" t="s">
        <v>30</v>
      </c>
      <c r="B92" s="60">
        <v>10.467191248588756</v>
      </c>
      <c r="H92" s="21">
        <f>ATAN2(-B91,-B92)</f>
        <v>-3.0892327760299634</v>
      </c>
      <c r="I92" s="23">
        <f>DEGREES(H92)</f>
        <v>-177</v>
      </c>
    </row>
    <row r="93" spans="1:9" x14ac:dyDescent="0.3">
      <c r="B93" s="60">
        <v>400</v>
      </c>
      <c r="E93" t="s">
        <v>40</v>
      </c>
      <c r="G93" s="21">
        <f>IF(B95=1,H91,H92)</f>
        <v>5.2359877559829841E-2</v>
      </c>
      <c r="H93" s="23">
        <f>DEGREES(G93)</f>
        <v>2.9999999999999973</v>
      </c>
      <c r="I93" s="15" t="str">
        <f>IF(ABS(H93-B15)&lt; 0.001,"OK","NOT OK!")</f>
        <v>OK</v>
      </c>
    </row>
    <row r="94" spans="1:9" x14ac:dyDescent="0.3">
      <c r="B94">
        <v>1</v>
      </c>
      <c r="E94" t="s">
        <v>41</v>
      </c>
      <c r="G94" s="21">
        <f>IF(B95=-1,H91,H92)</f>
        <v>-3.0892327760299634</v>
      </c>
      <c r="H94" s="23">
        <f>DEGREES(G94)</f>
        <v>-177</v>
      </c>
      <c r="I94" s="15" t="str">
        <f>IF(ABS(H94-B15)&lt; 0.001,"OK","NOT OK!")</f>
        <v>NOT OK!</v>
      </c>
    </row>
    <row r="95" spans="1:9" x14ac:dyDescent="0.3">
      <c r="A95" t="s">
        <v>43</v>
      </c>
      <c r="B95">
        <f>SIGN(B91)</f>
        <v>1</v>
      </c>
    </row>
    <row r="97" spans="1:12" ht="16.2" x14ac:dyDescent="0.35">
      <c r="A97" s="15" t="s">
        <v>44</v>
      </c>
    </row>
    <row r="99" spans="1:12" x14ac:dyDescent="0.3">
      <c r="A99" s="9" t="s">
        <v>58</v>
      </c>
    </row>
    <row r="104" spans="1:12" x14ac:dyDescent="0.3">
      <c r="J104" t="s">
        <v>45</v>
      </c>
      <c r="K104">
        <v>0</v>
      </c>
      <c r="L104">
        <f>E120*B95</f>
        <v>200.00000000000003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200.00000000000003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48</v>
      </c>
      <c r="Q122" s="33" t="s">
        <v>49</v>
      </c>
    </row>
    <row r="123" spans="1:19" x14ac:dyDescent="0.3">
      <c r="B123" t="s">
        <v>56</v>
      </c>
      <c r="E123" s="7">
        <f>SQRT(E120*E120+E118*E118)</f>
        <v>360.55512754639892</v>
      </c>
      <c r="L123" t="s">
        <v>68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54</v>
      </c>
      <c r="E124" s="7">
        <f>E28</f>
        <v>300</v>
      </c>
      <c r="F124" s="5"/>
      <c r="L124" s="9" t="s">
        <v>57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55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46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47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53</v>
      </c>
    </row>
    <row r="138" spans="1:21" x14ac:dyDescent="0.3">
      <c r="E138" s="58"/>
      <c r="F138" s="58"/>
      <c r="G138" s="58"/>
      <c r="J138" t="s">
        <v>51</v>
      </c>
      <c r="M138" t="s">
        <v>52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0.8660254037844255</v>
      </c>
      <c r="K139" s="59">
        <v>-0.49999999999999234</v>
      </c>
      <c r="L139" s="59">
        <v>-1.7453292519943209E-7</v>
      </c>
      <c r="M139" s="74">
        <f>COS(C18)*COS(C19)*COS(C20)-SIN(C18)*SIN(C20)</f>
        <v>0.8660254037844255</v>
      </c>
      <c r="N139" s="74">
        <f>-COS(C18)*COS(C19)*SIN(C20)-SIN(C18)*COS(C20)</f>
        <v>-0.49999999999999234</v>
      </c>
      <c r="O139" s="74">
        <f>-COS(C18)*SIN(C19)</f>
        <v>-1.7453292519943209E-7</v>
      </c>
    </row>
    <row r="140" spans="1:21" x14ac:dyDescent="0.3">
      <c r="E140" s="58"/>
      <c r="F140" s="58"/>
      <c r="G140" s="58"/>
      <c r="H140" s="58"/>
      <c r="I140" s="58"/>
      <c r="J140" s="59">
        <v>0.49999999999999994</v>
      </c>
      <c r="K140" s="59">
        <v>0.86602540378443871</v>
      </c>
      <c r="L140" s="59">
        <v>-9.3677232494995152E-31</v>
      </c>
      <c r="M140" s="74">
        <f>SIN(C18)*COS(C19)*COS(C20)+COS(C18)*SIN(C20)</f>
        <v>0.49999999999999994</v>
      </c>
      <c r="N140" s="74">
        <f>-SIN(C18)*COS(C19)*SIN(C20)+COS(C18)*COS(C20)</f>
        <v>0.86602540378443871</v>
      </c>
      <c r="O140" s="74">
        <f>-SIN(C18)*SIN(C19)</f>
        <v>0</v>
      </c>
    </row>
    <row r="141" spans="1:21" x14ac:dyDescent="0.3">
      <c r="J141" s="59">
        <v>1.5114994701951741E-7</v>
      </c>
      <c r="K141" s="59">
        <v>-8.7266462599716033E-8</v>
      </c>
      <c r="L141" s="59">
        <v>0.99999999999998479</v>
      </c>
      <c r="M141" s="74">
        <f>SIN(C19)*COS(C20)</f>
        <v>1.5114994701951741E-7</v>
      </c>
      <c r="N141" s="74">
        <f>-SIN(C19)*SIN(C20)</f>
        <v>-8.7266462599716033E-8</v>
      </c>
      <c r="O141" s="74">
        <f>COS(C19)</f>
        <v>0.99999999999998479</v>
      </c>
    </row>
    <row r="143" spans="1:21" ht="15" thickBot="1" x14ac:dyDescent="0.35"/>
    <row r="144" spans="1:21" x14ac:dyDescent="0.3">
      <c r="B144" s="65">
        <f t="array" ref="B144:D146">MMULT(MMULT(N23:P25,N28:P30),N33:P35)</f>
        <v>6.4379437372894405E-17</v>
      </c>
      <c r="C144" s="66">
        <v>5.2335956242943897E-2</v>
      </c>
      <c r="D144" s="67">
        <v>0.99862953475457383</v>
      </c>
      <c r="H144" s="65">
        <f t="array" ref="H144:J146">TRANSPOSE(B144:D146)</f>
        <v>6.4379437372894405E-17</v>
      </c>
      <c r="I144" s="66">
        <v>-5.7967505780173625E-17</v>
      </c>
      <c r="J144" s="67">
        <v>1</v>
      </c>
      <c r="M144" s="65">
        <f t="array" ref="M144:O146">B70:D72</f>
        <v>2.6168129064273231E-2</v>
      </c>
      <c r="N144" s="66">
        <v>4.5324180490873299E-2</v>
      </c>
      <c r="O144" s="67">
        <v>0.99862953475455873</v>
      </c>
      <c r="S144" s="115">
        <f t="array" ref="S144:U146">MMULT(H144:J146,M144:O146)</f>
        <v>0.8660254037844255</v>
      </c>
      <c r="T144" s="116">
        <v>-0.49999999999999223</v>
      </c>
      <c r="U144" s="117">
        <v>-1.7453292513152117E-7</v>
      </c>
    </row>
    <row r="145" spans="2:21" x14ac:dyDescent="0.3">
      <c r="B145" s="68">
        <v>-5.7967505780173625E-17</v>
      </c>
      <c r="C145" s="69">
        <v>-0.99862953475457383</v>
      </c>
      <c r="D145" s="70">
        <v>5.2335956242943897E-2</v>
      </c>
      <c r="H145" s="68">
        <v>5.2335956242943897E-2</v>
      </c>
      <c r="I145" s="69">
        <v>-0.99862953475457383</v>
      </c>
      <c r="J145" s="70">
        <v>-6.1257422745431001E-17</v>
      </c>
      <c r="M145" s="68">
        <v>-0.49931475946670983</v>
      </c>
      <c r="N145" s="69">
        <v>-0.86483855063406989</v>
      </c>
      <c r="O145" s="70">
        <v>5.2335956242943141E-2</v>
      </c>
      <c r="S145" s="118">
        <v>0.49999999999999983</v>
      </c>
      <c r="T145" s="119">
        <v>0.86602540378443871</v>
      </c>
      <c r="U145" s="120">
        <v>-3.4694458828098962E-17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0.99862953475457383</v>
      </c>
      <c r="I146" s="72">
        <v>5.2335956242943897E-2</v>
      </c>
      <c r="J146" s="73">
        <v>-6.1257422745431001E-17</v>
      </c>
      <c r="M146" s="71">
        <v>0.8660254037844255</v>
      </c>
      <c r="N146" s="72">
        <v>-0.49999999999999228</v>
      </c>
      <c r="O146" s="73">
        <v>-1.745329251927786E-7</v>
      </c>
      <c r="S146" s="121">
        <v>1.5114994698122315E-7</v>
      </c>
      <c r="T146" s="122">
        <v>-8.7266462539439382E-8</v>
      </c>
      <c r="U146" s="123">
        <v>0.99999999999998479</v>
      </c>
    </row>
    <row r="150" spans="2:21" x14ac:dyDescent="0.3">
      <c r="D150" s="124">
        <f>U146</f>
        <v>0.99999999999998479</v>
      </c>
      <c r="E150" s="5"/>
      <c r="G150" s="79">
        <f>IF(ABS(D150)=1,0,ACOS(D150))</f>
        <v>1.7441361999104288E-7</v>
      </c>
      <c r="H150" s="80">
        <f>DEGREES(G150)</f>
        <v>9.9931643150853205E-6</v>
      </c>
      <c r="J150" s="79">
        <f>IF(SIN(G150)=0,ATAN2(D154,-D152),ATAN2(D154/SIN(G150),-D152/SIN(G150)))</f>
        <v>0.52359877540891342</v>
      </c>
      <c r="K150" s="126">
        <f>DEGREES(J150)</f>
        <v>29.999999989149014</v>
      </c>
      <c r="N150" s="2">
        <f>IF(SIN(G150)=0,-ATAN2(-D158,D156),-ATAN2(-D158/SIN(G150),D156/SIN(G150)))</f>
        <v>1.987846064113953E-10</v>
      </c>
      <c r="O150" s="126">
        <f>DEGREES(N150)</f>
        <v>1.1389518979542156E-8</v>
      </c>
    </row>
    <row r="151" spans="2:21" x14ac:dyDescent="0.3">
      <c r="D151" s="124"/>
      <c r="G151" s="79">
        <f>IF(ABS(D150)=1,0,-ACOS(D150))</f>
        <v>-1.7441361999104288E-7</v>
      </c>
      <c r="H151" s="80">
        <f>DEGREES(G151)</f>
        <v>-9.9931643150853205E-6</v>
      </c>
      <c r="J151" s="79">
        <f>IF(SIN(G151)=0,ATAN2(D154,-D152),ATAN2(D154/SIN(G151),-D152/SIN(G151)))</f>
        <v>-2.6179938781808798</v>
      </c>
      <c r="K151" s="126">
        <f>DEGREES(J151)</f>
        <v>-150.00000001085098</v>
      </c>
      <c r="N151" s="2">
        <f>IF(SIN(G151)=0,-ATAN2(-D158,D156),-ATAN2(-D158/SIN(G151),D156/SIN(G151)))</f>
        <v>-3.1415926533910086</v>
      </c>
      <c r="O151" s="126">
        <f>DEGREES(N151)</f>
        <v>-179.99999998861048</v>
      </c>
    </row>
    <row r="152" spans="2:21" x14ac:dyDescent="0.3">
      <c r="D152" s="125">
        <f>T146</f>
        <v>-8.7266462539439382E-8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1.5114994698122315E-7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-3.4694458828098962E-17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-1.7453292513152117E-7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4"/>
  <sheetViews>
    <sheetView tabSelected="1" workbookViewId="0">
      <selection activeCell="D14" sqref="D14"/>
    </sheetView>
  </sheetViews>
  <sheetFormatPr baseColWidth="10" defaultRowHeight="14.4" x14ac:dyDescent="0.3"/>
  <cols>
    <col min="2" max="2" width="12.44140625" bestFit="1" customWidth="1"/>
  </cols>
  <sheetData>
    <row r="1" spans="1:11" ht="18" x14ac:dyDescent="0.35">
      <c r="A1" s="25" t="s">
        <v>98</v>
      </c>
    </row>
    <row r="3" spans="1:11" ht="15.6" x14ac:dyDescent="0.35">
      <c r="A3" t="s">
        <v>85</v>
      </c>
      <c r="B3">
        <v>0.3</v>
      </c>
      <c r="C3" t="s">
        <v>87</v>
      </c>
    </row>
    <row r="4" spans="1:11" ht="15.6" x14ac:dyDescent="0.35">
      <c r="A4" t="s">
        <v>86</v>
      </c>
      <c r="B4">
        <v>0.1</v>
      </c>
      <c r="C4" t="s">
        <v>87</v>
      </c>
    </row>
    <row r="5" spans="1:11" x14ac:dyDescent="0.3">
      <c r="A5" t="s">
        <v>88</v>
      </c>
      <c r="B5">
        <v>100</v>
      </c>
      <c r="C5" t="s">
        <v>91</v>
      </c>
      <c r="D5">
        <f>$B$3*$B$18+SIGN($B$12)*0.5*$B$7*$B$18*$B$18+($B$19-$B$18)*$B$14 + $B$14*(B6-$B$19) + SIGN($B$13)*0.5*$B$7*(B6-$B$19)*(B6-$B$19)</f>
        <v>133.33333333333331</v>
      </c>
    </row>
    <row r="6" spans="1:11" ht="15.6" x14ac:dyDescent="0.35">
      <c r="A6" t="s">
        <v>90</v>
      </c>
      <c r="B6">
        <v>1000</v>
      </c>
      <c r="C6" t="s">
        <v>92</v>
      </c>
    </row>
    <row r="7" spans="1:11" ht="16.2" x14ac:dyDescent="0.3">
      <c r="A7" t="s">
        <v>71</v>
      </c>
      <c r="B7">
        <v>1E-3</v>
      </c>
      <c r="C7" t="s">
        <v>95</v>
      </c>
    </row>
    <row r="10" spans="1:11" ht="15.6" x14ac:dyDescent="0.35">
      <c r="A10" t="s">
        <v>99</v>
      </c>
      <c r="B10" s="60">
        <f>B5/B6</f>
        <v>0.1</v>
      </c>
      <c r="C10" t="s">
        <v>87</v>
      </c>
    </row>
    <row r="11" spans="1:11" x14ac:dyDescent="0.3">
      <c r="G11" t="s">
        <v>89</v>
      </c>
      <c r="H11">
        <v>0</v>
      </c>
      <c r="I11" s="4">
        <f>ABS(B12)</f>
        <v>183.33333333333334</v>
      </c>
      <c r="J11" s="3">
        <f>B6-ABS(B13)</f>
        <v>983.33333333333337</v>
      </c>
      <c r="K11">
        <f>B6</f>
        <v>1000</v>
      </c>
    </row>
    <row r="12" spans="1:11" ht="15.6" x14ac:dyDescent="0.35">
      <c r="A12" t="s">
        <v>93</v>
      </c>
      <c r="B12" s="127">
        <f>(B5- B3*B6 - 0.5*(B4-B3)*(B4-B3)/B7) / ( B7*B6 + B3 - B4)</f>
        <v>-183.33333333333334</v>
      </c>
      <c r="C12" t="s">
        <v>92</v>
      </c>
      <c r="D12">
        <f>(B5 - B3*B6 - 0.5*(B4-B3)*(B4-B3)/B7) / ( B7*B6 - B3 - B4)</f>
        <v>-366.66666666666669</v>
      </c>
      <c r="G12" t="s">
        <v>84</v>
      </c>
      <c r="H12">
        <f>B3</f>
        <v>0.3</v>
      </c>
      <c r="I12" s="3">
        <f>B14</f>
        <v>0.11666666666666664</v>
      </c>
      <c r="J12" s="3">
        <f>I12</f>
        <v>0.11666666666666664</v>
      </c>
      <c r="K12">
        <f>B4</f>
        <v>0.1</v>
      </c>
    </row>
    <row r="13" spans="1:11" ht="15.6" x14ac:dyDescent="0.35">
      <c r="A13" t="s">
        <v>94</v>
      </c>
      <c r="B13" s="3">
        <f>(B4-B3)/B7-B12</f>
        <v>-16.666666666666629</v>
      </c>
      <c r="C13" t="s">
        <v>92</v>
      </c>
      <c r="D13" s="75"/>
    </row>
    <row r="14" spans="1:11" ht="15.6" x14ac:dyDescent="0.35">
      <c r="A14" t="s">
        <v>97</v>
      </c>
      <c r="B14" s="3">
        <f>B3+B7*B12</f>
        <v>0.11666666666666664</v>
      </c>
      <c r="C14" t="s">
        <v>87</v>
      </c>
    </row>
    <row r="15" spans="1:11" x14ac:dyDescent="0.3">
      <c r="A15" t="s">
        <v>96</v>
      </c>
      <c r="B15" s="127">
        <f>(B3+B14)/2*B12+B14*(B6-B12-B13)+(B14+B4)/2*B13</f>
        <v>99.999999999999972</v>
      </c>
      <c r="C15" t="s">
        <v>91</v>
      </c>
    </row>
    <row r="16" spans="1:11" ht="15.6" x14ac:dyDescent="0.35">
      <c r="A16" t="s">
        <v>86</v>
      </c>
      <c r="B16">
        <f>B14+B13*B7</f>
        <v>0.1</v>
      </c>
      <c r="C16" t="s">
        <v>87</v>
      </c>
    </row>
    <row r="18" spans="1:70" ht="15.6" x14ac:dyDescent="0.35">
      <c r="A18" t="s">
        <v>109</v>
      </c>
      <c r="B18" s="127">
        <f>ABS(B12)</f>
        <v>183.33333333333334</v>
      </c>
      <c r="C18" t="s">
        <v>92</v>
      </c>
    </row>
    <row r="19" spans="1:70" ht="15.6" x14ac:dyDescent="0.35">
      <c r="A19" t="s">
        <v>110</v>
      </c>
      <c r="B19" s="127">
        <f>B6-ABS(B13)</f>
        <v>983.33333333333337</v>
      </c>
      <c r="C19" t="s">
        <v>92</v>
      </c>
    </row>
    <row r="20" spans="1:70" ht="15.6" x14ac:dyDescent="0.35">
      <c r="A20" s="128" t="s">
        <v>100</v>
      </c>
      <c r="B20" t="s">
        <v>101</v>
      </c>
      <c r="G20" t="s">
        <v>106</v>
      </c>
      <c r="H20">
        <v>0</v>
      </c>
      <c r="I20">
        <f>(H20+$B$6/50)</f>
        <v>20</v>
      </c>
      <c r="J20">
        <f t="shared" ref="J20:BF20" si="0">(I20+$B$6/50)</f>
        <v>40</v>
      </c>
      <c r="K20">
        <f t="shared" si="0"/>
        <v>60</v>
      </c>
      <c r="L20">
        <f t="shared" si="0"/>
        <v>80</v>
      </c>
      <c r="M20">
        <f t="shared" si="0"/>
        <v>100</v>
      </c>
      <c r="N20">
        <f t="shared" si="0"/>
        <v>120</v>
      </c>
      <c r="O20">
        <f t="shared" si="0"/>
        <v>140</v>
      </c>
      <c r="P20">
        <f t="shared" si="0"/>
        <v>160</v>
      </c>
      <c r="Q20">
        <f t="shared" si="0"/>
        <v>180</v>
      </c>
      <c r="R20">
        <f t="shared" si="0"/>
        <v>200</v>
      </c>
      <c r="S20">
        <f t="shared" si="0"/>
        <v>220</v>
      </c>
      <c r="T20">
        <f t="shared" si="0"/>
        <v>240</v>
      </c>
      <c r="U20">
        <f t="shared" si="0"/>
        <v>260</v>
      </c>
      <c r="V20">
        <f t="shared" si="0"/>
        <v>280</v>
      </c>
      <c r="W20">
        <f t="shared" si="0"/>
        <v>300</v>
      </c>
      <c r="X20">
        <f t="shared" si="0"/>
        <v>320</v>
      </c>
      <c r="Y20">
        <f t="shared" si="0"/>
        <v>340</v>
      </c>
      <c r="Z20">
        <f t="shared" si="0"/>
        <v>360</v>
      </c>
      <c r="AA20">
        <f t="shared" si="0"/>
        <v>380</v>
      </c>
      <c r="AB20">
        <f t="shared" si="0"/>
        <v>400</v>
      </c>
      <c r="AC20">
        <f t="shared" si="0"/>
        <v>420</v>
      </c>
      <c r="AD20">
        <f t="shared" si="0"/>
        <v>440</v>
      </c>
      <c r="AE20">
        <f t="shared" si="0"/>
        <v>460</v>
      </c>
      <c r="AF20">
        <f t="shared" si="0"/>
        <v>480</v>
      </c>
      <c r="AG20">
        <f t="shared" si="0"/>
        <v>500</v>
      </c>
      <c r="AH20">
        <f t="shared" si="0"/>
        <v>520</v>
      </c>
      <c r="AI20">
        <f t="shared" si="0"/>
        <v>540</v>
      </c>
      <c r="AJ20">
        <f t="shared" si="0"/>
        <v>560</v>
      </c>
      <c r="AK20">
        <f t="shared" si="0"/>
        <v>580</v>
      </c>
      <c r="AL20">
        <f t="shared" si="0"/>
        <v>600</v>
      </c>
      <c r="AM20">
        <f t="shared" si="0"/>
        <v>620</v>
      </c>
      <c r="AN20">
        <f t="shared" si="0"/>
        <v>640</v>
      </c>
      <c r="AO20">
        <f t="shared" si="0"/>
        <v>660</v>
      </c>
      <c r="AP20">
        <f t="shared" si="0"/>
        <v>680</v>
      </c>
      <c r="AQ20">
        <f t="shared" si="0"/>
        <v>700</v>
      </c>
      <c r="AR20">
        <f t="shared" si="0"/>
        <v>720</v>
      </c>
      <c r="AS20">
        <f t="shared" si="0"/>
        <v>740</v>
      </c>
      <c r="AT20">
        <f t="shared" si="0"/>
        <v>760</v>
      </c>
      <c r="AU20">
        <f t="shared" si="0"/>
        <v>780</v>
      </c>
      <c r="AV20">
        <f t="shared" si="0"/>
        <v>800</v>
      </c>
      <c r="AW20">
        <f t="shared" si="0"/>
        <v>820</v>
      </c>
      <c r="AX20">
        <f t="shared" si="0"/>
        <v>840</v>
      </c>
      <c r="AY20">
        <f t="shared" si="0"/>
        <v>860</v>
      </c>
      <c r="AZ20">
        <f t="shared" si="0"/>
        <v>880</v>
      </c>
      <c r="BA20">
        <f t="shared" si="0"/>
        <v>900</v>
      </c>
      <c r="BB20">
        <f t="shared" si="0"/>
        <v>920</v>
      </c>
      <c r="BC20">
        <f t="shared" si="0"/>
        <v>940</v>
      </c>
      <c r="BD20">
        <f t="shared" si="0"/>
        <v>960</v>
      </c>
      <c r="BE20">
        <f t="shared" si="0"/>
        <v>980</v>
      </c>
      <c r="BF20">
        <f t="shared" si="0"/>
        <v>1000</v>
      </c>
    </row>
    <row r="21" spans="1:70" ht="15.6" x14ac:dyDescent="0.35">
      <c r="A21" s="128" t="s">
        <v>102</v>
      </c>
      <c r="B21" s="129" t="s">
        <v>103</v>
      </c>
      <c r="G21" t="s">
        <v>107</v>
      </c>
      <c r="H21" s="127">
        <f t="shared" ref="H21:AM21" si="1">IF(H20&lt;ABS($B$12),$B$3+SIGN($B$12)*H$20*$B$7,IF(H20&lt;$B$6-ABS($B$13),$B$14,$B$14+SIGN($B$13)*(H20-($B$6-ABS($B$13)))*$B$7))</f>
        <v>0.3</v>
      </c>
      <c r="I21" s="127">
        <f t="shared" si="1"/>
        <v>0.27999999999999997</v>
      </c>
      <c r="J21" s="127">
        <f t="shared" si="1"/>
        <v>0.26</v>
      </c>
      <c r="K21" s="127">
        <f t="shared" si="1"/>
        <v>0.24</v>
      </c>
      <c r="L21" s="127">
        <f t="shared" si="1"/>
        <v>0.21999999999999997</v>
      </c>
      <c r="M21" s="127">
        <f t="shared" si="1"/>
        <v>0.19999999999999998</v>
      </c>
      <c r="N21" s="127">
        <f t="shared" si="1"/>
        <v>0.18</v>
      </c>
      <c r="O21" s="127">
        <f t="shared" si="1"/>
        <v>0.15999999999999998</v>
      </c>
      <c r="P21" s="127">
        <f t="shared" si="1"/>
        <v>0.13999999999999999</v>
      </c>
      <c r="Q21" s="127">
        <f t="shared" si="1"/>
        <v>0.12</v>
      </c>
      <c r="R21" s="127">
        <f t="shared" si="1"/>
        <v>0.11666666666666664</v>
      </c>
      <c r="S21" s="127">
        <f t="shared" si="1"/>
        <v>0.11666666666666664</v>
      </c>
      <c r="T21" s="127">
        <f t="shared" si="1"/>
        <v>0.11666666666666664</v>
      </c>
      <c r="U21" s="127">
        <f t="shared" si="1"/>
        <v>0.11666666666666664</v>
      </c>
      <c r="V21" s="127">
        <f t="shared" si="1"/>
        <v>0.11666666666666664</v>
      </c>
      <c r="W21" s="127">
        <f t="shared" si="1"/>
        <v>0.11666666666666664</v>
      </c>
      <c r="X21" s="127">
        <f t="shared" si="1"/>
        <v>0.11666666666666664</v>
      </c>
      <c r="Y21" s="127">
        <f t="shared" si="1"/>
        <v>0.11666666666666664</v>
      </c>
      <c r="Z21" s="127">
        <f t="shared" si="1"/>
        <v>0.11666666666666664</v>
      </c>
      <c r="AA21" s="127">
        <f t="shared" si="1"/>
        <v>0.11666666666666664</v>
      </c>
      <c r="AB21" s="127">
        <f t="shared" si="1"/>
        <v>0.11666666666666664</v>
      </c>
      <c r="AC21" s="127">
        <f t="shared" si="1"/>
        <v>0.11666666666666664</v>
      </c>
      <c r="AD21" s="127">
        <f t="shared" si="1"/>
        <v>0.11666666666666664</v>
      </c>
      <c r="AE21" s="127">
        <f t="shared" si="1"/>
        <v>0.11666666666666664</v>
      </c>
      <c r="AF21" s="127">
        <f t="shared" si="1"/>
        <v>0.11666666666666664</v>
      </c>
      <c r="AG21" s="127">
        <f t="shared" si="1"/>
        <v>0.11666666666666664</v>
      </c>
      <c r="AH21" s="127">
        <f t="shared" si="1"/>
        <v>0.11666666666666664</v>
      </c>
      <c r="AI21" s="127">
        <f t="shared" si="1"/>
        <v>0.11666666666666664</v>
      </c>
      <c r="AJ21" s="127">
        <f t="shared" si="1"/>
        <v>0.11666666666666664</v>
      </c>
      <c r="AK21" s="127">
        <f t="shared" si="1"/>
        <v>0.11666666666666664</v>
      </c>
      <c r="AL21" s="127">
        <f t="shared" si="1"/>
        <v>0.11666666666666664</v>
      </c>
      <c r="AM21" s="127">
        <f t="shared" si="1"/>
        <v>0.11666666666666664</v>
      </c>
      <c r="AN21" s="127">
        <f t="shared" ref="AN21:BS21" si="2">IF(AN20&lt;ABS($B$12),$B$3+SIGN($B$12)*AN$20*$B$7,IF(AN20&lt;$B$6-ABS($B$13),$B$14,$B$14+SIGN($B$13)*(AN20-($B$6-ABS($B$13)))*$B$7))</f>
        <v>0.11666666666666664</v>
      </c>
      <c r="AO21" s="127">
        <f t="shared" si="2"/>
        <v>0.11666666666666664</v>
      </c>
      <c r="AP21" s="127">
        <f t="shared" si="2"/>
        <v>0.11666666666666664</v>
      </c>
      <c r="AQ21" s="127">
        <f t="shared" si="2"/>
        <v>0.11666666666666664</v>
      </c>
      <c r="AR21" s="127">
        <f t="shared" si="2"/>
        <v>0.11666666666666664</v>
      </c>
      <c r="AS21" s="127">
        <f t="shared" si="2"/>
        <v>0.11666666666666664</v>
      </c>
      <c r="AT21" s="127">
        <f t="shared" si="2"/>
        <v>0.11666666666666664</v>
      </c>
      <c r="AU21" s="127">
        <f t="shared" si="2"/>
        <v>0.11666666666666664</v>
      </c>
      <c r="AV21" s="127">
        <f t="shared" si="2"/>
        <v>0.11666666666666664</v>
      </c>
      <c r="AW21" s="127">
        <f t="shared" si="2"/>
        <v>0.11666666666666664</v>
      </c>
      <c r="AX21" s="127">
        <f t="shared" si="2"/>
        <v>0.11666666666666664</v>
      </c>
      <c r="AY21" s="127">
        <f t="shared" si="2"/>
        <v>0.11666666666666664</v>
      </c>
      <c r="AZ21" s="127">
        <f t="shared" si="2"/>
        <v>0.11666666666666664</v>
      </c>
      <c r="BA21" s="127">
        <f t="shared" si="2"/>
        <v>0.11666666666666664</v>
      </c>
      <c r="BB21" s="127">
        <f t="shared" si="2"/>
        <v>0.11666666666666664</v>
      </c>
      <c r="BC21" s="127">
        <f t="shared" si="2"/>
        <v>0.11666666666666664</v>
      </c>
      <c r="BD21" s="127">
        <f t="shared" si="2"/>
        <v>0.11666666666666664</v>
      </c>
      <c r="BE21" s="127">
        <f t="shared" si="2"/>
        <v>0.11666666666666664</v>
      </c>
      <c r="BF21" s="127">
        <f t="shared" si="2"/>
        <v>0.1</v>
      </c>
      <c r="BG21" s="127"/>
      <c r="BH21" s="127"/>
      <c r="BI21" s="127"/>
      <c r="BJ21" s="127"/>
      <c r="BK21" s="127"/>
      <c r="BL21" s="127"/>
      <c r="BM21" s="127"/>
      <c r="BN21" s="127"/>
      <c r="BO21" s="127"/>
      <c r="BP21" s="127"/>
      <c r="BQ21" s="127"/>
      <c r="BR21" s="127"/>
    </row>
    <row r="22" spans="1:70" ht="15.6" x14ac:dyDescent="0.35">
      <c r="A22" s="128" t="s">
        <v>104</v>
      </c>
      <c r="B22" s="129" t="s">
        <v>105</v>
      </c>
      <c r="G22" t="s">
        <v>108</v>
      </c>
      <c r="H22">
        <f>IF(H20&lt;$B$18,
$B$3*H20+SIGN($B$12)*0.5*$B$7*H20*H20,
IF(H20&lt;$B$19,
$B$3*$B$18+SIGN($B$12)*0.5*$B$7*$B$18*$B$18+(H20-$B$18)*$B$14,
$B$3*$B$18+SIGN($B$12)*0.5*$B$7*$B$18*$B$18+($B$19-$B$18)*$B$14 + $B$14*(H20-$B$19) + SIGN($B$13)*0.5*$B$7*(H20-$B$19)*(H20-$B$19)))</f>
        <v>0</v>
      </c>
      <c r="I22">
        <f t="shared" ref="I22:BF22" si="3">IF(I20&lt;$B$18,
$B$3*I20+SIGN($B$12)*0.5*$B$7*I20*I20,
IF(I20&lt;$B$19,
$B$3*$B$18+SIGN($B$12)*0.5*$B$7*$B$18*$B$18+(I20-$B$18)*$B$14,
$B$3*$B$18+SIGN($B$12)*0.5*$B$7*$B$18*$B$18+($B$19-$B$18)*$B$14 + $B$14*(I20-$B$19) + SIGN($B$13)*0.5*$B$7*(I20-$B$19)*(I20-$B$19)))</f>
        <v>5.8</v>
      </c>
      <c r="J22">
        <f t="shared" si="3"/>
        <v>11.2</v>
      </c>
      <c r="K22">
        <f t="shared" si="3"/>
        <v>16.2</v>
      </c>
      <c r="L22">
        <f t="shared" si="3"/>
        <v>20.8</v>
      </c>
      <c r="M22">
        <f t="shared" si="3"/>
        <v>25</v>
      </c>
      <c r="N22">
        <f t="shared" si="3"/>
        <v>28.8</v>
      </c>
      <c r="O22">
        <f t="shared" si="3"/>
        <v>32.200000000000003</v>
      </c>
      <c r="P22">
        <f t="shared" si="3"/>
        <v>35.200000000000003</v>
      </c>
      <c r="Q22">
        <f t="shared" si="3"/>
        <v>37.799999999999997</v>
      </c>
      <c r="R22">
        <f t="shared" si="3"/>
        <v>40.138888888888886</v>
      </c>
      <c r="S22">
        <f t="shared" si="3"/>
        <v>42.472222222222221</v>
      </c>
      <c r="T22">
        <f t="shared" si="3"/>
        <v>44.80555555555555</v>
      </c>
      <c r="U22">
        <f t="shared" si="3"/>
        <v>47.138888888888886</v>
      </c>
      <c r="V22">
        <f t="shared" si="3"/>
        <v>49.472222222222214</v>
      </c>
      <c r="W22">
        <f t="shared" si="3"/>
        <v>51.80555555555555</v>
      </c>
      <c r="X22">
        <f t="shared" si="3"/>
        <v>54.138888888888886</v>
      </c>
      <c r="Y22">
        <f t="shared" si="3"/>
        <v>56.472222222222214</v>
      </c>
      <c r="Z22">
        <f t="shared" si="3"/>
        <v>58.80555555555555</v>
      </c>
      <c r="AA22">
        <f t="shared" si="3"/>
        <v>61.138888888888886</v>
      </c>
      <c r="AB22">
        <f t="shared" si="3"/>
        <v>63.472222222222214</v>
      </c>
      <c r="AC22">
        <f t="shared" si="3"/>
        <v>65.805555555555543</v>
      </c>
      <c r="AD22">
        <f t="shared" si="3"/>
        <v>68.138888888888872</v>
      </c>
      <c r="AE22">
        <f t="shared" si="3"/>
        <v>70.4722222222222</v>
      </c>
      <c r="AF22">
        <f t="shared" si="3"/>
        <v>72.805555555555543</v>
      </c>
      <c r="AG22">
        <f t="shared" si="3"/>
        <v>75.138888888888872</v>
      </c>
      <c r="AH22">
        <f t="shared" si="3"/>
        <v>77.4722222222222</v>
      </c>
      <c r="AI22">
        <f t="shared" si="3"/>
        <v>79.805555555555543</v>
      </c>
      <c r="AJ22">
        <f t="shared" si="3"/>
        <v>82.138888888888872</v>
      </c>
      <c r="AK22">
        <f t="shared" si="3"/>
        <v>84.4722222222222</v>
      </c>
      <c r="AL22">
        <f t="shared" si="3"/>
        <v>86.805555555555543</v>
      </c>
      <c r="AM22">
        <f t="shared" si="3"/>
        <v>89.138888888888872</v>
      </c>
      <c r="AN22">
        <f t="shared" si="3"/>
        <v>91.4722222222222</v>
      </c>
      <c r="AO22">
        <f t="shared" si="3"/>
        <v>93.805555555555543</v>
      </c>
      <c r="AP22">
        <f t="shared" si="3"/>
        <v>96.138888888888872</v>
      </c>
      <c r="AQ22">
        <f t="shared" si="3"/>
        <v>98.4722222222222</v>
      </c>
      <c r="AR22">
        <f t="shared" si="3"/>
        <v>100.80555555555554</v>
      </c>
      <c r="AS22">
        <f t="shared" si="3"/>
        <v>103.13888888888887</v>
      </c>
      <c r="AT22">
        <f t="shared" si="3"/>
        <v>105.4722222222222</v>
      </c>
      <c r="AU22">
        <f t="shared" si="3"/>
        <v>107.80555555555553</v>
      </c>
      <c r="AV22">
        <f t="shared" si="3"/>
        <v>110.13888888888887</v>
      </c>
      <c r="AW22">
        <f t="shared" si="3"/>
        <v>112.4722222222222</v>
      </c>
      <c r="AX22">
        <f t="shared" si="3"/>
        <v>114.80555555555553</v>
      </c>
      <c r="AY22">
        <f t="shared" si="3"/>
        <v>117.13888888888887</v>
      </c>
      <c r="AZ22">
        <f t="shared" si="3"/>
        <v>119.4722222222222</v>
      </c>
      <c r="BA22">
        <f t="shared" si="3"/>
        <v>121.80555555555553</v>
      </c>
      <c r="BB22">
        <f t="shared" si="3"/>
        <v>124.13888888888886</v>
      </c>
      <c r="BC22">
        <f t="shared" si="3"/>
        <v>126.4722222222222</v>
      </c>
      <c r="BD22">
        <f t="shared" si="3"/>
        <v>128.80555555555554</v>
      </c>
      <c r="BE22">
        <f t="shared" si="3"/>
        <v>131.13888888888886</v>
      </c>
      <c r="BF22">
        <f t="shared" si="3"/>
        <v>133.33333333333331</v>
      </c>
    </row>
    <row r="23" spans="1:70" x14ac:dyDescent="0.3">
      <c r="B23" s="58"/>
      <c r="H23">
        <f>$B$3*$B$18+0.5*$B$7*$B$18*$B$18+(H20-ABS($B$12))*$B$14</f>
        <v>50.416666666666671</v>
      </c>
      <c r="I23">
        <f t="shared" ref="I23:BF23" si="4">$B$3*ABS($B$12)+0.5*$B$7*ABS($B$12)*ABS($B$12)+(I20-ABS($B$12))*$B$14</f>
        <v>52.75</v>
      </c>
      <c r="J23">
        <f t="shared" si="4"/>
        <v>55.083333333333343</v>
      </c>
      <c r="K23">
        <f t="shared" si="4"/>
        <v>57.416666666666671</v>
      </c>
      <c r="L23">
        <f t="shared" si="4"/>
        <v>59.75</v>
      </c>
      <c r="M23">
        <f t="shared" si="4"/>
        <v>62.083333333333336</v>
      </c>
      <c r="N23">
        <f t="shared" si="4"/>
        <v>64.416666666666671</v>
      </c>
      <c r="O23">
        <f t="shared" si="4"/>
        <v>66.75</v>
      </c>
      <c r="P23">
        <f t="shared" si="4"/>
        <v>69.083333333333329</v>
      </c>
      <c r="Q23">
        <f t="shared" si="4"/>
        <v>71.416666666666671</v>
      </c>
      <c r="R23">
        <f t="shared" si="4"/>
        <v>73.75</v>
      </c>
      <c r="S23">
        <f t="shared" si="4"/>
        <v>76.083333333333329</v>
      </c>
      <c r="T23">
        <f t="shared" si="4"/>
        <v>78.416666666666671</v>
      </c>
      <c r="U23">
        <f t="shared" si="4"/>
        <v>80.75</v>
      </c>
      <c r="V23">
        <f t="shared" si="4"/>
        <v>83.083333333333329</v>
      </c>
      <c r="W23">
        <f t="shared" si="4"/>
        <v>85.416666666666657</v>
      </c>
      <c r="X23">
        <f t="shared" si="4"/>
        <v>87.75</v>
      </c>
      <c r="Y23">
        <f t="shared" si="4"/>
        <v>90.083333333333329</v>
      </c>
      <c r="Z23">
        <f t="shared" si="4"/>
        <v>92.416666666666657</v>
      </c>
      <c r="AA23">
        <f t="shared" si="4"/>
        <v>94.75</v>
      </c>
      <c r="AB23">
        <f t="shared" si="4"/>
        <v>97.083333333333329</v>
      </c>
      <c r="AC23">
        <f t="shared" si="4"/>
        <v>99.416666666666657</v>
      </c>
      <c r="AD23">
        <f t="shared" si="4"/>
        <v>101.74999999999999</v>
      </c>
      <c r="AE23">
        <f t="shared" si="4"/>
        <v>104.08333333333331</v>
      </c>
      <c r="AF23">
        <f t="shared" si="4"/>
        <v>106.41666666666666</v>
      </c>
      <c r="AG23">
        <f t="shared" si="4"/>
        <v>108.74999999999999</v>
      </c>
      <c r="AH23">
        <f t="shared" si="4"/>
        <v>111.08333333333331</v>
      </c>
      <c r="AI23">
        <f t="shared" si="4"/>
        <v>113.41666666666666</v>
      </c>
      <c r="AJ23">
        <f t="shared" si="4"/>
        <v>115.74999999999999</v>
      </c>
      <c r="AK23">
        <f t="shared" si="4"/>
        <v>118.08333333333331</v>
      </c>
      <c r="AL23">
        <f t="shared" si="4"/>
        <v>120.41666666666666</v>
      </c>
      <c r="AM23">
        <f t="shared" si="4"/>
        <v>122.74999999999999</v>
      </c>
      <c r="AN23">
        <f t="shared" si="4"/>
        <v>125.08333333333331</v>
      </c>
      <c r="AO23">
        <f t="shared" si="4"/>
        <v>127.41666666666666</v>
      </c>
      <c r="AP23">
        <f t="shared" si="4"/>
        <v>129.75</v>
      </c>
      <c r="AQ23">
        <f t="shared" si="4"/>
        <v>132.08333333333331</v>
      </c>
      <c r="AR23">
        <f t="shared" si="4"/>
        <v>134.41666666666666</v>
      </c>
      <c r="AS23">
        <f t="shared" si="4"/>
        <v>136.75</v>
      </c>
      <c r="AT23">
        <f t="shared" si="4"/>
        <v>139.08333333333331</v>
      </c>
      <c r="AU23">
        <f t="shared" si="4"/>
        <v>141.41666666666663</v>
      </c>
      <c r="AV23">
        <f t="shared" si="4"/>
        <v>143.75</v>
      </c>
      <c r="AW23">
        <f t="shared" si="4"/>
        <v>146.08333333333331</v>
      </c>
      <c r="AX23">
        <f t="shared" si="4"/>
        <v>148.41666666666663</v>
      </c>
      <c r="AY23">
        <f t="shared" si="4"/>
        <v>150.75</v>
      </c>
      <c r="AZ23">
        <f t="shared" si="4"/>
        <v>153.08333333333331</v>
      </c>
      <c r="BA23">
        <f t="shared" si="4"/>
        <v>155.41666666666663</v>
      </c>
      <c r="BB23">
        <f t="shared" si="4"/>
        <v>157.74999999999997</v>
      </c>
      <c r="BC23">
        <f t="shared" si="4"/>
        <v>160.08333333333331</v>
      </c>
      <c r="BD23">
        <f t="shared" si="4"/>
        <v>162.41666666666663</v>
      </c>
      <c r="BE23">
        <f t="shared" si="4"/>
        <v>164.74999999999997</v>
      </c>
      <c r="BF23">
        <f t="shared" si="4"/>
        <v>167.08333333333331</v>
      </c>
    </row>
    <row r="24" spans="1:70" x14ac:dyDescent="0.3">
      <c r="B24" s="58"/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Kinematik</vt:lpstr>
      <vt:lpstr>Theory Sources</vt:lpstr>
      <vt:lpstr>Trajectory Speed 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2016-09-10T07:18:20Z</dcterms:modified>
</cp:coreProperties>
</file>