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1"/>
  </bookViews>
  <sheets>
    <sheet name="Kräfte" sheetId="3" r:id="rId1"/>
    <sheet name="Schaltschrank" sheetId="12" r:id="rId2"/>
    <sheet name="Zahnriemenscheiben" sheetId="5" r:id="rId3"/>
    <sheet name="DIN" sheetId="8" r:id="rId4"/>
    <sheet name="Rotary Encoder" sheetId="6" r:id="rId5"/>
    <sheet name="Herkulex Servo" sheetId="10" r:id="rId6"/>
    <sheet name="PiBot Stepper Driver" sheetId="11" r:id="rId7"/>
    <sheet name="BOM" sheetId="7" r:id="rId8"/>
  </sheets>
  <definedNames>
    <definedName name="_xlnm.Print_Area" localSheetId="7">BOM!$A$141:$K$271</definedName>
    <definedName name="Kaufstatus">BOM!$L:$L</definedName>
    <definedName name="ShoppingStatus">BOM!$L:$L</definedName>
  </definedNames>
  <calcPr calcId="152511"/>
</workbook>
</file>

<file path=xl/calcChain.xml><?xml version="1.0" encoding="utf-8"?>
<calcChain xmlns="http://schemas.openxmlformats.org/spreadsheetml/2006/main">
  <c r="C79" i="3" l="1"/>
  <c r="C57" i="3"/>
  <c r="C15" i="3" l="1"/>
  <c r="C13" i="3"/>
  <c r="C10" i="3"/>
  <c r="C134" i="7" l="1"/>
  <c r="C109" i="7"/>
  <c r="C107" i="7"/>
  <c r="C9" i="3" l="1"/>
  <c r="C8" i="3"/>
  <c r="C7" i="3"/>
  <c r="C24" i="7"/>
  <c r="G40" i="5" l="1"/>
  <c r="G37" i="5"/>
  <c r="H37" i="5" l="1"/>
  <c r="C19" i="7" l="1"/>
  <c r="C51" i="3"/>
  <c r="C49" i="3"/>
  <c r="C46" i="3"/>
  <c r="C53" i="7"/>
  <c r="L19" i="7"/>
  <c r="C34" i="7" l="1"/>
  <c r="C29" i="7"/>
  <c r="C16" i="7"/>
  <c r="C8" i="7"/>
  <c r="C9" i="7"/>
  <c r="C11" i="7"/>
  <c r="C10" i="7"/>
  <c r="C49" i="7"/>
  <c r="S74" i="3"/>
  <c r="C25" i="7"/>
  <c r="L34" i="7"/>
  <c r="L10" i="7"/>
  <c r="L8" i="7"/>
  <c r="L29" i="7"/>
  <c r="L9" i="7"/>
  <c r="C108" i="7" l="1"/>
  <c r="C117" i="7" l="1"/>
  <c r="C119" i="7"/>
  <c r="C85" i="7" l="1"/>
  <c r="C83" i="7"/>
  <c r="C82" i="7"/>
  <c r="C25" i="3" l="1"/>
  <c r="C23" i="3"/>
  <c r="C21" i="3"/>
  <c r="C19" i="3"/>
  <c r="C16" i="3"/>
  <c r="C51" i="7"/>
  <c r="C35" i="3" l="1"/>
  <c r="C33" i="3"/>
  <c r="C31" i="3"/>
  <c r="C29" i="3"/>
  <c r="C26" i="3"/>
  <c r="C45" i="3"/>
  <c r="C43" i="3"/>
  <c r="C41" i="3"/>
  <c r="C39" i="3"/>
  <c r="C36" i="3"/>
  <c r="C106" i="7" l="1"/>
  <c r="C137" i="7" l="1"/>
  <c r="C133" i="7"/>
  <c r="B131" i="7"/>
  <c r="C130" i="7"/>
  <c r="L130" i="7"/>
  <c r="C136" i="7" l="1"/>
  <c r="C94" i="7"/>
  <c r="C66" i="7"/>
  <c r="L94" i="7"/>
  <c r="L136" i="7"/>
  <c r="C84" i="7" l="1"/>
  <c r="C86" i="7"/>
  <c r="L66" i="7"/>
  <c r="S70" i="3" l="1"/>
  <c r="S71" i="3"/>
  <c r="S72" i="3"/>
  <c r="S73" i="3"/>
  <c r="C7" i="7" l="1"/>
  <c r="C4" i="7"/>
  <c r="L7" i="7"/>
  <c r="C12" i="7" l="1"/>
  <c r="C5" i="7"/>
  <c r="C6" i="7"/>
  <c r="L12" i="7"/>
  <c r="L5" i="7"/>
  <c r="L6" i="7"/>
  <c r="C23" i="7" l="1"/>
  <c r="L53" i="7"/>
  <c r="L51" i="7"/>
  <c r="L85" i="7"/>
  <c r="L86" i="7"/>
  <c r="L4" i="7"/>
  <c r="L82" i="7"/>
  <c r="C79" i="7" l="1"/>
  <c r="C78" i="7"/>
  <c r="L24" i="7"/>
  <c r="L23" i="7"/>
  <c r="C36" i="7" l="1"/>
  <c r="C35" i="7"/>
  <c r="L78" i="7"/>
  <c r="L35" i="7"/>
  <c r="L36" i="7"/>
  <c r="L79" i="7"/>
  <c r="C52" i="7" l="1"/>
  <c r="L109" i="7"/>
  <c r="L133" i="7"/>
  <c r="C33" i="7" l="1"/>
  <c r="C30" i="7"/>
  <c r="L84" i="7"/>
  <c r="K250" i="7" l="1"/>
  <c r="K262" i="7"/>
  <c r="L52" i="7"/>
  <c r="L33" i="7"/>
  <c r="L30" i="7"/>
  <c r="C68" i="7" l="1"/>
  <c r="K254" i="7"/>
  <c r="K266" i="7"/>
  <c r="K265" i="7"/>
  <c r="L68" i="7"/>
  <c r="K264" i="7" l="1"/>
  <c r="K263" i="7"/>
  <c r="K257" i="7"/>
  <c r="B42" i="7"/>
  <c r="C77" i="7"/>
  <c r="C76" i="7"/>
  <c r="C28" i="7"/>
  <c r="C131" i="7"/>
  <c r="C95" i="7"/>
  <c r="C67" i="7"/>
  <c r="C26" i="7"/>
  <c r="C98" i="7"/>
  <c r="K261" i="7"/>
  <c r="C17" i="7"/>
  <c r="K256"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98" i="7"/>
  <c r="L106" i="7"/>
  <c r="L115" i="7"/>
  <c r="L27" i="7"/>
  <c r="L126" i="7"/>
  <c r="L125" i="7"/>
  <c r="L112" i="7"/>
  <c r="L67" i="7"/>
  <c r="L128" i="7"/>
  <c r="L48" i="7"/>
  <c r="L46" i="7"/>
  <c r="L121" i="7"/>
  <c r="L132" i="7"/>
  <c r="L16" i="7"/>
  <c r="L63" i="7"/>
  <c r="L119" i="7"/>
  <c r="L76" i="7"/>
  <c r="L32" i="7"/>
  <c r="L127" i="7"/>
  <c r="L108" i="7"/>
  <c r="L80" i="7"/>
  <c r="L17" i="7"/>
  <c r="L123" i="7"/>
  <c r="L95" i="7"/>
  <c r="L13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4" i="7"/>
  <c r="L134" i="7"/>
  <c r="L131" i="7"/>
  <c r="L113" i="7"/>
  <c r="L122" i="7"/>
  <c r="L114" i="7"/>
  <c r="L77" i="7"/>
  <c r="I243" i="7" l="1"/>
  <c r="B243" i="7" s="1"/>
  <c r="K243" i="7" s="1"/>
  <c r="I208" i="7"/>
  <c r="B208" i="7" s="1"/>
  <c r="I247" i="7"/>
  <c r="B247" i="7" s="1"/>
  <c r="I213" i="7"/>
  <c r="B213" i="7" s="1"/>
  <c r="I215" i="7"/>
  <c r="B215" i="7" s="1"/>
  <c r="I186" i="7"/>
  <c r="B186" i="7" s="1"/>
  <c r="I214" i="7"/>
  <c r="B214" i="7" s="1"/>
  <c r="I233" i="7"/>
  <c r="B233" i="7" s="1"/>
  <c r="K233" i="7" s="1"/>
  <c r="I176" i="7"/>
  <c r="B176" i="7" s="1"/>
  <c r="I148" i="7"/>
  <c r="B148" i="7" s="1"/>
  <c r="K148" i="7" s="1"/>
  <c r="I210" i="7"/>
  <c r="B210" i="7" s="1"/>
  <c r="K210" i="7" s="1"/>
  <c r="I222" i="7"/>
  <c r="B222" i="7" s="1"/>
  <c r="K222" i="7" s="1"/>
  <c r="I221" i="7"/>
  <c r="B221" i="7" s="1"/>
  <c r="I232" i="7"/>
  <c r="B232" i="7" s="1"/>
  <c r="I231" i="7"/>
  <c r="B231" i="7" s="1"/>
  <c r="I235" i="7"/>
  <c r="B235" i="7" s="1"/>
  <c r="I236" i="7"/>
  <c r="B236" i="7" s="1"/>
  <c r="I187" i="7"/>
  <c r="B187" i="7" s="1"/>
  <c r="I209" i="7"/>
  <c r="B209" i="7" s="1"/>
  <c r="I197" i="7"/>
  <c r="B197" i="7" s="1"/>
  <c r="I211" i="7"/>
  <c r="B211" i="7" s="1"/>
  <c r="I198" i="7"/>
  <c r="B198" i="7" s="1"/>
  <c r="I196" i="7"/>
  <c r="B196" i="7" s="1"/>
  <c r="L110" i="7"/>
  <c r="L26" i="7"/>
  <c r="J243" i="7" l="1"/>
  <c r="K208" i="7"/>
  <c r="J208" i="7"/>
  <c r="K186" i="7"/>
  <c r="J186" i="7"/>
  <c r="J215" i="7"/>
  <c r="K215" i="7"/>
  <c r="K213" i="7"/>
  <c r="J213" i="7"/>
  <c r="K214" i="7"/>
  <c r="J214" i="7"/>
  <c r="K247" i="7"/>
  <c r="J247" i="7"/>
  <c r="J233" i="7"/>
  <c r="K176" i="7"/>
  <c r="J176" i="7"/>
  <c r="J148" i="7"/>
  <c r="J210" i="7"/>
  <c r="J222" i="7"/>
  <c r="K232" i="7"/>
  <c r="J232" i="7"/>
  <c r="K221" i="7"/>
  <c r="J221" i="7"/>
  <c r="K236" i="7"/>
  <c r="J236" i="7"/>
  <c r="K235" i="7"/>
  <c r="J235" i="7"/>
  <c r="K231" i="7"/>
  <c r="J231" i="7"/>
  <c r="K209" i="7"/>
  <c r="J209" i="7"/>
  <c r="K187" i="7"/>
  <c r="J187" i="7"/>
  <c r="K196" i="7"/>
  <c r="J196" i="7"/>
  <c r="K198" i="7"/>
  <c r="J198" i="7"/>
  <c r="K211" i="7"/>
  <c r="J211" i="7"/>
  <c r="K197" i="7"/>
  <c r="J197" i="7"/>
  <c r="L91" i="7"/>
  <c r="L87" i="7"/>
  <c r="L62" i="7"/>
  <c r="L61" i="7"/>
  <c r="L28" i="7"/>
  <c r="L25" i="7"/>
  <c r="I181" i="7" l="1"/>
  <c r="B181" i="7" s="1"/>
  <c r="I180" i="7"/>
  <c r="B180" i="7" s="1"/>
  <c r="I207" i="7"/>
  <c r="B207" i="7" s="1"/>
  <c r="L90" i="7"/>
  <c r="L100" i="7"/>
  <c r="L15" i="7"/>
  <c r="L72" i="7"/>
  <c r="L57" i="7"/>
  <c r="L93" i="7"/>
  <c r="L69" i="7"/>
  <c r="L58" i="7"/>
  <c r="L107" i="7"/>
  <c r="L104" i="7"/>
  <c r="L73" i="7"/>
  <c r="L75" i="7"/>
  <c r="L39" i="7"/>
  <c r="L43" i="7"/>
  <c r="L74" i="7"/>
  <c r="L103" i="7"/>
  <c r="L101" i="7"/>
  <c r="L102" i="7"/>
  <c r="L99" i="7"/>
  <c r="L55" i="7"/>
  <c r="L18" i="7"/>
  <c r="L20" i="7"/>
  <c r="L83" i="7"/>
  <c r="L81" i="7"/>
  <c r="L41" i="7"/>
  <c r="L96" i="7"/>
  <c r="L92" i="7"/>
  <c r="L50" i="7"/>
  <c r="L116" i="7"/>
  <c r="L117" i="7"/>
  <c r="L64" i="7"/>
  <c r="L111" i="7"/>
  <c r="L97" i="7"/>
  <c r="L56" i="7"/>
  <c r="L47" i="7"/>
  <c r="L65" i="7"/>
  <c r="L49" i="7"/>
  <c r="L44" i="7"/>
  <c r="K180" i="7" l="1"/>
  <c r="J180" i="7"/>
  <c r="J181" i="7"/>
  <c r="K181" i="7"/>
  <c r="K207" i="7"/>
  <c r="J207" i="7"/>
  <c r="L42" i="7"/>
  <c r="L45" i="7"/>
  <c r="L105" i="7"/>
  <c r="L70" i="7"/>
  <c r="L40" i="7"/>
  <c r="L59" i="7"/>
  <c r="L71" i="7"/>
  <c r="L60" i="7"/>
  <c r="I212" i="7" l="1"/>
  <c r="B212" i="7" s="1"/>
  <c r="J212" i="7" s="1"/>
  <c r="I195" i="7"/>
  <c r="B195" i="7" s="1"/>
  <c r="I193" i="7"/>
  <c r="B193" i="7" s="1"/>
  <c r="I201" i="7"/>
  <c r="B201" i="7" s="1"/>
  <c r="I204" i="7"/>
  <c r="B204" i="7" s="1"/>
  <c r="I185" i="7"/>
  <c r="B185" i="7" s="1"/>
  <c r="I202" i="7"/>
  <c r="B202" i="7" s="1"/>
  <c r="I188" i="7"/>
  <c r="B188" i="7" s="1"/>
  <c r="I183" i="7"/>
  <c r="B183" i="7" s="1"/>
  <c r="I184" i="7"/>
  <c r="B184" i="7" s="1"/>
  <c r="I182" i="7"/>
  <c r="B182" i="7" s="1"/>
  <c r="I192" i="7"/>
  <c r="B192" i="7" s="1"/>
  <c r="I178" i="7"/>
  <c r="B178" i="7" s="1"/>
  <c r="I167" i="7"/>
  <c r="B167" i="7" s="1"/>
  <c r="I166" i="7"/>
  <c r="B166" i="7" s="1"/>
  <c r="L38" i="7"/>
  <c r="L31" i="7"/>
  <c r="K212" i="7" l="1"/>
  <c r="K193" i="7"/>
  <c r="J193" i="7"/>
  <c r="K195" i="7"/>
  <c r="J195" i="7"/>
  <c r="K204" i="7"/>
  <c r="J204" i="7"/>
  <c r="K201" i="7"/>
  <c r="J201" i="7"/>
  <c r="K202" i="7"/>
  <c r="J202" i="7"/>
  <c r="J185" i="7"/>
  <c r="K185" i="7"/>
  <c r="K182" i="7"/>
  <c r="J182" i="7"/>
  <c r="K184" i="7"/>
  <c r="J184" i="7"/>
  <c r="K183" i="7"/>
  <c r="J183" i="7"/>
  <c r="K188" i="7"/>
  <c r="J188" i="7"/>
  <c r="K192" i="7"/>
  <c r="J192" i="7"/>
  <c r="K166" i="7"/>
  <c r="J166" i="7"/>
  <c r="J167" i="7"/>
  <c r="K167" i="7"/>
  <c r="K178" i="7"/>
  <c r="J178" i="7"/>
  <c r="I258" i="7" l="1"/>
  <c r="I144" i="7"/>
  <c r="B144" i="7" s="1"/>
  <c r="K144" i="7" s="1"/>
  <c r="I262" i="7"/>
  <c r="J262" i="7" s="1"/>
  <c r="I250" i="7"/>
  <c r="J250" i="7" s="1"/>
  <c r="I254" i="7"/>
  <c r="J254" i="7" s="1"/>
  <c r="I174" i="7"/>
  <c r="B174" i="7" s="1"/>
  <c r="J174" i="7" s="1"/>
  <c r="I266" i="7"/>
  <c r="J266" i="7" s="1"/>
  <c r="I265" i="7"/>
  <c r="J265" i="7" s="1"/>
  <c r="I257" i="7"/>
  <c r="J257" i="7" s="1"/>
  <c r="I264" i="7"/>
  <c r="J264" i="7" s="1"/>
  <c r="I263" i="7"/>
  <c r="J263" i="7" s="1"/>
  <c r="I171" i="7"/>
  <c r="B171" i="7" s="1"/>
  <c r="J171" i="7" s="1"/>
  <c r="I152" i="7"/>
  <c r="B152" i="7" s="1"/>
  <c r="I261" i="7"/>
  <c r="J261" i="7" s="1"/>
  <c r="I219" i="7"/>
  <c r="I256" i="7"/>
  <c r="J256" i="7" s="1"/>
  <c r="I246" i="7"/>
  <c r="I227" i="7"/>
  <c r="I216" i="7"/>
  <c r="I172" i="7"/>
  <c r="B172" i="7" s="1"/>
  <c r="K172" i="7" s="1"/>
  <c r="I175" i="7"/>
  <c r="B175" i="7" s="1"/>
  <c r="I173" i="7"/>
  <c r="B173" i="7" s="1"/>
  <c r="I245" i="7"/>
  <c r="I226" i="7"/>
  <c r="I217" i="7"/>
  <c r="I165" i="7"/>
  <c r="B165" i="7" s="1"/>
  <c r="J165" i="7" s="1"/>
  <c r="I234" i="7"/>
  <c r="I238" i="7"/>
  <c r="I229" i="7"/>
  <c r="I240" i="7"/>
  <c r="I225" i="7"/>
  <c r="I205" i="7"/>
  <c r="I228" i="7"/>
  <c r="I218" i="7"/>
  <c r="I239" i="7"/>
  <c r="I164" i="7"/>
  <c r="B164" i="7" s="1"/>
  <c r="J164" i="7" s="1"/>
  <c r="I242" i="7"/>
  <c r="I190" i="7"/>
  <c r="B190" i="7" s="1"/>
  <c r="I155" i="7"/>
  <c r="B155" i="7" s="1"/>
  <c r="K155" i="7" s="1"/>
  <c r="I223" i="7"/>
  <c r="I168" i="7"/>
  <c r="B168" i="7" s="1"/>
  <c r="I179" i="7"/>
  <c r="I224" i="7"/>
  <c r="I203" i="7"/>
  <c r="I161" i="7"/>
  <c r="B161" i="7" s="1"/>
  <c r="K161" i="7" s="1"/>
  <c r="I206" i="7"/>
  <c r="I189" i="7"/>
  <c r="B189" i="7" s="1"/>
  <c r="I244" i="7"/>
  <c r="I241" i="7"/>
  <c r="I169" i="7"/>
  <c r="B169" i="7" s="1"/>
  <c r="K169" i="7" s="1"/>
  <c r="I162" i="7"/>
  <c r="B162" i="7" s="1"/>
  <c r="K162" i="7" s="1"/>
  <c r="I163" i="7"/>
  <c r="B163" i="7" s="1"/>
  <c r="J163" i="7" s="1"/>
  <c r="I157" i="7"/>
  <c r="B157" i="7" s="1"/>
  <c r="J157" i="7" s="1"/>
  <c r="I143" i="7"/>
  <c r="B143" i="7" s="1"/>
  <c r="J143" i="7" s="1"/>
  <c r="I199" i="7"/>
  <c r="B199" i="7" s="1"/>
  <c r="I151" i="7"/>
  <c r="B151" i="7" s="1"/>
  <c r="J151" i="7" s="1"/>
  <c r="I149" i="7"/>
  <c r="B149" i="7" s="1"/>
  <c r="K149" i="7" s="1"/>
  <c r="I150" i="7"/>
  <c r="B150" i="7" s="1"/>
  <c r="K150" i="7" s="1"/>
  <c r="I251" i="7"/>
  <c r="K251" i="7" s="1"/>
  <c r="I255" i="7"/>
  <c r="I170" i="7"/>
  <c r="B170" i="7" s="1"/>
  <c r="K170" i="7" s="1"/>
  <c r="I252" i="7"/>
  <c r="K252" i="7" s="1"/>
  <c r="I160" i="7"/>
  <c r="B160" i="7" s="1"/>
  <c r="J160" i="7" s="1"/>
  <c r="I194" i="7"/>
  <c r="B194" i="7" s="1"/>
  <c r="I253" i="7"/>
  <c r="K253" i="7" s="1"/>
  <c r="I156" i="7"/>
  <c r="B156" i="7" s="1"/>
  <c r="J156" i="7" s="1"/>
  <c r="I147" i="7"/>
  <c r="B147" i="7" s="1"/>
  <c r="J147" i="7" s="1"/>
  <c r="I237" i="7"/>
  <c r="I158" i="7"/>
  <c r="B158" i="7" s="1"/>
  <c r="J158" i="7" s="1"/>
  <c r="I154" i="7"/>
  <c r="B154" i="7" s="1"/>
  <c r="J154" i="7" s="1"/>
  <c r="I146" i="7"/>
  <c r="B146" i="7" s="1"/>
  <c r="J146" i="7" s="1"/>
  <c r="I145" i="7"/>
  <c r="B145" i="7" s="1"/>
  <c r="J145" i="7" s="1"/>
  <c r="J144" i="7" l="1"/>
  <c r="K174" i="7"/>
  <c r="K171" i="7"/>
  <c r="B206" i="7"/>
  <c r="K206" i="7" s="1"/>
  <c r="B179" i="7"/>
  <c r="J179" i="7" s="1"/>
  <c r="B239" i="7"/>
  <c r="K239" i="7" s="1"/>
  <c r="B225" i="7"/>
  <c r="K225" i="7" s="1"/>
  <c r="B229" i="7"/>
  <c r="J229" i="7" s="1"/>
  <c r="B217" i="7"/>
  <c r="K217" i="7" s="1"/>
  <c r="B227" i="7"/>
  <c r="K227" i="7" s="1"/>
  <c r="B219" i="7"/>
  <c r="K219" i="7" s="1"/>
  <c r="B237" i="7"/>
  <c r="J237" i="7" s="1"/>
  <c r="B241" i="7"/>
  <c r="K241" i="7" s="1"/>
  <c r="B242" i="7"/>
  <c r="K242" i="7" s="1"/>
  <c r="B218" i="7"/>
  <c r="K218" i="7" s="1"/>
  <c r="B238" i="7"/>
  <c r="J238" i="7" s="1"/>
  <c r="B226" i="7"/>
  <c r="K226" i="7" s="1"/>
  <c r="B244" i="7"/>
  <c r="K244" i="7" s="1"/>
  <c r="B203" i="7"/>
  <c r="K203" i="7" s="1"/>
  <c r="B223" i="7"/>
  <c r="K223" i="7" s="1"/>
  <c r="B228" i="7"/>
  <c r="J228" i="7" s="1"/>
  <c r="B234" i="7"/>
  <c r="K234" i="7" s="1"/>
  <c r="B245" i="7"/>
  <c r="K245" i="7" s="1"/>
  <c r="B246" i="7"/>
  <c r="K246" i="7" s="1"/>
  <c r="B224" i="7"/>
  <c r="K224" i="7" s="1"/>
  <c r="B205" i="7"/>
  <c r="J205" i="7" s="1"/>
  <c r="B240" i="7"/>
  <c r="J240" i="7" s="1"/>
  <c r="B216" i="7"/>
  <c r="K216" i="7" s="1"/>
  <c r="K194" i="7"/>
  <c r="K199" i="7"/>
  <c r="J189" i="7"/>
  <c r="K190" i="7"/>
  <c r="K152" i="7"/>
  <c r="J152" i="7"/>
  <c r="J172" i="7"/>
  <c r="J162" i="7"/>
  <c r="K143" i="7"/>
  <c r="K173" i="7"/>
  <c r="J173" i="7"/>
  <c r="K175" i="7"/>
  <c r="J175" i="7"/>
  <c r="K165" i="7"/>
  <c r="J190" i="7"/>
  <c r="J169" i="7"/>
  <c r="K157" i="7"/>
  <c r="K164" i="7"/>
  <c r="J251" i="7"/>
  <c r="J155" i="7"/>
  <c r="K151" i="7"/>
  <c r="K163" i="7"/>
  <c r="J150" i="7"/>
  <c r="J252" i="7"/>
  <c r="K156" i="7"/>
  <c r="J161" i="7"/>
  <c r="J168" i="7"/>
  <c r="K168" i="7"/>
  <c r="K147" i="7"/>
  <c r="K255" i="7"/>
  <c r="K160" i="7"/>
  <c r="K154" i="7"/>
  <c r="J253" i="7"/>
  <c r="J149" i="7"/>
  <c r="J170" i="7"/>
  <c r="K158" i="7"/>
  <c r="K145" i="7"/>
  <c r="K146" i="7"/>
  <c r="L271" i="7" l="1"/>
  <c r="K228" i="7"/>
  <c r="J241" i="7"/>
  <c r="K179" i="7"/>
  <c r="J244" i="7"/>
  <c r="K205" i="7"/>
  <c r="J239" i="7"/>
  <c r="K237" i="7"/>
  <c r="K229" i="7"/>
  <c r="K240" i="7"/>
  <c r="K238" i="7"/>
  <c r="J242" i="7"/>
  <c r="J246" i="7"/>
  <c r="J234" i="7"/>
  <c r="J203" i="7"/>
  <c r="J226" i="7"/>
  <c r="J218" i="7"/>
  <c r="J219" i="7"/>
  <c r="J217" i="7"/>
  <c r="J225" i="7"/>
  <c r="J245" i="7"/>
  <c r="J224" i="7"/>
  <c r="J223" i="7"/>
  <c r="J227" i="7"/>
  <c r="J206" i="7"/>
  <c r="J216" i="7"/>
  <c r="K189" i="7"/>
  <c r="J199" i="7"/>
  <c r="J194" i="7"/>
  <c r="J255" i="7"/>
  <c r="K271" i="7" l="1"/>
  <c r="C64" i="5" l="1"/>
  <c r="C37" i="5"/>
  <c r="C38" i="5" l="1"/>
  <c r="C78" i="3"/>
  <c r="C90" i="3"/>
  <c r="C39" i="5" l="1"/>
  <c r="H38" i="5" s="1"/>
  <c r="G38" i="5"/>
  <c r="G39" i="5" s="1"/>
  <c r="G41" i="5"/>
  <c r="I38" i="5"/>
  <c r="C40" i="5" l="1"/>
  <c r="C91" i="3"/>
  <c r="C85" i="3"/>
  <c r="C55" i="3" l="1"/>
  <c r="C59" i="3" s="1"/>
  <c r="C64" i="3" s="1"/>
  <c r="C62" i="3" l="1"/>
  <c r="C60" i="3"/>
  <c r="C61" i="3"/>
  <c r="C58" i="3"/>
  <c r="C63" i="3" s="1"/>
  <c r="C65" i="3" l="1"/>
  <c r="C72" i="3" s="1"/>
  <c r="F72" i="3" s="1"/>
  <c r="C66" i="3"/>
  <c r="C73" i="3" s="1"/>
  <c r="F73" i="3" s="1"/>
  <c r="C67" i="3"/>
  <c r="C74" i="3" s="1"/>
  <c r="F74" i="3" s="1"/>
  <c r="C70" i="3"/>
  <c r="F70" i="3" s="1"/>
  <c r="C80" i="3"/>
  <c r="C81" i="3" s="1"/>
  <c r="C92" i="3"/>
  <c r="C93" i="3" s="1"/>
  <c r="C86" i="3"/>
  <c r="C87" i="3" s="1"/>
  <c r="C71" i="3"/>
  <c r="F71" i="3" s="1"/>
</calcChain>
</file>

<file path=xl/sharedStrings.xml><?xml version="1.0" encoding="utf-8"?>
<sst xmlns="http://schemas.openxmlformats.org/spreadsheetml/2006/main" count="857" uniqueCount="527">
  <si>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</si>
  <si>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</si>
  <si>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</si>
  <si>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</si>
  <si>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</si>
  <si>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</si>
  <si>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</si>
  <si>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</si>
  <si>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</si>
  <si>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</si>
  <si>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</si>
  <si>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</si>
  <si>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</si>
  <si>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</si>
  <si>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</si>
  <si>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</si>
  <si>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</si>
  <si>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</si>
  <si>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</si>
  <si>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</si>
  <si>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</si>
  <si>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</si>
  <si>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</si>
  <si>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</si>
  <si>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</si>
  <si>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</si>
  <si>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</si>
  <si>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</si>
  <si>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</si>
  <si>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</si>
  <si>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</si>
  <si>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</si>
  <si>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</si>
  <si>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</si>
  <si>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</si>
  <si>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</si>
  <si>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</si>
  <si>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</si>
  <si>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</si>
  <si>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</si>
  <si>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</si>
  <si>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</si>
  <si>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</si>
  <si>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</si>
  <si>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</si>
  <si>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</si>
  <si>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</si>
  <si>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</si>
  <si>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</si>
  <si>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</si>
  <si>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</si>
  <si>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</si>
  <si>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</si>
  <si>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</si>
  <si>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</si>
  <si>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</si>
  <si>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</si>
  <si>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</si>
  <si>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</si>
  <si>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</si>
  <si>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</si>
  <si>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</si>
  <si>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</si>
  <si>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</si>
  <si>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</si>
  <si>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</si>
  <si>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</si>
  <si>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</si>
  <si>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</si>
  <si>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</si>
  <si>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</si>
  <si>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</si>
  <si>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</si>
  <si>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</si>
  <si>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</si>
  <si>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</si>
  <si>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</si>
  <si>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</si>
  <si>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</si>
  <si>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</si>
  <si>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</si>
  <si>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</si>
  <si>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</si>
  <si>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</si>
  <si>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</si>
  <si>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</si>
  <si>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</si>
  <si>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</si>
  <si>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</si>
  <si>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</si>
  <si>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</si>
  <si>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</si>
  <si>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</si>
  <si>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</si>
  <si>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</si>
  <si>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</si>
  <si>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</si>
  <si>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</si>
  <si>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</si>
  <si>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</si>
  <si>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</si>
  <si>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</si>
  <si>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</si>
  <si>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</si>
  <si>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</si>
  <si>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</si>
  <si>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</si>
  <si>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</si>
  <si>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</si>
  <si>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</si>
  <si>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</si>
  <si>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</si>
  <si>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</si>
  <si>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</si>
  <si>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</si>
  <si>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</si>
  <si>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</si>
  <si>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</si>
  <si>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</si>
  <si>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</si>
  <si>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</si>
  <si>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</si>
  <si>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</si>
  <si>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</si>
  <si>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</si>
  <si>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</si>
  <si>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</si>
  <si>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</si>
  <si>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</si>
  <si>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</si>
  <si>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</si>
  <si>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</si>
  <si>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</si>
  <si>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</si>
  <si>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</si>
  <si>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</si>
  <si>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</si>
  <si>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</si>
  <si>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</si>
  <si>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</si>
  <si>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</si>
  <si>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</si>
  <si>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</si>
  <si>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</si>
  <si>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</si>
  <si>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</si>
  <si>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</si>
  <si>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</si>
  <si>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</si>
  <si>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</si>
  <si>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</si>
  <si>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</si>
  <si>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</si>
  <si>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</si>
  <si>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</si>
  <si>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</si>
  <si>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</si>
  <si>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</si>
  <si>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</si>
  <si>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</si>
  <si>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</si>
  <si>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</si>
  <si>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</si>
  <si>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</si>
  <si>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</si>
  <si>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</si>
  <si>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</si>
  <si>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</si>
  <si>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</si>
  <si>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</si>
  <si>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</si>
  <si>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</si>
  <si>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</si>
  <si>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</si>
  <si>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</si>
  <si>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</si>
  <si>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</si>
  <si>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</si>
  <si>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</si>
  <si>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</si>
  <si>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</si>
  <si>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</si>
  <si>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</si>
  <si>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</si>
  <si>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</si>
  <si>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</si>
  <si>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</si>
  <si>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</si>
  <si>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</si>
  <si>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</si>
  <si>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</si>
  <si>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</si>
  <si>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</si>
  <si>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</si>
  <si>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</si>
  <si>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</si>
  <si>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</si>
  <si>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</si>
  <si>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</si>
  <si>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</si>
  <si>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</si>
  <si>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</si>
  <si>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</si>
  <si>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</si>
  <si>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</si>
  <si>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</si>
  <si>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</si>
  <si>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</si>
  <si>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</si>
  <si>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</si>
  <si>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</si>
  <si>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</si>
  <si>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</si>
  <si>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</si>
  <si>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</si>
  <si>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</si>
  <si>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</si>
  <si>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</si>
  <si>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</si>
  <si>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</si>
  <si>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</si>
  <si>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</si>
  <si>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</si>
  <si>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</si>
  <si>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</si>
  <si>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</si>
  <si>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</si>
  <si>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</si>
  <si>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</si>
  <si>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</si>
  <si>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</si>
  <si>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</si>
  <si>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</si>
  <si>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</si>
  <si>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</si>
  <si>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</si>
  <si>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</si>
  <si>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</si>
  <si>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</si>
  <si>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</si>
  <si>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</si>
  <si>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</si>
  <si>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</si>
  <si>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</si>
  <si>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</si>
  <si>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</si>
  <si>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</si>
  <si>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</si>
  <si>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</si>
  <si>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</si>
  <si>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</si>
  <si>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</si>
  <si>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</si>
  <si>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</si>
  <si>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</si>
  <si>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</si>
  <si>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</si>
  <si>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</si>
  <si>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</si>
  <si>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</si>
  <si>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</si>
  <si>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</si>
  <si>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</si>
  <si>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</si>
  <si>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</si>
  <si>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</si>
  <si>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</si>
  <si>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</si>
  <si>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</si>
  <si>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</si>
  <si>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</si>
  <si>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</si>
  <si>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</si>
  <si>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</si>
  <si>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</si>
  <si>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</si>
  <si>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</si>
  <si>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</si>
  <si>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</si>
  <si>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</si>
  <si>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</si>
  <si>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</si>
  <si>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</si>
  <si>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</si>
  <si>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</si>
  <si>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</si>
  <si>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</si>
  <si>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</si>
  <si>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</si>
  <si>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</si>
  <si>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</si>
  <si>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</si>
  <si>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</si>
  <si>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</si>
  <si>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</si>
  <si>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</si>
  <si>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</si>
  <si>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</si>
  <si>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</si>
  <si>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</si>
  <si>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</si>
  <si>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</si>
  <si>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</si>
  <si>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</si>
  <si>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</si>
  <si>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</si>
  <si>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</si>
  <si>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</si>
  <si>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</si>
  <si>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</si>
  <si>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</si>
  <si>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</si>
  <si>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</si>
  <si>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</si>
  <si>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</si>
  <si>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</si>
  <si>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</si>
  <si>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</si>
  <si>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</si>
  <si>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</si>
  <si>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</si>
  <si>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</si>
  <si>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</si>
  <si>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</si>
  <si>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</si>
  <si>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</si>
  <si>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</si>
  <si>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</si>
  <si>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</si>
  <si>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</si>
  <si>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</si>
  <si>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</si>
  <si>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</si>
  <si>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</si>
  <si>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</si>
  <si>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</si>
  <si>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</si>
  <si>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</si>
  <si>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</si>
  <si>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</si>
  <si>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</si>
  <si>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</si>
  <si>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</si>
  <si>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</si>
  <si>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</si>
  <si>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</si>
  <si>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</si>
  <si>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</si>
  <si>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</si>
  <si>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</si>
  <si>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</si>
  <si>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</si>
  <si>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</si>
  <si>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</si>
  <si>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</si>
  <si>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</si>
  <si>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</si>
  <si>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</si>
  <si>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</si>
  <si>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</si>
  <si>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</si>
  <si>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</si>
  <si>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</si>
  <si>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</si>
  <si>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</si>
  <si>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</si>
  <si>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</si>
  <si>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</si>
  <si>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</si>
  <si>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</si>
  <si>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</si>
  <si>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</si>
  <si>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</si>
  <si>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</si>
  <si>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</si>
  <si>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</si>
  <si>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</si>
  <si>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</si>
  <si>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</si>
  <si>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</si>
  <si>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</si>
  <si>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</si>
  <si>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</si>
  <si>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</si>
  <si>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</si>
  <si>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</si>
  <si>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</si>
  <si>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</si>
  <si>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</si>
  <si>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</si>
  <si>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</si>
  <si>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</si>
  <si>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</si>
  <si>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</si>
  <si>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</si>
  <si>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</si>
  <si>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</si>
  <si>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</si>
  <si>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</si>
  <si>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</si>
  <si>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</si>
  <si>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</si>
  <si>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</si>
  <si>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</si>
  <si>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</si>
  <si>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</si>
  <si>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</si>
  <si>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</si>
  <si>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</si>
  <si>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</si>
  <si>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</si>
  <si>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</si>
  <si>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</si>
  <si>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</si>
  <si>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</si>
  <si>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</si>
  <si>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</si>
  <si>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</si>
  <si>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</si>
  <si>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</si>
  <si>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</si>
  <si>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</si>
  <si>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</si>
  <si>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</si>
  <si>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</si>
  <si>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</si>
  <si>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</si>
  <si>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</si>
  <si>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</si>
  <si>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</si>
  <si>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</si>
  <si>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</si>
  <si>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</si>
  <si>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</si>
  <si>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</si>
  <si>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</si>
  <si>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</si>
  <si>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</si>
  <si>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</si>
  <si>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</si>
  <si>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</si>
  <si>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</si>
  <si>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</si>
  <si>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</si>
  <si>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</si>
  <si>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</si>
  <si>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</si>
  <si>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</si>
  <si>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</si>
  <si>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</si>
  <si>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</si>
  <si>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</si>
  <si>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</si>
  <si>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</si>
  <si>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</si>
  <si>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</si>
  <si>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</si>
  <si>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</si>
  <si>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</si>
  <si>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</si>
  <si>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</si>
  <si>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</si>
  <si>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</si>
  <si>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</si>
  <si>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</si>
  <si>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</si>
  <si>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</si>
  <si>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</si>
  <si>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</si>
  <si>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</si>
  <si>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</si>
  <si>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</si>
  <si>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</si>
  <si>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</si>
  <si>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</si>
  <si>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</si>
  <si>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</si>
  <si>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</si>
  <si>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</si>
  <si>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</si>
  <si>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</si>
  <si>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</si>
  <si>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</si>
  <si>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</si>
  <si>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</si>
  <si>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</si>
  <si>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</si>
  <si>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</si>
  <si>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</si>
  <si>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</si>
  <si>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</si>
  <si>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</si>
  <si>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</si>
  <si>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</si>
  <si>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</si>
  <si>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</si>
  <si>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</si>
  <si>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</si>
  <si>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</si>
  <si>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</si>
  <si>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Schraublöcher von 8 auf 9mm vergößert damit man bessrer schrauben kann (harmlos)</t>
  </si>
  <si>
    <t>loo0</t>
  </si>
  <si>
    <t>Konstruktion</t>
  </si>
  <si>
    <t>Kabelführung etwas großzügiger gemacht (kann man neu drucken, muss aber nicht. Vielleicht vor dem lackieren)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</si>
  <si>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</si>
  <si>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</si>
  <si>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</si>
  <si>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</si>
  <si>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</si>
  <si>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</si>
  <si>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</si>
  <si>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</si>
  <si>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</si>
  <si>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</si>
  <si>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</si>
  <si>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</si>
  <si>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</si>
  <si>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</si>
  <si>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</si>
  <si>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</si>
  <si>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Gehäuse</t>
  </si>
  <si>
    <t>http://gkshop.co.uk/de/0-5-a-dc-ammeter-amp-current-panel-meter-round-analogue-analog.html</t>
  </si>
  <si>
    <t>Kippschalter</t>
  </si>
  <si>
    <t>http://www.ebay.de/itm/Kippschalter-aus-Aluminium-Ein-Aus-2polig-Schalter-6V-12V-345-01/322256822791?_trksid=p2047675.c100005.m1851&amp;_trkparms=aid%3D222007%26algo%3DSIC.MBE%26ao%3D2%26asc%3D38052%26meid%3Dccb372c197a04cd49a68967fbfc41da1%26pid%3D100005%26rk%3D3%26rkt%3D6%26sd%3D322247093065</t>
  </si>
  <si>
    <t>gedruckt, nicht montiert</t>
  </si>
  <si>
    <t>Das Zahnrad sollte auf 14 gehen, die Schulter ist irre Kräftig abr zu langsam.15 ging auch</t>
  </si>
  <si>
    <t>ST6018M2008-A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</si>
</sst>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gif"/><Relationship Id="rId2" Type="http://schemas.openxmlformats.org/officeDocument/2006/relationships/image" Target="../media/image5.gif"/><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6.jpeg"/><Relationship Id="rId2" Type="http://schemas.openxmlformats.org/officeDocument/2006/relationships/image" Target="../media/image15.jpeg"/><Relationship Id="rId1" Type="http://schemas.openxmlformats.org/officeDocument/2006/relationships/image" Target="../media/image14.jpeg"/><Relationship Id="rId4" Type="http://schemas.openxmlformats.org/officeDocument/2006/relationships/image" Target="../media/image17.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640080</xdr:colOff>
      <xdr:row>39</xdr:row>
      <xdr:rowOff>53340</xdr:rowOff>
    </xdr:to>
    <xdr:pic>
      <xdr:nvPicPr>
        <xdr:cNvPr id="2" name="Grafik 1" descr="https://lh6.googleusercontent.com/-A7GTgUQ_rls/VvxZrnxnkOI/AAAAAAAAPR0/3WOZyZapWrEsnV1htVbUmJE0j5XHwRbKw/w649-h865-no/IMG_0013.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394960" cy="718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18</xdr:col>
      <xdr:colOff>487680</xdr:colOff>
      <xdr:row>36</xdr:row>
      <xdr:rowOff>45720</xdr:rowOff>
    </xdr:to>
    <xdr:pic>
      <xdr:nvPicPr>
        <xdr:cNvPr id="3" name="Grafik 2" descr="http://gkshop.co.uk/media/products/9da489d1dfc92b8a20701fa4ca07a172/images/thumbnail/big_RC042B.jpg?lm=14728384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32320" y="914400"/>
          <a:ext cx="7620000"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21985</xdr:colOff>
      <xdr:row>39</xdr:row>
      <xdr:rowOff>144780</xdr:rowOff>
    </xdr:from>
    <xdr:to>
      <xdr:col>9</xdr:col>
      <xdr:colOff>629428</xdr:colOff>
      <xdr:row>54</xdr:row>
      <xdr:rowOff>152400</xdr:rowOff>
    </xdr:to>
    <xdr:pic>
      <xdr:nvPicPr>
        <xdr:cNvPr id="4" name="viEnlargeImgLayer_img_ctr" descr="http://i.ebayimg.com/images/g/0e0AAOSwU-pXq1em/s-l160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69345" y="7277100"/>
          <a:ext cx="2192403" cy="2750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stepper-motor-34mm-12v-04a-26ncm37ozin-17hs130404s-p-166.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de.nanotec.com/fileadmin/files/Datenblaetter/Schrittmotoren/ST6018/M/ST6018M2008-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16" zoomScale="80" zoomScaleNormal="80" workbookViewId="0">
      <selection activeCell="G71" sqref="G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4" x14ac:dyDescent="0.3">
      <c r="C2" t="s">
        <v>465</v>
      </c>
    </row>
    <row r="3" spans="1:4" x14ac:dyDescent="0.3">
      <c r="A3" t="s">
        <v>3</v>
      </c>
      <c r="C3">
        <v>400</v>
      </c>
      <c r="D3" t="s">
        <v>30</v>
      </c>
    </row>
    <row r="4" spans="1:4" x14ac:dyDescent="0.3">
      <c r="A4" t="s">
        <v>4</v>
      </c>
      <c r="C4">
        <v>270</v>
      </c>
      <c r="D4" t="s">
        <v>30</v>
      </c>
    </row>
    <row r="5" spans="1:4" x14ac:dyDescent="0.3">
      <c r="A5" t="s">
        <v>8</v>
      </c>
      <c r="C5">
        <v>100</v>
      </c>
      <c r="D5" t="s">
        <v>30</v>
      </c>
    </row>
    <row r="6" spans="1:4" x14ac:dyDescent="0.3">
      <c r="A6" t="s">
        <v>5</v>
      </c>
      <c r="C6" s="2">
        <v>0.8</v>
      </c>
      <c r="D6" t="s">
        <v>6</v>
      </c>
    </row>
    <row r="7" spans="1:4" x14ac:dyDescent="0.3">
      <c r="A7" t="s">
        <v>10</v>
      </c>
      <c r="C7" s="2">
        <f>Q72+0.2</f>
        <v>0.97</v>
      </c>
      <c r="D7" t="s">
        <v>6</v>
      </c>
    </row>
    <row r="8" spans="1:4" x14ac:dyDescent="0.3">
      <c r="A8" t="s">
        <v>11</v>
      </c>
      <c r="C8" s="2">
        <f>Q73+Q74 +0.4</f>
        <v>0.81</v>
      </c>
      <c r="D8" t="s">
        <v>6</v>
      </c>
    </row>
    <row r="9" spans="1:4" x14ac:dyDescent="0.3">
      <c r="A9" t="s">
        <v>12</v>
      </c>
      <c r="C9" s="2">
        <f>Q74+0.1</f>
        <v>0.33</v>
      </c>
      <c r="D9" t="s">
        <v>6</v>
      </c>
    </row>
    <row r="10" spans="1:4" x14ac:dyDescent="0.3">
      <c r="A10" t="s">
        <v>397</v>
      </c>
      <c r="C10" s="5">
        <f>C14/C12</f>
        <v>9</v>
      </c>
      <c r="D10" t="s">
        <v>15</v>
      </c>
    </row>
    <row r="11" spans="1:4" x14ac:dyDescent="0.3">
      <c r="B11" t="s">
        <v>29</v>
      </c>
      <c r="C11" s="8">
        <v>5</v>
      </c>
      <c r="D11" t="s">
        <v>30</v>
      </c>
    </row>
    <row r="12" spans="1:4" x14ac:dyDescent="0.3">
      <c r="B12" t="s">
        <v>31</v>
      </c>
      <c r="C12" s="6">
        <v>10</v>
      </c>
      <c r="D12" t="s">
        <v>28</v>
      </c>
    </row>
    <row r="13" spans="1:4" x14ac:dyDescent="0.3">
      <c r="B13" t="s">
        <v>36</v>
      </c>
      <c r="C13" s="4">
        <f>C12*C11/PI()</f>
        <v>15.915494309189533</v>
      </c>
      <c r="D13" t="s">
        <v>30</v>
      </c>
    </row>
    <row r="14" spans="1:4" x14ac:dyDescent="0.3">
      <c r="B14" t="s">
        <v>32</v>
      </c>
      <c r="C14" s="7">
        <v>90</v>
      </c>
      <c r="D14" t="s">
        <v>28</v>
      </c>
    </row>
    <row r="15" spans="1:4" x14ac:dyDescent="0.3">
      <c r="B15" t="s">
        <v>37</v>
      </c>
      <c r="C15" s="4">
        <f>C14*C11/PI()</f>
        <v>143.23944878270581</v>
      </c>
      <c r="D15" t="s">
        <v>30</v>
      </c>
    </row>
    <row r="16" spans="1:4" x14ac:dyDescent="0.3">
      <c r="A16" t="s">
        <v>19</v>
      </c>
      <c r="C16" s="5">
        <f>C20/C18*(C24/C22)</f>
        <v>20.571428571428569</v>
      </c>
      <c r="D16" t="s">
        <v>15</v>
      </c>
    </row>
    <row r="17" spans="1:6" x14ac:dyDescent="0.3">
      <c r="B17" t="s">
        <v>29</v>
      </c>
      <c r="C17">
        <v>5</v>
      </c>
      <c r="D17" t="s">
        <v>30</v>
      </c>
    </row>
    <row r="18" spans="1:6" x14ac:dyDescent="0.3">
      <c r="B18" t="s">
        <v>31</v>
      </c>
      <c r="C18" s="6">
        <v>14</v>
      </c>
      <c r="D18" t="s">
        <v>28</v>
      </c>
    </row>
    <row r="19" spans="1:6" x14ac:dyDescent="0.3">
      <c r="B19" t="s">
        <v>36</v>
      </c>
      <c r="C19" s="4">
        <f>C18*C17/PI()</f>
        <v>22.281692032865347</v>
      </c>
      <c r="D19" t="s">
        <v>30</v>
      </c>
    </row>
    <row r="20" spans="1:6" x14ac:dyDescent="0.3">
      <c r="B20" t="s">
        <v>32</v>
      </c>
      <c r="C20" s="7">
        <v>48</v>
      </c>
      <c r="D20" t="s">
        <v>28</v>
      </c>
    </row>
    <row r="21" spans="1:6" x14ac:dyDescent="0.3">
      <c r="B21" t="s">
        <v>37</v>
      </c>
      <c r="C21" s="4">
        <f>C20*C17/PI()</f>
        <v>76.394372684109769</v>
      </c>
      <c r="D21" t="s">
        <v>30</v>
      </c>
    </row>
    <row r="22" spans="1:6" x14ac:dyDescent="0.3">
      <c r="B22" t="s">
        <v>34</v>
      </c>
      <c r="C22" s="6">
        <v>12</v>
      </c>
      <c r="D22" t="s">
        <v>28</v>
      </c>
      <c r="F22" t="s">
        <v>525</v>
      </c>
    </row>
    <row r="23" spans="1:6" x14ac:dyDescent="0.3">
      <c r="B23" t="s">
        <v>38</v>
      </c>
      <c r="C23" s="4">
        <f>C22*C17/PI()</f>
        <v>19.098593171027442</v>
      </c>
      <c r="D23" t="s">
        <v>30</v>
      </c>
    </row>
    <row r="24" spans="1:6" x14ac:dyDescent="0.3">
      <c r="B24" t="s">
        <v>35</v>
      </c>
      <c r="C24" s="7">
        <v>72</v>
      </c>
      <c r="D24" t="s">
        <v>28</v>
      </c>
    </row>
    <row r="25" spans="1:6" x14ac:dyDescent="0.3">
      <c r="B25" t="s">
        <v>39</v>
      </c>
      <c r="C25" s="4">
        <f>C24*C17/PI()</f>
        <v>114.59155902616465</v>
      </c>
      <c r="D25" t="s">
        <v>30</v>
      </c>
    </row>
    <row r="26" spans="1:6" x14ac:dyDescent="0.3">
      <c r="A26" t="s">
        <v>14</v>
      </c>
      <c r="C26" s="5">
        <f>C30/C28*(C34/C32)</f>
        <v>11.755102040816325</v>
      </c>
      <c r="D26" t="s">
        <v>15</v>
      </c>
    </row>
    <row r="27" spans="1:6" x14ac:dyDescent="0.3">
      <c r="B27" t="s">
        <v>29</v>
      </c>
      <c r="C27">
        <v>5</v>
      </c>
      <c r="D27" t="s">
        <v>30</v>
      </c>
    </row>
    <row r="28" spans="1:6" x14ac:dyDescent="0.3">
      <c r="B28" t="s">
        <v>31</v>
      </c>
      <c r="C28" s="6">
        <v>14</v>
      </c>
      <c r="D28" t="s">
        <v>28</v>
      </c>
    </row>
    <row r="29" spans="1:6" x14ac:dyDescent="0.3">
      <c r="B29" t="s">
        <v>36</v>
      </c>
      <c r="C29" s="4">
        <f>C28*C27/PI()</f>
        <v>22.281692032865347</v>
      </c>
      <c r="D29" t="s">
        <v>30</v>
      </c>
    </row>
    <row r="30" spans="1:6" x14ac:dyDescent="0.3">
      <c r="B30" t="s">
        <v>32</v>
      </c>
      <c r="C30" s="7">
        <v>48</v>
      </c>
      <c r="D30" t="s">
        <v>28</v>
      </c>
    </row>
    <row r="31" spans="1:6" x14ac:dyDescent="0.3">
      <c r="B31" t="s">
        <v>33</v>
      </c>
      <c r="C31" s="4">
        <f>C30*C27/PI()</f>
        <v>76.394372684109769</v>
      </c>
      <c r="D31" t="s">
        <v>30</v>
      </c>
    </row>
    <row r="32" spans="1:6" x14ac:dyDescent="0.3">
      <c r="B32" t="s">
        <v>34</v>
      </c>
      <c r="C32" s="6">
        <v>14</v>
      </c>
      <c r="D32" t="s">
        <v>28</v>
      </c>
    </row>
    <row r="33" spans="1:4" x14ac:dyDescent="0.3">
      <c r="B33" t="s">
        <v>38</v>
      </c>
      <c r="C33" s="4">
        <f>C32*C27/PI()</f>
        <v>22.281692032865347</v>
      </c>
      <c r="D33" t="s">
        <v>30</v>
      </c>
    </row>
    <row r="34" spans="1:4" x14ac:dyDescent="0.3">
      <c r="B34" t="s">
        <v>35</v>
      </c>
      <c r="C34" s="7">
        <v>48</v>
      </c>
      <c r="D34" t="s">
        <v>28</v>
      </c>
    </row>
    <row r="35" spans="1:4" x14ac:dyDescent="0.3">
      <c r="B35" t="s">
        <v>39</v>
      </c>
      <c r="C35" s="4">
        <f>C34*C27/PI()</f>
        <v>76.394372684109769</v>
      </c>
      <c r="D35" t="s">
        <v>30</v>
      </c>
    </row>
    <row r="36" spans="1:4" x14ac:dyDescent="0.3">
      <c r="A36" t="s">
        <v>83</v>
      </c>
      <c r="B36" t="s">
        <v>291</v>
      </c>
      <c r="C36" s="4">
        <f>C40/C38*(C44/C42)</f>
        <v>7.4374999999999991</v>
      </c>
      <c r="D36" t="s">
        <v>15</v>
      </c>
    </row>
    <row r="37" spans="1:4" x14ac:dyDescent="0.3">
      <c r="B37" t="s">
        <v>29</v>
      </c>
      <c r="C37">
        <v>2.5</v>
      </c>
      <c r="D37" t="s">
        <v>30</v>
      </c>
    </row>
    <row r="38" spans="1:4" x14ac:dyDescent="0.3">
      <c r="B38" t="s">
        <v>31</v>
      </c>
      <c r="C38" s="6">
        <v>14</v>
      </c>
      <c r="D38" t="s">
        <v>28</v>
      </c>
    </row>
    <row r="39" spans="1:4" x14ac:dyDescent="0.3">
      <c r="B39" t="s">
        <v>36</v>
      </c>
      <c r="C39" s="4">
        <f>C38*C37/PI()</f>
        <v>11.140846016432674</v>
      </c>
      <c r="D39" t="s">
        <v>30</v>
      </c>
    </row>
    <row r="40" spans="1:4" x14ac:dyDescent="0.3">
      <c r="B40" t="s">
        <v>32</v>
      </c>
      <c r="C40" s="7">
        <v>34</v>
      </c>
      <c r="D40" t="s">
        <v>28</v>
      </c>
    </row>
    <row r="41" spans="1:4" x14ac:dyDescent="0.3">
      <c r="B41" t="s">
        <v>37</v>
      </c>
      <c r="C41" s="4">
        <f>C40*C37/PI()</f>
        <v>27.056340325622209</v>
      </c>
      <c r="D41" t="s">
        <v>30</v>
      </c>
    </row>
    <row r="42" spans="1:4" x14ac:dyDescent="0.3">
      <c r="B42" t="s">
        <v>34</v>
      </c>
      <c r="C42" s="6">
        <v>16</v>
      </c>
      <c r="D42" t="s">
        <v>28</v>
      </c>
    </row>
    <row r="43" spans="1:4" x14ac:dyDescent="0.3">
      <c r="B43" t="s">
        <v>38</v>
      </c>
      <c r="C43" s="4">
        <f>C42*C37/PI()</f>
        <v>12.732395447351628</v>
      </c>
      <c r="D43" t="s">
        <v>30</v>
      </c>
    </row>
    <row r="44" spans="1:4" x14ac:dyDescent="0.3">
      <c r="B44" t="s">
        <v>35</v>
      </c>
      <c r="C44" s="7">
        <v>49</v>
      </c>
      <c r="D44" t="s">
        <v>28</v>
      </c>
    </row>
    <row r="45" spans="1:4" x14ac:dyDescent="0.3">
      <c r="B45" t="s">
        <v>39</v>
      </c>
      <c r="C45" s="4">
        <f>C44*C37/PI()</f>
        <v>38.992961057514357</v>
      </c>
      <c r="D45" t="s">
        <v>30</v>
      </c>
    </row>
    <row r="46" spans="1:4" x14ac:dyDescent="0.3">
      <c r="A46" t="s">
        <v>136</v>
      </c>
      <c r="C46" s="4">
        <f>C50/C48</f>
        <v>4.333333333333333</v>
      </c>
      <c r="D46" t="s">
        <v>15</v>
      </c>
    </row>
    <row r="47" spans="1:4" x14ac:dyDescent="0.3">
      <c r="B47" t="s">
        <v>29</v>
      </c>
      <c r="C47">
        <v>2.5</v>
      </c>
      <c r="D47" t="s">
        <v>30</v>
      </c>
    </row>
    <row r="48" spans="1:4" x14ac:dyDescent="0.3">
      <c r="B48" t="s">
        <v>34</v>
      </c>
      <c r="C48" s="6">
        <v>15</v>
      </c>
      <c r="D48" t="s">
        <v>28</v>
      </c>
    </row>
    <row r="49" spans="1:5" x14ac:dyDescent="0.3">
      <c r="B49" t="s">
        <v>38</v>
      </c>
      <c r="C49" s="4">
        <f>C48*C47/PI()</f>
        <v>11.93662073189215</v>
      </c>
      <c r="D49" t="s">
        <v>30</v>
      </c>
    </row>
    <row r="50" spans="1:5" x14ac:dyDescent="0.3">
      <c r="B50" t="s">
        <v>35</v>
      </c>
      <c r="C50" s="7">
        <v>65</v>
      </c>
      <c r="D50" t="s">
        <v>28</v>
      </c>
    </row>
    <row r="51" spans="1:5" x14ac:dyDescent="0.3">
      <c r="B51" t="s">
        <v>39</v>
      </c>
      <c r="C51" s="4">
        <f>C50*C47/PI()</f>
        <v>51.725356504865985</v>
      </c>
      <c r="D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1.6028007187500004</v>
      </c>
      <c r="D64" s="2"/>
      <c r="E64" t="s">
        <v>13</v>
      </c>
    </row>
    <row r="65" spans="1:31" x14ac:dyDescent="0.3">
      <c r="A65" t="s">
        <v>25</v>
      </c>
      <c r="C65" s="2">
        <f>C60/C26</f>
        <v>0.89853979687500019</v>
      </c>
      <c r="D65" s="2"/>
      <c r="E65" t="s">
        <v>13</v>
      </c>
    </row>
    <row r="66" spans="1:31" x14ac:dyDescent="0.3">
      <c r="A66" t="s">
        <v>139</v>
      </c>
      <c r="C66" s="2">
        <f>C61/C36</f>
        <v>7.4523025210084054E-2</v>
      </c>
      <c r="D66" s="2"/>
      <c r="E66" t="s">
        <v>13</v>
      </c>
    </row>
    <row r="67" spans="1:31" x14ac:dyDescent="0.3">
      <c r="A67" t="s">
        <v>137</v>
      </c>
      <c r="C67" s="2">
        <f>C62/C46</f>
        <v>0.12790730769230774</v>
      </c>
      <c r="D67" s="2"/>
      <c r="E67" t="s">
        <v>13</v>
      </c>
    </row>
    <row r="68" spans="1:31" ht="57.6" x14ac:dyDescent="0.3">
      <c r="C68" s="2"/>
      <c r="D68" s="2"/>
      <c r="F68" t="s">
        <v>466</v>
      </c>
      <c r="G68" s="10" t="s">
        <v>40</v>
      </c>
      <c r="H68" s="10" t="s">
        <v>41</v>
      </c>
      <c r="I68" s="10" t="s">
        <v>42</v>
      </c>
      <c r="J68" s="10" t="s">
        <v>43</v>
      </c>
      <c r="K68" s="10"/>
      <c r="L68" s="12" t="s">
        <v>68</v>
      </c>
      <c r="M68" s="10" t="s">
        <v>44</v>
      </c>
      <c r="N68" s="10" t="s">
        <v>45</v>
      </c>
      <c r="O68" s="10" t="s">
        <v>46</v>
      </c>
      <c r="P68" s="10" t="s">
        <v>47</v>
      </c>
      <c r="Q68" s="10" t="s">
        <v>48</v>
      </c>
      <c r="S68" s="51" t="s">
        <v>382</v>
      </c>
      <c r="T68" s="51" t="s">
        <v>460</v>
      </c>
      <c r="U68" s="51" t="s">
        <v>461</v>
      </c>
      <c r="V68" s="51" t="s">
        <v>462</v>
      </c>
      <c r="W68" s="51" t="s">
        <v>473</v>
      </c>
    </row>
    <row r="69" spans="1:31" ht="28.8" x14ac:dyDescent="0.3">
      <c r="C69" s="2"/>
      <c r="D69" s="2"/>
      <c r="G69" s="10" t="s">
        <v>49</v>
      </c>
      <c r="H69" s="10" t="s">
        <v>50</v>
      </c>
      <c r="I69" s="10" t="s">
        <v>51</v>
      </c>
      <c r="J69" s="10" t="s">
        <v>52</v>
      </c>
      <c r="K69" s="10" t="s">
        <v>30</v>
      </c>
      <c r="L69" s="12"/>
      <c r="M69" s="10" t="s">
        <v>67</v>
      </c>
      <c r="N69" s="10" t="s">
        <v>53</v>
      </c>
      <c r="O69" s="10" t="s">
        <v>54</v>
      </c>
      <c r="P69" s="10" t="s">
        <v>478</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2.0836409343750004</v>
      </c>
      <c r="D71" s="2"/>
      <c r="E71" t="s">
        <v>13</v>
      </c>
      <c r="F71" s="53">
        <f>M71/C71/100</f>
        <v>1.4397874175474801</v>
      </c>
      <c r="G71" s="11" t="s">
        <v>526</v>
      </c>
      <c r="H71" s="18">
        <v>1.8</v>
      </c>
      <c r="I71" s="18" t="s">
        <v>55</v>
      </c>
      <c r="J71" s="18" t="s">
        <v>64</v>
      </c>
      <c r="K71" s="18" t="s">
        <v>66</v>
      </c>
      <c r="L71" s="18">
        <v>8</v>
      </c>
      <c r="M71" s="18">
        <v>300</v>
      </c>
      <c r="N71" s="18">
        <v>1.41</v>
      </c>
      <c r="O71" s="18" t="s">
        <v>58</v>
      </c>
      <c r="P71" s="18">
        <v>4.37</v>
      </c>
      <c r="Q71" s="14">
        <v>1.4</v>
      </c>
      <c r="S71" s="52">
        <f>0.6801*N71</f>
        <v>0.95894100000000004</v>
      </c>
    </row>
    <row r="72" spans="1:31" ht="17.399999999999999" customHeight="1" x14ac:dyDescent="0.3">
      <c r="A72" t="s">
        <v>21</v>
      </c>
      <c r="C72" s="2">
        <f>C65*(1+C53)</f>
        <v>1.1681017359375003</v>
      </c>
      <c r="D72" s="2"/>
      <c r="E72" t="s">
        <v>13</v>
      </c>
      <c r="F72" s="53">
        <f>M72/C72/100</f>
        <v>1.6265706500941801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416</v>
      </c>
      <c r="H73" s="25">
        <v>1.8</v>
      </c>
      <c r="I73" s="25" t="s">
        <v>55</v>
      </c>
      <c r="J73" s="25" t="s">
        <v>59</v>
      </c>
      <c r="K73" s="25" t="s">
        <v>415</v>
      </c>
      <c r="L73" s="25">
        <v>5</v>
      </c>
      <c r="M73" s="25">
        <v>17</v>
      </c>
      <c r="N73" s="25">
        <v>0.7</v>
      </c>
      <c r="O73" s="25" t="s">
        <v>56</v>
      </c>
      <c r="P73" s="25">
        <v>4.4000000000000004</v>
      </c>
      <c r="Q73" s="55">
        <v>0.18</v>
      </c>
      <c r="R73" s="11"/>
      <c r="S73" s="52">
        <f>0.6801*N73</f>
        <v>0.47606999999999999</v>
      </c>
      <c r="T73" s="51" t="s">
        <v>474</v>
      </c>
      <c r="U73" s="51" t="s">
        <v>475</v>
      </c>
      <c r="V73" s="10" t="s">
        <v>464</v>
      </c>
      <c r="W73" s="51" t="s">
        <v>476</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477</v>
      </c>
      <c r="H74" s="51">
        <v>1.8</v>
      </c>
      <c r="I74" s="51" t="s">
        <v>55</v>
      </c>
      <c r="J74" s="51" t="s">
        <v>59</v>
      </c>
      <c r="K74" s="51" t="s">
        <v>60</v>
      </c>
      <c r="L74" s="51">
        <v>5</v>
      </c>
      <c r="M74" s="51">
        <v>26</v>
      </c>
      <c r="N74" s="51">
        <v>0.4</v>
      </c>
      <c r="O74" s="51" t="s">
        <v>56</v>
      </c>
      <c r="P74" s="51">
        <v>30</v>
      </c>
      <c r="Q74" s="55">
        <v>0.23</v>
      </c>
      <c r="R74" s="11"/>
      <c r="S74" s="52">
        <f>0.6801*N74</f>
        <v>0.27204</v>
      </c>
      <c r="T74" s="12" t="s">
        <v>474</v>
      </c>
      <c r="U74" s="12" t="s">
        <v>475</v>
      </c>
      <c r="V74" s="12" t="s">
        <v>463</v>
      </c>
      <c r="W74" s="12" t="s">
        <v>476</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t="e">
        <f>(#REF!/1000/2)</f>
        <v>#REF!</v>
      </c>
      <c r="D79" s="16"/>
      <c r="E79" t="s">
        <v>96</v>
      </c>
    </row>
    <row r="80" spans="1:31" x14ac:dyDescent="0.3">
      <c r="A80" t="s">
        <v>91</v>
      </c>
      <c r="C80" s="16" t="e">
        <f>C58/C79</f>
        <v>#REF!</v>
      </c>
      <c r="D80" s="16"/>
      <c r="E80" t="s">
        <v>88</v>
      </c>
    </row>
    <row r="81" spans="1:6" x14ac:dyDescent="0.3">
      <c r="A81" t="s">
        <v>92</v>
      </c>
      <c r="C81" s="16" t="e">
        <f>(C78)*C80*2*PI()</f>
        <v>#REF!</v>
      </c>
      <c r="D81" s="16"/>
      <c r="E81" t="s">
        <v>89</v>
      </c>
    </row>
    <row r="83" spans="1:6" x14ac:dyDescent="0.3">
      <c r="A83" t="s">
        <v>93</v>
      </c>
    </row>
    <row r="84" spans="1:6" x14ac:dyDescent="0.3">
      <c r="A84" t="s">
        <v>90</v>
      </c>
      <c r="C84" s="17">
        <v>1</v>
      </c>
      <c r="D84" s="17"/>
      <c r="E84" t="s">
        <v>97</v>
      </c>
    </row>
    <row r="85" spans="1:6" x14ac:dyDescent="0.3">
      <c r="A85" t="s">
        <v>95</v>
      </c>
      <c r="C85" s="17" t="e">
        <f>(#REF!/1000/2)</f>
        <v>#REF!</v>
      </c>
      <c r="D85" s="17"/>
      <c r="E85" t="s">
        <v>96</v>
      </c>
    </row>
    <row r="86" spans="1:6" x14ac:dyDescent="0.3">
      <c r="A86" t="s">
        <v>91</v>
      </c>
      <c r="C86" s="17" t="e">
        <f>C59/C85</f>
        <v>#REF!</v>
      </c>
      <c r="D86" s="17"/>
      <c r="E86" t="s">
        <v>88</v>
      </c>
      <c r="F86" s="17"/>
    </row>
    <row r="87" spans="1:6" x14ac:dyDescent="0.3">
      <c r="A87" t="s">
        <v>92</v>
      </c>
      <c r="C87" s="17" t="e">
        <f>(C84)*C86*2*PI()</f>
        <v>#REF!</v>
      </c>
      <c r="D87" s="17"/>
      <c r="E87" t="s">
        <v>89</v>
      </c>
    </row>
    <row r="88" spans="1:6" ht="22.8" customHeight="1" x14ac:dyDescent="0.3"/>
    <row r="89" spans="1:6" x14ac:dyDescent="0.3">
      <c r="A89" t="s">
        <v>94</v>
      </c>
    </row>
    <row r="90" spans="1:6" x14ac:dyDescent="0.3">
      <c r="A90" t="s">
        <v>90</v>
      </c>
      <c r="C90" s="17" t="e">
        <f>60*#REF!/#REF!</f>
        <v>#REF!</v>
      </c>
      <c r="D90" s="17"/>
      <c r="E90" t="s">
        <v>97</v>
      </c>
    </row>
    <row r="91" spans="1:6" x14ac:dyDescent="0.3">
      <c r="A91" t="s">
        <v>95</v>
      </c>
      <c r="C91" s="17" t="e">
        <f>(#REF!/1000/2)</f>
        <v>#REF!</v>
      </c>
      <c r="D91" s="17"/>
      <c r="E91" t="s">
        <v>96</v>
      </c>
    </row>
    <row r="92" spans="1:6" x14ac:dyDescent="0.3">
      <c r="A92" t="s">
        <v>91</v>
      </c>
      <c r="C92" s="17" t="e">
        <f>C59/(#REF!/#REF!)/C91</f>
        <v>#REF!</v>
      </c>
      <c r="D92" s="17"/>
      <c r="E92" t="s">
        <v>88</v>
      </c>
    </row>
    <row r="93" spans="1:6" x14ac:dyDescent="0.3">
      <c r="A93" t="s">
        <v>92</v>
      </c>
      <c r="C93" s="17" t="e">
        <f>(C90/60)*C92*2*PI()</f>
        <v>#REF!</v>
      </c>
      <c r="D93" s="17"/>
      <c r="E93" t="s">
        <v>89</v>
      </c>
    </row>
  </sheetData>
  <hyperlinks>
    <hyperlink ref="G70" r:id="rId1"/>
    <hyperlink ref="G72" r:id="rId2"/>
    <hyperlink ref="G74" r:id="rId3"/>
    <hyperlink ref="G73" r:id="rId4"/>
    <hyperlink ref="G71"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abSelected="1" topLeftCell="A10" zoomScale="94" zoomScaleNormal="94" workbookViewId="0">
      <selection activeCell="H40" sqref="H40"/>
    </sheetView>
  </sheetViews>
  <sheetFormatPr baseColWidth="10" defaultRowHeight="14.4" x14ac:dyDescent="0.3"/>
  <sheetData>
    <row r="1" spans="1:10" x14ac:dyDescent="0.3">
      <c r="A1" t="s">
        <v>520</v>
      </c>
    </row>
    <row r="4" spans="1:10" x14ac:dyDescent="0.3">
      <c r="J4" t="s">
        <v>521</v>
      </c>
    </row>
    <row r="39" spans="8:8" x14ac:dyDescent="0.3">
      <c r="H39" t="s">
        <v>522</v>
      </c>
    </row>
    <row r="40" spans="8:8" x14ac:dyDescent="0.3">
      <c r="H40" t="s">
        <v>523</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37"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467</v>
      </c>
      <c r="G36">
        <v>0.55000000000000004</v>
      </c>
    </row>
    <row r="37" spans="1:9" x14ac:dyDescent="0.3">
      <c r="A37" t="s">
        <v>100</v>
      </c>
      <c r="C37" s="2">
        <f>C36*2.5/PI()</f>
        <v>51.725356504865985</v>
      </c>
      <c r="D37" t="s">
        <v>30</v>
      </c>
      <c r="E37" s="2" t="s">
        <v>468</v>
      </c>
      <c r="G37">
        <f>RADIANS(25-360/C36/2)</f>
        <v>0.38800011832797016</v>
      </c>
      <c r="H37" s="4">
        <f>DEGREES(G37)</f>
        <v>22.23076923076923</v>
      </c>
    </row>
    <row r="38" spans="1:9" x14ac:dyDescent="0.3">
      <c r="A38" t="s">
        <v>99</v>
      </c>
      <c r="C38" s="2">
        <f>C37-G36</f>
        <v>51.175356504865988</v>
      </c>
      <c r="D38" t="s">
        <v>30</v>
      </c>
      <c r="E38" t="s">
        <v>469</v>
      </c>
      <c r="G38">
        <f>(2.5-1-2*SIN(RADIANS(20))*0.7)/C37*C38</f>
        <v>1.0103135950204958</v>
      </c>
      <c r="H38">
        <f>(1*(C38/2-0.7)/(C39/2)*C38/C39)</f>
        <v>1.0533682448534774</v>
      </c>
      <c r="I38">
        <f>2*SIN(RADIANS(G37))*0.7*C38/C39</f>
        <v>9.8661406332788554E-3</v>
      </c>
    </row>
    <row r="39" spans="1:9" x14ac:dyDescent="0.3">
      <c r="A39" t="s">
        <v>470</v>
      </c>
      <c r="C39" s="2">
        <f>C38-2</f>
        <v>49.175356504865988</v>
      </c>
      <c r="D39" t="s">
        <v>30</v>
      </c>
      <c r="E39" t="s">
        <v>414</v>
      </c>
      <c r="G39">
        <f>C38+1.4*((G38/2)/TAN(G37))</f>
        <v>52.905688224779105</v>
      </c>
    </row>
    <row r="40" spans="1:9" x14ac:dyDescent="0.3">
      <c r="A40" t="s">
        <v>414</v>
      </c>
      <c r="C40" s="2">
        <f>G39</f>
        <v>52.905688224779105</v>
      </c>
      <c r="E40" t="s">
        <v>471</v>
      </c>
      <c r="G40">
        <f>2.5-1-2*(SIN(RADIANS(20)))*0.7</f>
        <v>1.0211717993440639</v>
      </c>
    </row>
    <row r="41" spans="1:9" x14ac:dyDescent="0.3">
      <c r="C41" s="2"/>
      <c r="E41" t="s">
        <v>472</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20"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493</v>
      </c>
    </row>
    <row r="14" spans="1:4" x14ac:dyDescent="0.3">
      <c r="A14" t="s">
        <v>432</v>
      </c>
      <c r="B14" t="s">
        <v>433</v>
      </c>
      <c r="D14" t="s">
        <v>494</v>
      </c>
    </row>
    <row r="15" spans="1:4" x14ac:dyDescent="0.3">
      <c r="A15" t="s">
        <v>436</v>
      </c>
      <c r="B15" t="s">
        <v>437</v>
      </c>
      <c r="D15" t="s">
        <v>438</v>
      </c>
    </row>
    <row r="16" spans="1:4" x14ac:dyDescent="0.3">
      <c r="A16" t="s">
        <v>438</v>
      </c>
      <c r="B16" t="s">
        <v>439</v>
      </c>
      <c r="D16" t="s">
        <v>436</v>
      </c>
    </row>
    <row r="17" spans="1:4" x14ac:dyDescent="0.3">
      <c r="A17" t="s">
        <v>434</v>
      </c>
      <c r="B17" t="s">
        <v>435</v>
      </c>
      <c r="D17" t="s">
        <v>495</v>
      </c>
    </row>
    <row r="19" spans="1:4" x14ac:dyDescent="0.3">
      <c r="B19" t="s">
        <v>441</v>
      </c>
      <c r="C19" t="s">
        <v>442</v>
      </c>
      <c r="D19" t="s">
        <v>444</v>
      </c>
    </row>
    <row r="20" spans="1:4" x14ac:dyDescent="0.3">
      <c r="A20" t="s">
        <v>440</v>
      </c>
      <c r="B20" t="s">
        <v>496</v>
      </c>
    </row>
    <row r="21" spans="1:4" x14ac:dyDescent="0.3">
      <c r="A21" t="s">
        <v>443</v>
      </c>
      <c r="B21" t="s">
        <v>501</v>
      </c>
      <c r="C21" t="s">
        <v>459</v>
      </c>
    </row>
    <row r="22" spans="1:4" x14ac:dyDescent="0.3">
      <c r="A22" t="s">
        <v>445</v>
      </c>
      <c r="B22" t="s">
        <v>446</v>
      </c>
      <c r="D22" t="s">
        <v>459</v>
      </c>
    </row>
    <row r="23" spans="1:4" x14ac:dyDescent="0.3">
      <c r="A23" t="s">
        <v>448</v>
      </c>
      <c r="B23" t="s">
        <v>447</v>
      </c>
      <c r="C23">
        <v>1</v>
      </c>
      <c r="D23">
        <v>1</v>
      </c>
    </row>
    <row r="24" spans="1:4" x14ac:dyDescent="0.3">
      <c r="A24" t="s">
        <v>449</v>
      </c>
      <c r="B24" t="s">
        <v>450</v>
      </c>
    </row>
  </sheetData>
  <hyperlinks>
    <hyperlink ref="A8" r:id="rId1"/>
    <hyperlink ref="A4" r:id="rId2"/>
    <hyperlink ref="A11" r:id="rId3"/>
  </hyperlinks>
  <pageMargins left="0.7" right="0.7" top="0.78740157499999996" bottom="0.78740157499999996"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455</v>
      </c>
    </row>
    <row r="23" spans="5:6" x14ac:dyDescent="0.3">
      <c r="E23" t="s">
        <v>458</v>
      </c>
      <c r="F23" t="s">
        <v>434</v>
      </c>
    </row>
    <row r="24" spans="5:6" x14ac:dyDescent="0.3">
      <c r="E24" t="s">
        <v>433</v>
      </c>
      <c r="F24" t="s">
        <v>459</v>
      </c>
    </row>
    <row r="25" spans="5:6" x14ac:dyDescent="0.3">
      <c r="E25" t="s">
        <v>437</v>
      </c>
      <c r="F25" t="s">
        <v>457</v>
      </c>
    </row>
    <row r="26" spans="5:6" x14ac:dyDescent="0.3">
      <c r="E26" t="s">
        <v>435</v>
      </c>
      <c r="F26" t="s">
        <v>456</v>
      </c>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22"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8"/>
  <sheetViews>
    <sheetView topLeftCell="A282" zoomScale="85" zoomScaleNormal="85" workbookViewId="0">
      <selection activeCell="C287" sqref="C287"/>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419</v>
      </c>
      <c r="B3" s="27"/>
      <c r="C3" s="26"/>
      <c r="E3" s="9"/>
      <c r="H3" s="19"/>
      <c r="I3" s="31"/>
      <c r="J3" s="32"/>
      <c r="K3" s="29"/>
    </row>
    <row r="4" spans="1:15" ht="13.8" customHeight="1" x14ac:dyDescent="0.3">
      <c r="B4" s="27">
        <v>16</v>
      </c>
      <c r="C4" s="26" t="str">
        <f>C231</f>
        <v>Rillenkugellager 3x7x3</v>
      </c>
      <c r="D4" t="s">
        <v>373</v>
      </c>
      <c r="E4" s="9"/>
      <c r="H4" s="19"/>
      <c r="I4" s="31"/>
      <c r="J4" s="32"/>
      <c r="K4" s="29"/>
      <c r="L4" t="str">
        <f t="shared" ref="L4:L10" ca="1" si="0">INDIRECT(ADDRESS(MATCH(C4,C$143:C$268,0)+ROW($B$150)-1,12))</f>
        <v>Habs</v>
      </c>
    </row>
    <row r="5" spans="1:15" ht="13.8" customHeight="1" x14ac:dyDescent="0.3">
      <c r="B5" s="27">
        <v>126</v>
      </c>
      <c r="C5" s="26" t="str">
        <f>C169</f>
        <v>Silberstahlwelle 3mm Durchmesser</v>
      </c>
      <c r="D5" t="s">
        <v>423</v>
      </c>
      <c r="E5" s="9"/>
      <c r="H5" s="19"/>
      <c r="I5" s="31"/>
      <c r="J5" s="32"/>
      <c r="K5" s="29"/>
      <c r="L5" t="str">
        <f t="shared" ca="1" si="0"/>
        <v>Habs</v>
      </c>
    </row>
    <row r="6" spans="1:15" ht="13.8" customHeight="1" x14ac:dyDescent="0.3">
      <c r="B6" s="27">
        <v>6</v>
      </c>
      <c r="C6" s="26" t="str">
        <f>C145</f>
        <v>Zylinderkopfschraube Innensechskant M3 20mm</v>
      </c>
      <c r="D6" t="s">
        <v>421</v>
      </c>
      <c r="E6" s="9"/>
      <c r="H6" s="19"/>
      <c r="I6" s="31"/>
      <c r="J6" s="32"/>
      <c r="K6" s="29"/>
      <c r="L6" t="str">
        <f t="shared" ca="1" si="0"/>
        <v>Habs</v>
      </c>
    </row>
    <row r="7" spans="1:15" ht="13.8" customHeight="1" x14ac:dyDescent="0.3">
      <c r="B7" s="27">
        <v>1</v>
      </c>
      <c r="C7" s="26" t="str">
        <f>C173</f>
        <v>Distanzbolzen 2x Innen M3 20mm, Schlüsselweite 5,5mm</v>
      </c>
      <c r="D7" t="s">
        <v>422</v>
      </c>
      <c r="E7" s="9"/>
      <c r="H7" s="19"/>
      <c r="I7" s="31"/>
      <c r="J7" s="32"/>
      <c r="K7" s="29"/>
      <c r="L7" t="str">
        <f t="shared" ca="1" si="0"/>
        <v>Habs</v>
      </c>
    </row>
    <row r="8" spans="1:15" ht="13.8" customHeight="1" x14ac:dyDescent="0.3">
      <c r="B8" s="27">
        <v>2</v>
      </c>
      <c r="C8" s="26" t="str">
        <f>C173</f>
        <v>Distanzbolzen 2x Innen M3 20mm, Schlüsselweite 5,5mm</v>
      </c>
      <c r="D8" t="s">
        <v>422</v>
      </c>
      <c r="E8" s="9"/>
      <c r="H8" s="19"/>
      <c r="I8" s="31"/>
      <c r="J8" s="32"/>
      <c r="K8" s="29"/>
      <c r="L8" t="str">
        <f t="shared" ca="1" si="0"/>
        <v>Habs</v>
      </c>
    </row>
    <row r="9" spans="1:15" ht="13.8" customHeight="1" x14ac:dyDescent="0.3">
      <c r="B9" s="27">
        <v>4</v>
      </c>
      <c r="C9" s="26" t="str">
        <f>C145</f>
        <v>Zylinderkopfschraube Innensechskant M3 20mm</v>
      </c>
      <c r="D9" t="s">
        <v>422</v>
      </c>
      <c r="E9" s="9"/>
      <c r="H9" s="19"/>
      <c r="I9" s="31"/>
      <c r="J9" s="32"/>
      <c r="K9" s="29"/>
      <c r="L9" t="str">
        <f t="shared" ca="1" si="0"/>
        <v>Habs</v>
      </c>
    </row>
    <row r="10" spans="1:15" ht="13.8" customHeight="1" x14ac:dyDescent="0.3">
      <c r="B10" s="27">
        <v>2</v>
      </c>
      <c r="C10" s="26" t="str">
        <f>C145</f>
        <v>Zylinderkopfschraube Innensechskant M3 20mm</v>
      </c>
      <c r="D10" t="s">
        <v>424</v>
      </c>
      <c r="E10" s="9"/>
      <c r="H10" s="19"/>
      <c r="I10" s="31"/>
      <c r="J10" s="32"/>
      <c r="K10" s="29"/>
      <c r="L10" t="str">
        <f t="shared" ca="1" si="0"/>
        <v>Habs</v>
      </c>
    </row>
    <row r="11" spans="1:15" ht="13.8" customHeight="1" x14ac:dyDescent="0.3">
      <c r="B11" s="27">
        <v>2</v>
      </c>
      <c r="C11" s="26" t="str">
        <f>C157</f>
        <v>Muttern M3, Schlüsselweite 5.5 mm</v>
      </c>
      <c r="D11" t="s">
        <v>424</v>
      </c>
      <c r="E11" s="9"/>
      <c r="H11" s="19"/>
      <c r="I11" s="31"/>
      <c r="J11" s="32"/>
      <c r="K11" s="29"/>
    </row>
    <row r="12" spans="1:15" ht="13.8" customHeight="1" x14ac:dyDescent="0.3">
      <c r="B12" s="27">
        <v>1</v>
      </c>
      <c r="C12" s="26" t="str">
        <f>C229</f>
        <v xml:space="preserve">Herkulex Servo DRS - 0101 </v>
      </c>
      <c r="D12" t="s">
        <v>420</v>
      </c>
      <c r="E12" s="9"/>
      <c r="H12" s="19"/>
      <c r="I12" s="31"/>
      <c r="J12" s="32"/>
      <c r="K12" s="29"/>
      <c r="L12" t="str">
        <f ca="1">INDIRECT(ADDRESS(MATCH(C12,C$143:C$268,0)+ROW($B$150)-1,12))</f>
        <v>-</v>
      </c>
    </row>
    <row r="14" spans="1:15" ht="13.8" customHeight="1" x14ac:dyDescent="0.3">
      <c r="A14" t="s">
        <v>290</v>
      </c>
      <c r="B14" s="27"/>
      <c r="C14" s="26"/>
      <c r="E14" s="9"/>
      <c r="H14" s="19"/>
      <c r="I14" s="31"/>
      <c r="J14" s="32"/>
      <c r="K14" s="29"/>
    </row>
    <row r="15" spans="1:15" ht="13.8" customHeight="1" x14ac:dyDescent="0.3">
      <c r="B15" s="27">
        <v>1</v>
      </c>
      <c r="C15" s="26" t="str">
        <f>C242</f>
        <v>Rillenkugellager DIN 625 SKF - 61807 35x47x7mm</v>
      </c>
      <c r="D15" t="s">
        <v>453</v>
      </c>
      <c r="E15" s="9"/>
      <c r="H15" s="19"/>
      <c r="I15" s="31"/>
      <c r="J15" s="32"/>
      <c r="K15" s="29"/>
      <c r="L15">
        <f t="shared" ref="L15:L20" ca="1" si="1">INDIRECT(ADDRESS(MATCH(C15,C$143:C$268,0)+ROW($B$150)-1,12))</f>
        <v>0</v>
      </c>
    </row>
    <row r="16" spans="1:15" ht="13.8" customHeight="1" x14ac:dyDescent="0.3">
      <c r="B16" s="27">
        <v>4</v>
      </c>
      <c r="C16" s="26" t="str">
        <f>C151</f>
        <v>Zylinderkopfschraube Innensechskant M2 6mm</v>
      </c>
      <c r="D16" t="s">
        <v>109</v>
      </c>
      <c r="E16" s="9"/>
      <c r="H16" s="19"/>
      <c r="I16" s="31"/>
      <c r="J16" s="32"/>
      <c r="K16" s="29"/>
      <c r="L16" t="str">
        <f t="shared" ca="1" si="1"/>
        <v>Habs</v>
      </c>
    </row>
    <row r="17" spans="1:12" ht="13.8" customHeight="1" x14ac:dyDescent="0.3">
      <c r="B17" s="27">
        <v>4</v>
      </c>
      <c r="C17" s="26" t="str">
        <f>C152</f>
        <v>Zylinderkopfschraube Innensechskant M2 12mm</v>
      </c>
      <c r="D17" t="s">
        <v>111</v>
      </c>
      <c r="E17" s="9"/>
      <c r="H17" s="19"/>
      <c r="I17" s="31"/>
      <c r="J17" s="32"/>
      <c r="K17" s="29"/>
      <c r="L17">
        <f t="shared" ca="1" si="1"/>
        <v>0</v>
      </c>
    </row>
    <row r="18" spans="1:12" ht="13.8" customHeight="1" x14ac:dyDescent="0.3">
      <c r="B18" s="27">
        <v>1</v>
      </c>
      <c r="C18" s="26" t="str">
        <f>C241</f>
        <v>Rillenkugellager DIN 625 SKF - 61902 15x28x7mm</v>
      </c>
      <c r="D18" t="s">
        <v>451</v>
      </c>
      <c r="E18" s="9"/>
      <c r="H18" s="19"/>
      <c r="I18" s="31"/>
      <c r="J18" s="32"/>
      <c r="K18" s="29"/>
      <c r="L18">
        <f t="shared" ca="1" si="1"/>
        <v>0</v>
      </c>
    </row>
    <row r="19" spans="1:12" ht="13.8" customHeight="1" x14ac:dyDescent="0.3">
      <c r="B19" s="27">
        <v>1</v>
      </c>
      <c r="C19" s="26" t="str">
        <f>C243</f>
        <v>Rillenkugellager DIN 625 SKF - 61807 35x44x5mm</v>
      </c>
      <c r="D19" t="s">
        <v>452</v>
      </c>
      <c r="E19" s="9"/>
      <c r="H19" s="19"/>
      <c r="I19" s="31"/>
      <c r="J19" s="32"/>
      <c r="K19" s="29"/>
      <c r="L19" t="str">
        <f t="shared" ca="1" si="1"/>
        <v>Habs</v>
      </c>
    </row>
    <row r="20" spans="1:12" ht="13.8" customHeight="1" x14ac:dyDescent="0.3">
      <c r="B20" s="27">
        <v>1</v>
      </c>
      <c r="C20" s="26" t="str">
        <f>C229</f>
        <v xml:space="preserve">Herkulex Servo DRS - 0101 </v>
      </c>
      <c r="D20" t="s">
        <v>425</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C180</f>
        <v>Zahnriemenscheibe T2,5, 16 Zähne (d=12,73)</v>
      </c>
      <c r="D23" t="s">
        <v>400</v>
      </c>
      <c r="E23" s="9"/>
      <c r="H23" s="19"/>
      <c r="I23" s="31"/>
      <c r="J23" s="32"/>
      <c r="K23" s="29"/>
      <c r="L23" t="str">
        <f t="shared" ref="L23:L36" ca="1" si="2">INDIRECT(ADDRESS(MATCH(C23,C$143:C$268,0)+ROW($B$150)-1,12))</f>
        <v>Habs</v>
      </c>
    </row>
    <row r="24" spans="1:12" ht="13.8" customHeight="1" x14ac:dyDescent="0.3">
      <c r="B24" s="27">
        <v>1</v>
      </c>
      <c r="C24" s="26" t="str">
        <f>C208</f>
        <v>Zahnriemen T2,5 250mm 6mm Breite</v>
      </c>
      <c r="D24" t="s">
        <v>426</v>
      </c>
      <c r="E24" s="9"/>
      <c r="H24" s="19"/>
      <c r="I24" s="31"/>
      <c r="J24" s="32"/>
      <c r="K24" s="29"/>
      <c r="L24" t="str">
        <f t="shared" ca="1" si="2"/>
        <v>Habs</v>
      </c>
    </row>
    <row r="25" spans="1:12" ht="13.8" customHeight="1" x14ac:dyDescent="0.3">
      <c r="B25" s="27">
        <v>1</v>
      </c>
      <c r="C25" s="26" t="str">
        <f>C224</f>
        <v>NEMA 17 - 42x42x34 - 0,26Nm - 5mm Achse - 0.4A 12V - 17HS13-404s</v>
      </c>
      <c r="D25" t="s">
        <v>427</v>
      </c>
      <c r="E25" s="9"/>
      <c r="H25" s="19"/>
      <c r="I25" s="31"/>
      <c r="J25" s="32"/>
      <c r="K25" s="29"/>
      <c r="L25" t="str">
        <f t="shared" ca="1" si="2"/>
        <v>Habs</v>
      </c>
    </row>
    <row r="26" spans="1:12" ht="13.8" customHeight="1" x14ac:dyDescent="0.3">
      <c r="B26" s="27">
        <v>2</v>
      </c>
      <c r="C26" s="26" t="str">
        <f>C145</f>
        <v>Zylinderkopfschraube Innensechskant M3 20mm</v>
      </c>
      <c r="D26" t="s">
        <v>121</v>
      </c>
      <c r="E26" s="9"/>
      <c r="H26" s="19"/>
      <c r="I26" s="31"/>
      <c r="J26" s="32"/>
      <c r="K26" s="29"/>
      <c r="L26" t="str">
        <f t="shared" ca="1" si="2"/>
        <v>Habs</v>
      </c>
    </row>
    <row r="27" spans="1:12" ht="13.8" customHeight="1" x14ac:dyDescent="0.3">
      <c r="B27" s="27">
        <v>1</v>
      </c>
      <c r="C27" s="26" t="str">
        <f>C145</f>
        <v>Zylinderkopfschraube Innensechskant M3 20mm</v>
      </c>
      <c r="D27" t="s">
        <v>123</v>
      </c>
      <c r="E27" s="9"/>
      <c r="H27" s="19"/>
      <c r="I27" s="31"/>
      <c r="J27" s="32"/>
      <c r="K27" s="29"/>
      <c r="L27" t="str">
        <f t="shared" ca="1" si="2"/>
        <v>Habs</v>
      </c>
    </row>
    <row r="28" spans="1:12" ht="13.8" customHeight="1" x14ac:dyDescent="0.3">
      <c r="B28" s="27">
        <v>2</v>
      </c>
      <c r="C28" s="26" t="str">
        <f>C234</f>
        <v>Rillenkugellager 3x10x4</v>
      </c>
      <c r="D28" t="s">
        <v>133</v>
      </c>
      <c r="E28" s="9"/>
      <c r="H28" s="19"/>
      <c r="I28" s="31"/>
      <c r="J28" s="32"/>
      <c r="K28" s="29"/>
      <c r="L28" t="str">
        <f t="shared" ca="1" si="2"/>
        <v>Habs</v>
      </c>
    </row>
    <row r="29" spans="1:12" ht="13.8" customHeight="1" x14ac:dyDescent="0.3">
      <c r="B29" s="27">
        <v>1</v>
      </c>
      <c r="C29" s="26" t="str">
        <f>C156</f>
        <v>Vierkant Mutter M3 Breite 5.5mm</v>
      </c>
      <c r="D29" t="s">
        <v>428</v>
      </c>
      <c r="E29" s="9"/>
      <c r="H29" s="19"/>
      <c r="I29" s="31"/>
      <c r="J29" s="32"/>
      <c r="K29" s="29"/>
      <c r="L29" t="str">
        <f t="shared" ca="1" si="2"/>
        <v>Habs</v>
      </c>
    </row>
    <row r="30" spans="1:12" ht="13.8" customHeight="1" x14ac:dyDescent="0.3">
      <c r="B30" s="27">
        <v>4</v>
      </c>
      <c r="C30" s="26" t="str">
        <f>C151</f>
        <v>Zylinderkopfschraube Innensechskant M2 6mm</v>
      </c>
      <c r="D30" t="s">
        <v>126</v>
      </c>
      <c r="E30" s="9"/>
      <c r="H30" s="19"/>
      <c r="I30" s="31"/>
      <c r="J30" s="32"/>
      <c r="K30" s="29"/>
      <c r="L30" t="str">
        <f t="shared" ca="1" si="2"/>
        <v>Habs</v>
      </c>
    </row>
    <row r="31" spans="1:12" ht="13.8" customHeight="1" x14ac:dyDescent="0.3">
      <c r="B31" s="27">
        <v>1</v>
      </c>
      <c r="C31" s="26" t="str">
        <f>C228</f>
        <v>Rotary Sensor</v>
      </c>
      <c r="D31" t="s">
        <v>429</v>
      </c>
      <c r="E31" s="9"/>
      <c r="H31" s="19"/>
      <c r="I31" s="31"/>
      <c r="J31" s="32"/>
      <c r="K31" s="29"/>
      <c r="L31" t="str">
        <f t="shared" ca="1" si="2"/>
        <v>Habs</v>
      </c>
    </row>
    <row r="32" spans="1:12" ht="13.8" customHeight="1" x14ac:dyDescent="0.3">
      <c r="B32" s="27">
        <v>3</v>
      </c>
      <c r="C32" s="26" t="str">
        <f>C173</f>
        <v>Distanzbolzen 2x Innen M3 20mm, Schlüsselweite 5,5mm</v>
      </c>
      <c r="D32" t="s">
        <v>430</v>
      </c>
      <c r="E32" s="9"/>
      <c r="H32" s="19"/>
      <c r="I32" s="31"/>
      <c r="J32" s="32"/>
      <c r="K32" s="29"/>
      <c r="L32" t="str">
        <f t="shared" ca="1" si="2"/>
        <v>Habs</v>
      </c>
    </row>
    <row r="33" spans="1:12" ht="13.8" customHeight="1" x14ac:dyDescent="0.3">
      <c r="B33" s="27">
        <v>4</v>
      </c>
      <c r="C33" s="26" t="str">
        <f>C147</f>
        <v>Zylinderkopfschraube Innensechskant M3 30mm</v>
      </c>
      <c r="D33" t="s">
        <v>430</v>
      </c>
      <c r="E33" s="9"/>
      <c r="H33" s="19"/>
      <c r="I33" s="31"/>
      <c r="J33" s="32"/>
      <c r="K33" s="29"/>
      <c r="L33" t="str">
        <f t="shared" ca="1" si="2"/>
        <v>Habs</v>
      </c>
    </row>
    <row r="34" spans="1:12" ht="13.8" customHeight="1" x14ac:dyDescent="0.3">
      <c r="B34" s="27">
        <v>2</v>
      </c>
      <c r="C34" s="26" t="str">
        <f>C145</f>
        <v>Zylinderkopfschraube Innensechskant M3 20mm</v>
      </c>
      <c r="D34" t="s">
        <v>430</v>
      </c>
      <c r="E34" s="9"/>
      <c r="H34" s="19"/>
      <c r="I34" s="31"/>
      <c r="J34" s="32"/>
      <c r="K34" s="29"/>
      <c r="L34" t="str">
        <f t="shared" ca="1" si="2"/>
        <v>Habs</v>
      </c>
    </row>
    <row r="35" spans="1:12" ht="13.8" customHeight="1" x14ac:dyDescent="0.3">
      <c r="B35" s="27">
        <v>3</v>
      </c>
      <c r="C35" s="26" t="str">
        <f>C173</f>
        <v>Distanzbolzen 2x Innen M3 20mm, Schlüsselweite 5,5mm</v>
      </c>
      <c r="D35" t="s">
        <v>431</v>
      </c>
      <c r="E35" s="9"/>
      <c r="H35" s="19"/>
      <c r="I35" s="31"/>
      <c r="J35" s="32"/>
      <c r="K35" s="29"/>
      <c r="L35" t="str">
        <f t="shared" ca="1" si="2"/>
        <v>Habs</v>
      </c>
    </row>
    <row r="36" spans="1:12" ht="13.8" customHeight="1" x14ac:dyDescent="0.3">
      <c r="B36" s="27">
        <v>6</v>
      </c>
      <c r="C36" s="26" t="str">
        <f>C145</f>
        <v>Zylinderkopfschraube Innensechskant M3 20mm</v>
      </c>
      <c r="D36" t="s">
        <v>431</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C242</f>
        <v>Rillenkugellager DIN 625 SKF - 61807 35x47x7mm</v>
      </c>
      <c r="D38" t="s">
        <v>140</v>
      </c>
      <c r="E38" s="9"/>
      <c r="H38" s="19"/>
      <c r="I38" s="31"/>
      <c r="J38" s="32"/>
      <c r="K38" s="29"/>
      <c r="L38">
        <f t="shared" ref="L38:L53" ca="1" si="3">INDIRECT(ADDRESS(MATCH(C38,C$143:C$268,0)+ROW($B$150)-1,12))</f>
        <v>0</v>
      </c>
    </row>
    <row r="39" spans="1:12" ht="13.8" customHeight="1" x14ac:dyDescent="0.3">
      <c r="B39" s="27">
        <v>2</v>
      </c>
      <c r="C39" s="26" t="str">
        <f>C240</f>
        <v>RillenKugellager 6x19x6</v>
      </c>
      <c r="D39" t="s">
        <v>143</v>
      </c>
      <c r="E39" s="9"/>
      <c r="H39" s="19"/>
      <c r="I39" s="31"/>
      <c r="J39" s="32"/>
      <c r="K39" s="29"/>
      <c r="L39" t="str">
        <f t="shared" ca="1" si="3"/>
        <v>Habs</v>
      </c>
    </row>
    <row r="40" spans="1:12" ht="13.8" customHeight="1" x14ac:dyDescent="0.3">
      <c r="B40" s="27">
        <v>4</v>
      </c>
      <c r="C40" s="26" t="str">
        <f>C234</f>
        <v>Rillenkugellager 3x10x4</v>
      </c>
      <c r="D40" t="s">
        <v>144</v>
      </c>
      <c r="E40" s="9"/>
      <c r="H40" s="19"/>
      <c r="I40" s="31"/>
      <c r="J40" s="32"/>
      <c r="K40" s="29"/>
      <c r="L40" t="str">
        <f t="shared" ca="1" si="3"/>
        <v>Habs</v>
      </c>
    </row>
    <row r="41" spans="1:12" ht="13.8" customHeight="1" x14ac:dyDescent="0.3">
      <c r="B41" s="27">
        <v>40</v>
      </c>
      <c r="C41" s="26" t="str">
        <f>C168</f>
        <v>Silberstahlwelle 6mm Durchmesser</v>
      </c>
      <c r="D41" t="s">
        <v>148</v>
      </c>
      <c r="E41" s="9"/>
      <c r="H41" s="19"/>
      <c r="I41" s="31"/>
      <c r="J41" s="32"/>
      <c r="K41" s="29"/>
      <c r="L41" t="str">
        <f t="shared" ca="1" si="3"/>
        <v>Habs</v>
      </c>
    </row>
    <row r="42" spans="1:12" ht="13.8" customHeight="1" x14ac:dyDescent="0.3">
      <c r="B42" s="27">
        <f>2*21</f>
        <v>42</v>
      </c>
      <c r="C42" s="26" t="str">
        <f>C169</f>
        <v>Silberstahlwelle 3mm Durchmesser</v>
      </c>
      <c r="D42" t="s">
        <v>249</v>
      </c>
      <c r="E42" s="9"/>
      <c r="H42" s="19"/>
      <c r="I42" s="31"/>
      <c r="J42" s="32"/>
      <c r="K42" s="29"/>
      <c r="L42" t="str">
        <f t="shared" ca="1" si="3"/>
        <v>Habs</v>
      </c>
    </row>
    <row r="43" spans="1:12" ht="13.8" customHeight="1" x14ac:dyDescent="0.3">
      <c r="B43" s="27">
        <v>1</v>
      </c>
      <c r="C43" s="26" t="str">
        <f>C253</f>
        <v>Metallbohrer 6mm</v>
      </c>
      <c r="D43" t="s">
        <v>115</v>
      </c>
      <c r="E43" s="9"/>
      <c r="H43" s="19"/>
      <c r="I43" s="31"/>
      <c r="J43" s="32"/>
      <c r="K43" s="29"/>
      <c r="L43">
        <f t="shared" ca="1" si="3"/>
        <v>0</v>
      </c>
    </row>
    <row r="44" spans="1:12" ht="13.8" customHeight="1" x14ac:dyDescent="0.3">
      <c r="B44" s="27">
        <v>1</v>
      </c>
      <c r="C44" s="26" t="str">
        <f>C251</f>
        <v>Gewindeschneider M3</v>
      </c>
      <c r="D44" t="s">
        <v>115</v>
      </c>
      <c r="E44" s="9"/>
      <c r="H44" s="19"/>
      <c r="I44" s="31"/>
      <c r="J44" s="32"/>
      <c r="K44" s="29"/>
      <c r="L44" t="str">
        <f t="shared" ca="1" si="3"/>
        <v>Habs</v>
      </c>
    </row>
    <row r="45" spans="1:12" ht="13.8" customHeight="1" x14ac:dyDescent="0.3">
      <c r="B45" s="27">
        <v>1</v>
      </c>
      <c r="C45" s="26" t="str">
        <f>C255</f>
        <v>Metallbohrer 2.5mm (als M3 Kernlochborer)</v>
      </c>
      <c r="D45" t="s">
        <v>115</v>
      </c>
      <c r="E45" s="9"/>
      <c r="H45" s="19"/>
      <c r="I45" s="31"/>
      <c r="J45" s="32"/>
      <c r="K45" s="29"/>
      <c r="L45" t="str">
        <f t="shared" ca="1" si="3"/>
        <v>Habs</v>
      </c>
    </row>
    <row r="46" spans="1:12" ht="13.8" customHeight="1" x14ac:dyDescent="0.3">
      <c r="B46" s="27">
        <v>3</v>
      </c>
      <c r="C46" s="26" t="str">
        <f>C145</f>
        <v>Zylinderkopfschraube Innensechskant M3 20mm</v>
      </c>
      <c r="D46" t="s">
        <v>331</v>
      </c>
      <c r="E46" s="9"/>
      <c r="H46" s="19"/>
      <c r="I46" s="31"/>
      <c r="J46" s="32"/>
      <c r="K46" s="29"/>
      <c r="L46" t="str">
        <f t="shared" ca="1" si="3"/>
        <v>Habs</v>
      </c>
    </row>
    <row r="47" spans="1:12" ht="13.8" customHeight="1" x14ac:dyDescent="0.3">
      <c r="B47" s="27">
        <v>6</v>
      </c>
      <c r="C47" s="26" t="str">
        <f>C146</f>
        <v>Zylinderkopfschraube Innensechskant M3 25mm</v>
      </c>
      <c r="D47" t="s">
        <v>332</v>
      </c>
      <c r="E47" s="9"/>
      <c r="H47" s="19"/>
      <c r="I47" s="31"/>
      <c r="J47" s="32"/>
      <c r="K47" s="29"/>
      <c r="L47">
        <f t="shared" ca="1" si="3"/>
        <v>0</v>
      </c>
    </row>
    <row r="48" spans="1:12" ht="13.8" customHeight="1" x14ac:dyDescent="0.3">
      <c r="B48" s="27">
        <v>4</v>
      </c>
      <c r="C48" s="26" t="str">
        <f>C173</f>
        <v>Distanzbolzen 2x Innen M3 20mm, Schlüsselweite 5,5mm</v>
      </c>
      <c r="D48" t="s">
        <v>332</v>
      </c>
      <c r="E48" s="9"/>
      <c r="H48" s="19"/>
      <c r="I48" s="31"/>
      <c r="J48" s="32"/>
      <c r="K48" s="29"/>
      <c r="L48" t="str">
        <f t="shared" ca="1" si="3"/>
        <v>Habs</v>
      </c>
    </row>
    <row r="49" spans="1:12" ht="13.8" customHeight="1" x14ac:dyDescent="0.3">
      <c r="B49" s="27">
        <v>1</v>
      </c>
      <c r="C49" s="26" t="str">
        <f>C223</f>
        <v>NEMA 17 - 42x42x21 - 0,73Nm - 5mm Achse - 1.2A</v>
      </c>
      <c r="D49" t="s">
        <v>120</v>
      </c>
      <c r="E49" s="9"/>
      <c r="H49" s="19"/>
      <c r="I49" s="31"/>
      <c r="J49" s="32"/>
      <c r="K49" s="29"/>
      <c r="L49">
        <f t="shared" ca="1" si="3"/>
        <v>0</v>
      </c>
    </row>
    <row r="50" spans="1:12" ht="13.8" customHeight="1" x14ac:dyDescent="0.3">
      <c r="B50" s="27">
        <v>1</v>
      </c>
      <c r="C50" s="26" t="str">
        <f>C228</f>
        <v>Rotary Sensor</v>
      </c>
      <c r="D50" t="s">
        <v>129</v>
      </c>
      <c r="E50" s="9"/>
      <c r="H50" s="19"/>
      <c r="I50" s="31"/>
      <c r="J50" s="32"/>
      <c r="K50" s="29"/>
      <c r="L50" t="str">
        <f t="shared" ca="1" si="3"/>
        <v>Habs</v>
      </c>
    </row>
    <row r="51" spans="1:12" ht="13.8" customHeight="1" x14ac:dyDescent="0.3">
      <c r="B51" s="27">
        <v>1</v>
      </c>
      <c r="C51" s="26" t="str">
        <f>C202</f>
        <v>Zahnriemen T2,5 145mm 6mm Breite</v>
      </c>
      <c r="D51" t="s">
        <v>335</v>
      </c>
      <c r="E51" s="9"/>
      <c r="H51" s="19"/>
      <c r="I51" s="31"/>
      <c r="J51" s="32"/>
      <c r="K51" s="29"/>
      <c r="L51" t="str">
        <f t="shared" ca="1" si="3"/>
        <v>Habs</v>
      </c>
    </row>
    <row r="52" spans="1:12" ht="13.8" customHeight="1" x14ac:dyDescent="0.3">
      <c r="B52" s="27">
        <v>1</v>
      </c>
      <c r="C52" s="26" t="str">
        <f>C201</f>
        <v>Zahnriemen T2,5 120mm 6mm Breite</v>
      </c>
      <c r="D52" t="s">
        <v>369</v>
      </c>
      <c r="E52" s="9"/>
      <c r="H52" s="19"/>
      <c r="I52" s="31"/>
      <c r="J52" s="32"/>
      <c r="K52" s="29"/>
      <c r="L52" t="str">
        <f t="shared" ca="1" si="3"/>
        <v>Habs</v>
      </c>
    </row>
    <row r="53" spans="1:12" ht="13.8" customHeight="1" x14ac:dyDescent="0.3">
      <c r="B53" s="27">
        <v>1</v>
      </c>
      <c r="C53" s="26" t="str">
        <f>C179</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C151</f>
        <v>Zylinderkopfschraube Innensechskant M2 6mm</v>
      </c>
      <c r="D55" t="s">
        <v>126</v>
      </c>
      <c r="E55" s="9"/>
      <c r="H55" s="19"/>
      <c r="I55" s="31"/>
      <c r="J55" s="32"/>
      <c r="K55" s="29"/>
      <c r="L55" t="str">
        <f t="shared" ref="L55:L87" ca="1" si="4">INDIRECT(ADDRESS(MATCH(C55,C$143:C$268,0)+ROW($B$150)-1,12))</f>
        <v>Habs</v>
      </c>
    </row>
    <row r="56" spans="1:12" ht="13.8" customHeight="1" x14ac:dyDescent="0.3">
      <c r="B56" s="27">
        <v>1</v>
      </c>
      <c r="C56" s="26" t="str">
        <f>C228</f>
        <v>Rotary Sensor</v>
      </c>
      <c r="D56" t="s">
        <v>129</v>
      </c>
      <c r="E56" s="9"/>
      <c r="H56" s="19"/>
      <c r="I56" s="31"/>
      <c r="J56" s="32"/>
      <c r="K56" s="29"/>
      <c r="L56" t="str">
        <f t="shared" ca="1" si="4"/>
        <v>Habs</v>
      </c>
    </row>
    <row r="57" spans="1:12" ht="13.8" customHeight="1" x14ac:dyDescent="0.3">
      <c r="B57" s="27">
        <v>2</v>
      </c>
      <c r="C57" s="26" t="str">
        <f>C163</f>
        <v>Unterlegscheiben M2 Dicke 0,5mm</v>
      </c>
      <c r="D57" t="s">
        <v>130</v>
      </c>
      <c r="E57" s="9"/>
      <c r="H57" s="19"/>
      <c r="I57" s="31"/>
      <c r="J57" s="32"/>
      <c r="K57" s="29"/>
      <c r="L57" t="str">
        <f t="shared" ca="1" si="4"/>
        <v>Habs</v>
      </c>
    </row>
    <row r="58" spans="1:12" ht="13.8" customHeight="1" x14ac:dyDescent="0.3">
      <c r="B58" s="27">
        <v>2</v>
      </c>
      <c r="C58" s="26" t="str">
        <f>C242</f>
        <v>Rillenkugellager DIN 625 SKF - 61807 35x47x7mm</v>
      </c>
      <c r="D58" t="s">
        <v>157</v>
      </c>
      <c r="E58" s="9"/>
      <c r="H58" s="19"/>
      <c r="I58" s="31"/>
      <c r="J58" s="32"/>
      <c r="K58" s="29"/>
      <c r="L58">
        <f t="shared" ca="1" si="4"/>
        <v>0</v>
      </c>
    </row>
    <row r="59" spans="1:12" ht="13.8" customHeight="1" x14ac:dyDescent="0.3">
      <c r="B59" s="27">
        <v>4</v>
      </c>
      <c r="C59" s="26" t="str">
        <f>C154</f>
        <v>Senkkopfschraube Innensechskant M3 10mm</v>
      </c>
      <c r="D59" t="s">
        <v>158</v>
      </c>
      <c r="E59" s="9"/>
      <c r="H59" s="19"/>
      <c r="I59" s="31"/>
      <c r="J59" s="32"/>
      <c r="K59" s="29"/>
      <c r="L59" t="str">
        <f t="shared" ca="1" si="4"/>
        <v>Habs</v>
      </c>
    </row>
    <row r="60" spans="1:12" ht="13.8" customHeight="1" x14ac:dyDescent="0.3">
      <c r="B60" s="27">
        <v>4</v>
      </c>
      <c r="C60" s="26" t="str">
        <f>C154</f>
        <v>Senkkopfschraube Innensechskant M3 10mm</v>
      </c>
      <c r="D60" t="s">
        <v>160</v>
      </c>
      <c r="E60" s="9"/>
      <c r="H60" s="19"/>
      <c r="I60" s="31"/>
      <c r="J60" s="32"/>
      <c r="K60" s="29"/>
      <c r="L60" t="str">
        <f t="shared" ca="1" si="4"/>
        <v>Habs</v>
      </c>
    </row>
    <row r="61" spans="1:12" ht="13.8" customHeight="1" x14ac:dyDescent="0.3">
      <c r="B61" s="27">
        <v>4</v>
      </c>
      <c r="C61" s="26" t="str">
        <f>C149</f>
        <v>Zylinderkopfschraube Innensechskant M3 40mm</v>
      </c>
      <c r="D61" t="s">
        <v>164</v>
      </c>
      <c r="E61" s="9"/>
      <c r="H61" s="19"/>
      <c r="I61" s="31"/>
      <c r="J61" s="32"/>
      <c r="K61" s="29"/>
      <c r="L61" t="str">
        <f t="shared" ca="1" si="4"/>
        <v>Habs</v>
      </c>
    </row>
    <row r="62" spans="1:12" ht="13.8" customHeight="1" x14ac:dyDescent="0.3">
      <c r="B62" s="27">
        <v>4</v>
      </c>
      <c r="C62" s="26" t="str">
        <f>C147</f>
        <v>Zylinderkopfschraube Innensechskant M3 30mm</v>
      </c>
      <c r="D62" t="s">
        <v>165</v>
      </c>
      <c r="E62" s="9"/>
      <c r="H62" s="19"/>
      <c r="I62" s="31"/>
      <c r="J62" s="32"/>
      <c r="K62" s="29"/>
      <c r="L62" t="str">
        <f t="shared" ca="1" si="4"/>
        <v>Habs</v>
      </c>
    </row>
    <row r="63" spans="1:12" ht="13.8" customHeight="1" x14ac:dyDescent="0.3">
      <c r="B63" s="27">
        <v>8</v>
      </c>
      <c r="C63" s="26" t="str">
        <f>C157</f>
        <v>Muttern M3, Schlüsselweite 5.5 mm</v>
      </c>
      <c r="D63" t="s">
        <v>165</v>
      </c>
      <c r="E63" s="9"/>
      <c r="H63" s="19"/>
      <c r="I63" s="31"/>
      <c r="J63" s="32"/>
      <c r="K63" s="29"/>
      <c r="L63" t="str">
        <f t="shared" ca="1" si="4"/>
        <v>-</v>
      </c>
    </row>
    <row r="64" spans="1:12" ht="13.8" customHeight="1" x14ac:dyDescent="0.3">
      <c r="B64" s="27">
        <v>4</v>
      </c>
      <c r="C64" s="26" t="str">
        <f>C150</f>
        <v>Zylinderkopfschraube Innensechskant M3 45mm</v>
      </c>
      <c r="D64" t="s">
        <v>166</v>
      </c>
      <c r="E64" s="9"/>
      <c r="H64" s="19"/>
      <c r="I64" s="31"/>
      <c r="J64" s="32"/>
      <c r="K64" s="29"/>
      <c r="L64" t="str">
        <f t="shared" ca="1" si="4"/>
        <v>Habs</v>
      </c>
    </row>
    <row r="65" spans="2:12" ht="13.8" customHeight="1" x14ac:dyDescent="0.3">
      <c r="B65" s="27">
        <v>8</v>
      </c>
      <c r="C65" s="26" t="str">
        <f>C237</f>
        <v>Rillenkugellager  4 x13 x 5 mm mit Flansch</v>
      </c>
      <c r="D65" t="s">
        <v>166</v>
      </c>
      <c r="E65" s="9"/>
      <c r="H65" s="19"/>
      <c r="I65" s="31"/>
      <c r="J65" s="32"/>
      <c r="K65" s="29"/>
      <c r="L65" t="str">
        <f t="shared" ca="1" si="4"/>
        <v>Habs</v>
      </c>
    </row>
    <row r="66" spans="2:12" ht="13.8" customHeight="1" x14ac:dyDescent="0.3">
      <c r="B66" s="27">
        <v>4</v>
      </c>
      <c r="C66" s="26" t="str">
        <f>C238</f>
        <v xml:space="preserve">Rillenkugellager  4 x13 x 5 mm </v>
      </c>
      <c r="D66" t="s">
        <v>166</v>
      </c>
      <c r="E66" s="9"/>
      <c r="H66" s="19"/>
      <c r="I66" s="31"/>
      <c r="J66" s="32"/>
      <c r="K66" s="29"/>
      <c r="L66" t="str">
        <f t="shared" ca="1" si="4"/>
        <v>Habs</v>
      </c>
    </row>
    <row r="67" spans="2:12" ht="13.8" customHeight="1" x14ac:dyDescent="0.3">
      <c r="B67" s="27">
        <v>40</v>
      </c>
      <c r="C67" s="26" t="str">
        <f>C171</f>
        <v>Rohr 4mmx3.1mm (=M3)</v>
      </c>
      <c r="D67" t="s">
        <v>166</v>
      </c>
      <c r="E67" s="9"/>
      <c r="H67" s="19"/>
      <c r="I67" s="31"/>
      <c r="J67" s="32"/>
      <c r="K67" s="29"/>
      <c r="L67" t="str">
        <f t="shared" ca="1" si="4"/>
        <v>-</v>
      </c>
    </row>
    <row r="68" spans="2:12" ht="13.8" customHeight="1" x14ac:dyDescent="0.3">
      <c r="B68" s="27">
        <v>1</v>
      </c>
      <c r="C68" s="26" t="str">
        <f>C160</f>
        <v>Madenschraube M3 16mm</v>
      </c>
      <c r="D68" t="s">
        <v>166</v>
      </c>
      <c r="E68" s="9"/>
      <c r="H68" s="19"/>
      <c r="I68" s="31"/>
      <c r="J68" s="32"/>
      <c r="K68" s="29"/>
      <c r="L68" t="str">
        <f t="shared" ca="1" si="4"/>
        <v>Habs</v>
      </c>
    </row>
    <row r="69" spans="2:12" ht="13.8" customHeight="1" x14ac:dyDescent="0.3">
      <c r="B69" s="27">
        <v>72</v>
      </c>
      <c r="C69" s="26" t="str">
        <f>C170</f>
        <v>Silberstahlwelle 8mm Durchmesser</v>
      </c>
      <c r="D69" t="s">
        <v>171</v>
      </c>
      <c r="E69" s="9"/>
      <c r="H69" s="19"/>
      <c r="I69" s="31"/>
      <c r="J69" s="32"/>
      <c r="K69" s="29"/>
      <c r="L69">
        <f t="shared" ca="1" si="4"/>
        <v>0</v>
      </c>
    </row>
    <row r="70" spans="2:12" ht="13.8" customHeight="1" x14ac:dyDescent="0.3">
      <c r="B70" s="27">
        <v>2</v>
      </c>
      <c r="C70" s="26" t="str">
        <f>C161</f>
        <v>Madenschraube M3 5mm</v>
      </c>
      <c r="D70" t="s">
        <v>171</v>
      </c>
      <c r="E70" s="9"/>
      <c r="H70" s="19"/>
      <c r="I70" s="31"/>
      <c r="J70" s="32"/>
      <c r="K70" s="29"/>
      <c r="L70" t="str">
        <f t="shared" ca="1" si="4"/>
        <v>Habs</v>
      </c>
    </row>
    <row r="71" spans="2:12" ht="13.8" customHeight="1" x14ac:dyDescent="0.3">
      <c r="B71" s="27">
        <v>2</v>
      </c>
      <c r="C71" s="26" t="str">
        <f>C244</f>
        <v>Rillenkugellager 8x22x7</v>
      </c>
      <c r="D71" t="s">
        <v>171</v>
      </c>
      <c r="E71" s="9"/>
      <c r="H71" s="19"/>
      <c r="I71" s="31"/>
      <c r="J71" s="32"/>
      <c r="K71" s="29"/>
      <c r="L71" t="str">
        <f t="shared" ca="1" si="4"/>
        <v>Habs</v>
      </c>
    </row>
    <row r="72" spans="2:12" ht="13.8" customHeight="1" x14ac:dyDescent="0.3">
      <c r="B72" s="27">
        <v>4</v>
      </c>
      <c r="C72" s="26" t="str">
        <f>C150</f>
        <v>Zylinderkopfschraube Innensechskant M3 45mm</v>
      </c>
      <c r="D72" t="s">
        <v>181</v>
      </c>
      <c r="E72" s="9"/>
      <c r="H72" s="19"/>
      <c r="I72" s="31"/>
      <c r="J72" s="32"/>
      <c r="K72" s="29"/>
      <c r="L72" t="str">
        <f t="shared" ca="1" si="4"/>
        <v>Habs</v>
      </c>
    </row>
    <row r="73" spans="2:12" ht="13.8" customHeight="1" x14ac:dyDescent="0.3">
      <c r="B73" s="27">
        <v>4</v>
      </c>
      <c r="C73" s="26" t="str">
        <f>C156</f>
        <v>Vierkant Mutter M3 Breite 5.5mm</v>
      </c>
      <c r="D73" t="s">
        <v>181</v>
      </c>
      <c r="E73" s="9"/>
      <c r="H73" s="19"/>
      <c r="I73" s="31"/>
      <c r="J73" s="32"/>
      <c r="K73" s="29"/>
      <c r="L73" t="str">
        <f t="shared" ca="1" si="4"/>
        <v>Habs</v>
      </c>
    </row>
    <row r="74" spans="2:12" ht="13.8" customHeight="1" x14ac:dyDescent="0.3">
      <c r="B74" s="27">
        <v>1</v>
      </c>
      <c r="C74" s="26" t="str">
        <f>C150</f>
        <v>Zylinderkopfschraube Innensechskant M3 45mm</v>
      </c>
      <c r="D74" t="s">
        <v>180</v>
      </c>
      <c r="E74" s="9"/>
      <c r="H74" s="19"/>
      <c r="I74" s="31"/>
      <c r="J74" s="32"/>
      <c r="K74" s="29"/>
      <c r="L74" t="str">
        <f t="shared" ca="1" si="4"/>
        <v>Habs</v>
      </c>
    </row>
    <row r="75" spans="2:12" ht="13.8" customHeight="1" x14ac:dyDescent="0.3">
      <c r="B75" s="27">
        <v>1</v>
      </c>
      <c r="C75" s="26" t="str">
        <f>C156</f>
        <v>Vierkant Mutter M3 Breite 5.5mm</v>
      </c>
      <c r="D75" t="s">
        <v>180</v>
      </c>
      <c r="E75" s="9"/>
      <c r="H75" s="19"/>
      <c r="I75" s="31"/>
      <c r="J75" s="32"/>
      <c r="K75" s="29"/>
      <c r="L75" t="str">
        <f t="shared" ca="1" si="4"/>
        <v>Habs</v>
      </c>
    </row>
    <row r="76" spans="2:12" ht="13.8" customHeight="1" x14ac:dyDescent="0.3">
      <c r="B76" s="27">
        <v>2</v>
      </c>
      <c r="C76" s="26" t="str">
        <f>C238</f>
        <v xml:space="preserve">Rillenkugellager  4 x13 x 5 mm </v>
      </c>
      <c r="D76" t="s">
        <v>180</v>
      </c>
      <c r="E76" s="9"/>
      <c r="H76" s="19"/>
      <c r="I76" s="31"/>
      <c r="J76" s="32"/>
      <c r="K76" s="29"/>
      <c r="L76" t="str">
        <f t="shared" ca="1" si="4"/>
        <v>Habs</v>
      </c>
    </row>
    <row r="77" spans="2:12" ht="13.8" customHeight="1" x14ac:dyDescent="0.3">
      <c r="B77" s="27">
        <v>40</v>
      </c>
      <c r="C77" s="26" t="str">
        <f>C171</f>
        <v>Rohr 4mmx3.1mm (=M3)</v>
      </c>
      <c r="D77" t="s">
        <v>180</v>
      </c>
      <c r="E77" s="9"/>
      <c r="H77" s="19"/>
      <c r="I77" s="31"/>
      <c r="J77" s="32"/>
      <c r="K77" s="29"/>
      <c r="L77" t="str">
        <f t="shared" ca="1" si="4"/>
        <v>-</v>
      </c>
    </row>
    <row r="78" spans="2:12" ht="13.8" customHeight="1" x14ac:dyDescent="0.3">
      <c r="B78" s="27">
        <v>4</v>
      </c>
      <c r="C78" s="26" t="str">
        <f>C154</f>
        <v>Senkkopfschraube Innensechskant M3 10mm</v>
      </c>
      <c r="D78" t="s">
        <v>109</v>
      </c>
      <c r="E78" s="9"/>
      <c r="H78" s="19"/>
      <c r="I78" s="31"/>
      <c r="J78" s="32"/>
      <c r="K78" s="29"/>
      <c r="L78" t="str">
        <f t="shared" ca="1" si="4"/>
        <v>Habs</v>
      </c>
    </row>
    <row r="79" spans="2:12" ht="13.8" customHeight="1" x14ac:dyDescent="0.3">
      <c r="B79" s="27">
        <v>8</v>
      </c>
      <c r="C79" s="26" t="str">
        <f>C145</f>
        <v>Zylinderkopfschraube Innensechskant M3 20mm</v>
      </c>
      <c r="D79" t="s">
        <v>183</v>
      </c>
      <c r="E79" s="9"/>
      <c r="H79" s="19"/>
      <c r="I79" s="31"/>
      <c r="J79" s="32"/>
      <c r="K79" s="29"/>
      <c r="L79" t="str">
        <f t="shared" ca="1" si="4"/>
        <v>Habs</v>
      </c>
    </row>
    <row r="80" spans="2:12" ht="13.8" customHeight="1" x14ac:dyDescent="0.3">
      <c r="B80" s="27">
        <v>4</v>
      </c>
      <c r="C80" s="26" t="str">
        <f>C173</f>
        <v>Distanzbolzen 2x Innen M3 20mm, Schlüsselweite 5,5mm</v>
      </c>
      <c r="D80" t="s">
        <v>183</v>
      </c>
      <c r="E80" s="9"/>
      <c r="H80" s="19"/>
      <c r="I80" s="31"/>
      <c r="J80" s="32"/>
      <c r="K80" s="29"/>
      <c r="L80" t="str">
        <f t="shared" ca="1" si="4"/>
        <v>Habs</v>
      </c>
    </row>
    <row r="81" spans="1:12" ht="13.8" customHeight="1" x14ac:dyDescent="0.3">
      <c r="B81" s="27">
        <v>4</v>
      </c>
      <c r="C81" s="26" t="str">
        <f>C147</f>
        <v>Zylinderkopfschraube Innensechskant M3 30mm</v>
      </c>
      <c r="D81" t="s">
        <v>184</v>
      </c>
      <c r="E81" s="9"/>
      <c r="H81" s="19"/>
      <c r="I81" s="31"/>
      <c r="J81" s="32"/>
      <c r="K81" s="29"/>
      <c r="L81" t="str">
        <f t="shared" ca="1" si="4"/>
        <v>Habs</v>
      </c>
    </row>
    <row r="82" spans="1:12" ht="13.8" customHeight="1" x14ac:dyDescent="0.3">
      <c r="B82" s="27">
        <v>1</v>
      </c>
      <c r="C82" s="26" t="str">
        <f>C213</f>
        <v>Zahnriemen T5 375mm 10mm Breite</v>
      </c>
      <c r="D82" t="s">
        <v>385</v>
      </c>
      <c r="E82" s="9"/>
      <c r="H82" s="19"/>
      <c r="I82" s="31"/>
      <c r="J82" s="32"/>
      <c r="K82" s="29"/>
      <c r="L82">
        <f t="shared" ca="1" si="4"/>
        <v>0</v>
      </c>
    </row>
    <row r="83" spans="1:12" ht="13.8" customHeight="1" x14ac:dyDescent="0.3">
      <c r="B83" s="27">
        <v>1</v>
      </c>
      <c r="C83" s="26" t="str">
        <f>C214</f>
        <v>Zahnriemen T5 430mm 10mm Breite</v>
      </c>
      <c r="D83" t="s">
        <v>387</v>
      </c>
      <c r="E83" s="9"/>
      <c r="H83" s="19"/>
      <c r="I83" s="31"/>
      <c r="J83" s="32"/>
      <c r="K83" s="29"/>
      <c r="L83" t="str">
        <f t="shared" ca="1" si="4"/>
        <v>Habs</v>
      </c>
    </row>
    <row r="84" spans="1:12" ht="13.8" customHeight="1" x14ac:dyDescent="0.3">
      <c r="B84" s="27">
        <v>1</v>
      </c>
      <c r="C84" s="26" t="str">
        <f>C194</f>
        <v>Zahnriemenscheibe T5, 14 Zähne (d=22,48)</v>
      </c>
      <c r="D84" t="s">
        <v>325</v>
      </c>
      <c r="E84" s="9"/>
      <c r="H84" s="19"/>
      <c r="I84" s="31"/>
      <c r="J84" s="32"/>
      <c r="K84" s="29"/>
      <c r="L84" t="str">
        <f t="shared" ca="1" si="4"/>
        <v>Habs</v>
      </c>
    </row>
    <row r="85" spans="1:12" ht="13.8" customHeight="1" x14ac:dyDescent="0.3">
      <c r="B85" s="27">
        <v>1</v>
      </c>
      <c r="C85" s="26" t="str">
        <f>C194</f>
        <v>Zahnriemenscheibe T5, 14 Zähne (d=22,48)</v>
      </c>
      <c r="D85" t="s">
        <v>386</v>
      </c>
      <c r="E85" s="9"/>
      <c r="H85" s="19"/>
      <c r="I85" s="31"/>
      <c r="J85" s="32"/>
      <c r="K85" s="29"/>
      <c r="L85" t="str">
        <f t="shared" ca="1" si="4"/>
        <v>Habs</v>
      </c>
    </row>
    <row r="86" spans="1:12" ht="13.8" customHeight="1" x14ac:dyDescent="0.3">
      <c r="B86" s="27">
        <v>1</v>
      </c>
      <c r="C86" s="26" t="str">
        <f>C199</f>
        <v>Zahnriemenscheibe T5, 48 Zähne (d=76,39)</v>
      </c>
      <c r="D86" t="s">
        <v>391</v>
      </c>
      <c r="E86" s="9"/>
      <c r="H86" s="19"/>
      <c r="I86" s="31"/>
      <c r="J86" s="32"/>
      <c r="K86" s="29"/>
      <c r="L86" t="str">
        <f t="shared" ca="1" si="4"/>
        <v>Habs</v>
      </c>
    </row>
    <row r="87" spans="1:12" ht="13.8" customHeight="1" x14ac:dyDescent="0.3">
      <c r="B87" s="27">
        <v>1</v>
      </c>
      <c r="C87" s="26" t="str">
        <f>C225</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C151</f>
        <v>Zylinderkopfschraube Innensechskant M2 6mm</v>
      </c>
      <c r="D90" t="s">
        <v>126</v>
      </c>
      <c r="E90" s="9"/>
      <c r="H90" s="19"/>
      <c r="I90" s="31"/>
      <c r="J90" s="32"/>
      <c r="K90" s="29"/>
      <c r="L90" t="str">
        <f t="shared" ref="L90:L117" ca="1" si="5">INDIRECT(ADDRESS(MATCH(C90,C$143:C$268,0)+ROW($B$150)-1,12))</f>
        <v>Habs</v>
      </c>
    </row>
    <row r="91" spans="1:12" ht="13.8" customHeight="1" x14ac:dyDescent="0.3">
      <c r="B91" s="27">
        <v>1</v>
      </c>
      <c r="C91" s="26" t="str">
        <f>C228</f>
        <v>Rotary Sensor</v>
      </c>
      <c r="D91" t="s">
        <v>129</v>
      </c>
      <c r="E91" s="9"/>
      <c r="H91" s="19"/>
      <c r="I91" s="31"/>
      <c r="J91" s="32"/>
      <c r="K91" s="29"/>
      <c r="L91" t="str">
        <f t="shared" ca="1" si="5"/>
        <v>Habs</v>
      </c>
    </row>
    <row r="92" spans="1:12" ht="13.8" customHeight="1" x14ac:dyDescent="0.3">
      <c r="B92" s="27">
        <v>2</v>
      </c>
      <c r="C92" s="26" t="str">
        <f>C163</f>
        <v>Unterlegscheiben M2 Dicke 0,5mm</v>
      </c>
      <c r="D92" t="s">
        <v>130</v>
      </c>
      <c r="E92" s="9"/>
      <c r="H92" s="19"/>
      <c r="I92" s="31"/>
      <c r="J92" s="32"/>
      <c r="K92" s="29"/>
      <c r="L92" t="str">
        <f t="shared" ca="1" si="5"/>
        <v>Habs</v>
      </c>
    </row>
    <row r="93" spans="1:12" ht="13.8" customHeight="1" x14ac:dyDescent="0.3">
      <c r="B93" s="27">
        <v>2</v>
      </c>
      <c r="C93" s="26" t="str">
        <f>C238</f>
        <v xml:space="preserve">Rillenkugellager  4 x13 x 5 mm </v>
      </c>
      <c r="D93" t="s">
        <v>201</v>
      </c>
      <c r="E93" s="9"/>
      <c r="H93" s="19"/>
      <c r="I93" s="31"/>
      <c r="J93" s="32"/>
      <c r="K93" s="29"/>
      <c r="L93" t="str">
        <f t="shared" ca="1" si="5"/>
        <v>Habs</v>
      </c>
    </row>
    <row r="94" spans="1:12" ht="13.8" customHeight="1" x14ac:dyDescent="0.3">
      <c r="B94" s="27">
        <v>4</v>
      </c>
      <c r="C94" s="26" t="str">
        <f>C237</f>
        <v>Rillenkugellager  4 x13 x 5 mm mit Flansch</v>
      </c>
      <c r="D94" t="s">
        <v>201</v>
      </c>
      <c r="E94" s="9"/>
      <c r="H94" s="19"/>
      <c r="I94" s="31"/>
      <c r="J94" s="32"/>
      <c r="K94" s="29"/>
      <c r="L94" t="str">
        <f t="shared" ca="1" si="5"/>
        <v>Habs</v>
      </c>
    </row>
    <row r="95" spans="1:12" ht="13.8" customHeight="1" x14ac:dyDescent="0.3">
      <c r="B95" s="27">
        <v>40</v>
      </c>
      <c r="C95" s="26" t="str">
        <f>C171</f>
        <v>Rohr 4mmx3.1mm (=M3)</v>
      </c>
      <c r="D95" t="s">
        <v>201</v>
      </c>
      <c r="E95" s="9"/>
      <c r="H95" s="19"/>
      <c r="I95" s="31"/>
      <c r="J95" s="32"/>
      <c r="K95" s="29"/>
      <c r="L95" t="str">
        <f t="shared" ca="1" si="5"/>
        <v>-</v>
      </c>
    </row>
    <row r="96" spans="1:12" ht="13.8" customHeight="1" x14ac:dyDescent="0.3">
      <c r="B96" s="27">
        <v>4</v>
      </c>
      <c r="C96" s="26" t="str">
        <f>C165</f>
        <v>Unterlegscheiben M3 Kunststoff 0,8mm, Außendurchmesser 7mm</v>
      </c>
      <c r="D96" t="s">
        <v>201</v>
      </c>
      <c r="E96" s="9"/>
      <c r="H96" s="19"/>
      <c r="I96" s="31"/>
      <c r="J96" s="32"/>
      <c r="K96" s="29"/>
      <c r="L96" t="str">
        <f t="shared" ca="1" si="5"/>
        <v>Habs</v>
      </c>
    </row>
    <row r="97" spans="2:12" ht="13.8" customHeight="1" x14ac:dyDescent="0.3">
      <c r="B97" s="27">
        <v>4</v>
      </c>
      <c r="C97" s="26" t="str">
        <f>C156</f>
        <v>Vierkant Mutter M3 Breite 5.5mm</v>
      </c>
      <c r="D97" t="s">
        <v>201</v>
      </c>
      <c r="E97" s="9"/>
      <c r="H97" s="19"/>
      <c r="I97" s="31"/>
      <c r="J97" s="32"/>
      <c r="K97" s="29"/>
      <c r="L97" t="str">
        <f t="shared" ca="1" si="5"/>
        <v>Habs</v>
      </c>
    </row>
    <row r="98" spans="2:12" ht="13.8" customHeight="1" x14ac:dyDescent="0.3">
      <c r="B98" s="27">
        <v>2</v>
      </c>
      <c r="C98" s="26" t="str">
        <f>C145</f>
        <v>Zylinderkopfschraube Innensechskant M3 20mm</v>
      </c>
      <c r="D98" t="s">
        <v>201</v>
      </c>
      <c r="E98" s="9"/>
      <c r="H98" s="19"/>
      <c r="I98" s="31"/>
      <c r="J98" s="32"/>
      <c r="K98" s="29"/>
      <c r="L98" t="str">
        <f t="shared" ca="1" si="5"/>
        <v>Habs</v>
      </c>
    </row>
    <row r="99" spans="2:12" ht="13.8" customHeight="1" x14ac:dyDescent="0.3">
      <c r="B99" s="27">
        <v>3</v>
      </c>
      <c r="C99" s="26" t="str">
        <f>C162</f>
        <v>Unterlegscheiben M3 Dicke 0,5mm, Außendurchmesser 7mm</v>
      </c>
      <c r="D99" t="s">
        <v>201</v>
      </c>
      <c r="E99" s="9"/>
      <c r="H99" s="19"/>
      <c r="I99" s="31"/>
      <c r="J99" s="32"/>
      <c r="K99" s="29"/>
      <c r="L99" t="str">
        <f t="shared" ca="1" si="5"/>
        <v>Habs</v>
      </c>
    </row>
    <row r="100" spans="2:12" ht="13.8" customHeight="1" x14ac:dyDescent="0.3">
      <c r="B100" s="27">
        <v>1</v>
      </c>
      <c r="C100" s="26" t="str">
        <f>C149</f>
        <v>Zylinderkopfschraube Innensechskant M3 40mm</v>
      </c>
      <c r="D100" t="s">
        <v>201</v>
      </c>
      <c r="E100" s="9"/>
      <c r="H100" s="19"/>
      <c r="I100" s="31"/>
      <c r="J100" s="32"/>
      <c r="K100" s="29"/>
      <c r="L100" t="str">
        <f t="shared" ca="1" si="5"/>
        <v>Habs</v>
      </c>
    </row>
    <row r="101" spans="2:12" ht="13.8" customHeight="1" x14ac:dyDescent="0.3">
      <c r="B101" s="27">
        <v>1</v>
      </c>
      <c r="C101" s="26" t="str">
        <f>C150</f>
        <v>Zylinderkopfschraube Innensechskant M3 45mm</v>
      </c>
      <c r="D101" t="s">
        <v>201</v>
      </c>
      <c r="E101" s="9"/>
      <c r="H101" s="19"/>
      <c r="I101" s="31"/>
      <c r="J101" s="32"/>
      <c r="K101" s="29"/>
      <c r="L101" t="str">
        <f t="shared" ca="1" si="5"/>
        <v>Habs</v>
      </c>
    </row>
    <row r="102" spans="2:12" ht="13.8" customHeight="1" x14ac:dyDescent="0.3">
      <c r="B102" s="27">
        <v>1</v>
      </c>
      <c r="C102" s="26" t="str">
        <f>C146</f>
        <v>Zylinderkopfschraube Innensechskant M3 25mm</v>
      </c>
      <c r="D102" t="s">
        <v>201</v>
      </c>
      <c r="E102" s="9"/>
      <c r="H102" s="19"/>
      <c r="I102" s="31"/>
      <c r="J102" s="32"/>
      <c r="K102" s="29"/>
      <c r="L102">
        <f t="shared" ca="1" si="5"/>
        <v>0</v>
      </c>
    </row>
    <row r="103" spans="2:12" ht="13.8" customHeight="1" x14ac:dyDescent="0.3">
      <c r="B103" s="27">
        <v>2</v>
      </c>
      <c r="C103" s="26" t="str">
        <f>C244</f>
        <v>Rillenkugellager 8x22x7</v>
      </c>
      <c r="D103" t="s">
        <v>203</v>
      </c>
      <c r="E103" s="9"/>
      <c r="H103" s="19"/>
      <c r="I103" s="31"/>
      <c r="J103" s="32"/>
      <c r="K103" s="29"/>
      <c r="L103" t="str">
        <f t="shared" ca="1" si="5"/>
        <v>Habs</v>
      </c>
    </row>
    <row r="104" spans="2:12" ht="13.8" customHeight="1" x14ac:dyDescent="0.3">
      <c r="B104" s="27">
        <v>120</v>
      </c>
      <c r="C104" s="26" t="str">
        <f>C170</f>
        <v>Silberstahlwelle 8mm Durchmesser</v>
      </c>
      <c r="D104" t="s">
        <v>203</v>
      </c>
      <c r="E104" s="9"/>
      <c r="H104" s="19"/>
      <c r="I104" s="31"/>
      <c r="J104" s="32"/>
      <c r="K104" s="29"/>
      <c r="L104">
        <f t="shared" ca="1" si="5"/>
        <v>0</v>
      </c>
    </row>
    <row r="105" spans="2:12" ht="13.8" customHeight="1" x14ac:dyDescent="0.3">
      <c r="B105" s="27">
        <v>1</v>
      </c>
      <c r="C105" s="26" t="str">
        <f>C199</f>
        <v>Zahnriemenscheibe T5, 48 Zähne (d=76,39)</v>
      </c>
      <c r="D105" t="s">
        <v>203</v>
      </c>
      <c r="E105" s="9"/>
      <c r="H105" s="19"/>
      <c r="I105" s="31"/>
      <c r="J105" s="32"/>
      <c r="K105" s="29"/>
      <c r="L105" t="str">
        <f t="shared" ca="1" si="5"/>
        <v>Habs</v>
      </c>
    </row>
    <row r="106" spans="2:12" ht="13.8" customHeight="1" x14ac:dyDescent="0.3">
      <c r="B106" s="27">
        <v>1</v>
      </c>
      <c r="C106" s="26" t="str">
        <f>C193</f>
        <v>Zahnriemenscheibe T5, 12 Zähne (d=19,10)</v>
      </c>
      <c r="D106" t="s">
        <v>203</v>
      </c>
      <c r="E106" s="9"/>
      <c r="H106" s="19"/>
      <c r="I106" s="31"/>
      <c r="J106" s="32"/>
      <c r="K106" s="29"/>
      <c r="L106">
        <f t="shared" ca="1" si="5"/>
        <v>0</v>
      </c>
    </row>
    <row r="107" spans="2:12" ht="13.8" customHeight="1" x14ac:dyDescent="0.3">
      <c r="B107" s="27">
        <v>1</v>
      </c>
      <c r="C107" s="26" t="str">
        <f>C215</f>
        <v>Zahnriemen T5 450mm 10mm Breite</v>
      </c>
      <c r="D107" t="s">
        <v>398</v>
      </c>
      <c r="E107" s="9"/>
      <c r="H107" s="19"/>
      <c r="I107" s="31"/>
      <c r="J107" s="32"/>
      <c r="K107" s="29"/>
      <c r="L107" t="str">
        <f t="shared" ca="1" si="5"/>
        <v>Habs</v>
      </c>
    </row>
    <row r="108" spans="2:12" ht="13.8" customHeight="1" x14ac:dyDescent="0.3">
      <c r="B108" s="27">
        <v>1</v>
      </c>
      <c r="C108" s="26" t="str">
        <f>C193</f>
        <v>Zahnriemenscheibe T5, 12 Zähne (d=19,10)</v>
      </c>
      <c r="D108" t="s">
        <v>208</v>
      </c>
      <c r="E108" s="9"/>
      <c r="H108" s="19"/>
      <c r="I108" s="31"/>
      <c r="J108" s="32"/>
      <c r="K108" s="29"/>
      <c r="L108">
        <f t="shared" ca="1" si="5"/>
        <v>0</v>
      </c>
    </row>
    <row r="109" spans="2:12" ht="13.8" customHeight="1" x14ac:dyDescent="0.3">
      <c r="B109" s="27">
        <v>1</v>
      </c>
      <c r="C109" s="26" t="str">
        <f>C212</f>
        <v>Zahnriemen T5 340mm 10mm Breite</v>
      </c>
      <c r="D109" t="s">
        <v>408</v>
      </c>
      <c r="E109" s="9"/>
      <c r="H109" s="19"/>
      <c r="I109" s="31"/>
      <c r="J109" s="32"/>
      <c r="K109" s="29"/>
      <c r="L109" t="str">
        <f t="shared" ca="1" si="5"/>
        <v>Habs</v>
      </c>
    </row>
    <row r="110" spans="2:12" ht="13.8" customHeight="1" x14ac:dyDescent="0.3">
      <c r="B110" s="27">
        <v>4</v>
      </c>
      <c r="C110" s="26" t="str">
        <f>C145</f>
        <v>Zylinderkopfschraube Innensechskant M3 20mm</v>
      </c>
      <c r="D110" t="s">
        <v>209</v>
      </c>
      <c r="E110" s="9"/>
      <c r="H110" s="19"/>
      <c r="I110" s="31"/>
      <c r="J110" s="32"/>
      <c r="K110" s="29"/>
      <c r="L110" t="str">
        <f t="shared" ca="1" si="5"/>
        <v>Habs</v>
      </c>
    </row>
    <row r="111" spans="2:12" ht="13.8" customHeight="1" x14ac:dyDescent="0.3">
      <c r="B111" s="27">
        <v>4</v>
      </c>
      <c r="C111" s="26" t="str">
        <f>C150</f>
        <v>Zylinderkopfschraube Innensechskant M3 45mm</v>
      </c>
      <c r="D111" t="s">
        <v>210</v>
      </c>
      <c r="E111" s="9"/>
      <c r="H111" s="19"/>
      <c r="I111" s="31"/>
      <c r="J111" s="32"/>
      <c r="K111" s="29"/>
      <c r="L111" t="str">
        <f t="shared" ca="1" si="5"/>
        <v>Habs</v>
      </c>
    </row>
    <row r="112" spans="2:12" ht="13.8" customHeight="1" x14ac:dyDescent="0.3">
      <c r="B112" s="27">
        <v>4</v>
      </c>
      <c r="C112" s="26" t="str">
        <f>C173</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C175</f>
        <v>Gewindestange M3</v>
      </c>
      <c r="D113" t="s">
        <v>211</v>
      </c>
      <c r="E113" s="9"/>
      <c r="H113" s="19"/>
      <c r="I113" s="31"/>
      <c r="J113" s="32"/>
      <c r="K113" s="29"/>
      <c r="L113" t="str">
        <f t="shared" ca="1" si="5"/>
        <v>Habs</v>
      </c>
    </row>
    <row r="114" spans="1:12" ht="13.8" customHeight="1" x14ac:dyDescent="0.3">
      <c r="B114" s="27">
        <v>6</v>
      </c>
      <c r="C114" s="26" t="str">
        <f>C172</f>
        <v>Unterlegscheiben M3 Stahl  0,8mm, Außendurchmesser 9mm</v>
      </c>
      <c r="D114" t="s">
        <v>211</v>
      </c>
      <c r="E114" s="9"/>
      <c r="H114" s="19"/>
      <c r="I114" s="31"/>
      <c r="J114" s="32"/>
      <c r="K114" s="29"/>
      <c r="L114" t="str">
        <f t="shared" ca="1" si="5"/>
        <v>-</v>
      </c>
    </row>
    <row r="115" spans="1:12" ht="13.8" customHeight="1" x14ac:dyDescent="0.3">
      <c r="B115" s="27">
        <v>6</v>
      </c>
      <c r="C115" s="26" t="str">
        <f>C173</f>
        <v>Distanzbolzen 2x Innen M3 20mm, Schlüsselweite 5,5mm</v>
      </c>
      <c r="D115" t="s">
        <v>211</v>
      </c>
      <c r="E115" s="9"/>
      <c r="H115" s="19"/>
      <c r="I115" s="31"/>
      <c r="J115" s="32"/>
      <c r="K115" s="29"/>
      <c r="L115" t="str">
        <f t="shared" ca="1" si="5"/>
        <v>Habs</v>
      </c>
    </row>
    <row r="116" spans="1:12" ht="13.8" customHeight="1" x14ac:dyDescent="0.3">
      <c r="B116" s="27">
        <v>1</v>
      </c>
      <c r="C116" s="26" t="str">
        <f>C226</f>
        <v>NEMA 24 - 60x60x87 - 3.0Nm - 8mm Achse - 4.0A</v>
      </c>
      <c r="D116" t="s">
        <v>120</v>
      </c>
      <c r="E116" s="9"/>
      <c r="H116" s="19"/>
      <c r="I116" s="31"/>
      <c r="J116" s="32"/>
      <c r="K116" s="29"/>
      <c r="L116" t="str">
        <f t="shared" ca="1" si="5"/>
        <v>-</v>
      </c>
    </row>
    <row r="117" spans="1:12" ht="13.8" customHeight="1" x14ac:dyDescent="0.3">
      <c r="B117" s="27">
        <v>2</v>
      </c>
      <c r="C117" s="26" t="str">
        <f>C247</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C245</f>
        <v>Rillenkugellager DIN 625 SKF - SKF 61818 - 90x115x13</v>
      </c>
      <c r="D119" t="s">
        <v>215</v>
      </c>
      <c r="E119" s="9"/>
      <c r="H119" s="19"/>
      <c r="I119" s="31"/>
      <c r="J119" s="32"/>
      <c r="K119" s="29"/>
      <c r="L119" t="str">
        <f t="shared" ref="L119:L136" ca="1" si="6">INDIRECT(ADDRESS(MATCH(C119,C$143:C$268,0)+ROW($B$150)-1,12))</f>
        <v>Habs</v>
      </c>
    </row>
    <row r="120" spans="1:12" ht="13.8" customHeight="1" x14ac:dyDescent="0.3">
      <c r="B120" s="27">
        <v>6</v>
      </c>
      <c r="C120" s="26" t="str">
        <f>C149</f>
        <v>Zylinderkopfschraube Innensechskant M3 40mm</v>
      </c>
      <c r="D120" t="s">
        <v>211</v>
      </c>
      <c r="E120" s="9"/>
      <c r="H120" s="19"/>
      <c r="I120" s="31"/>
      <c r="J120" s="32"/>
      <c r="K120" s="29"/>
      <c r="L120" t="str">
        <f t="shared" ca="1" si="6"/>
        <v>Habs</v>
      </c>
    </row>
    <row r="121" spans="1:12" ht="13.8" customHeight="1" x14ac:dyDescent="0.3">
      <c r="B121" s="27">
        <v>6</v>
      </c>
      <c r="C121" s="26" t="str">
        <f>C172</f>
        <v>Unterlegscheiben M3 Stahl  0,8mm, Außendurchmesser 9mm</v>
      </c>
      <c r="D121" t="s">
        <v>211</v>
      </c>
      <c r="E121" s="9"/>
      <c r="H121" s="19"/>
      <c r="I121" s="31"/>
      <c r="J121" s="32"/>
      <c r="K121" s="29"/>
      <c r="L121" t="str">
        <f t="shared" ca="1" si="6"/>
        <v>-</v>
      </c>
    </row>
    <row r="122" spans="1:12" ht="13.8" customHeight="1" x14ac:dyDescent="0.3">
      <c r="B122" s="27">
        <v>8</v>
      </c>
      <c r="C122" s="26" t="str">
        <f>C154</f>
        <v>Senkkopfschraube Innensechskant M3 10mm</v>
      </c>
      <c r="D122" t="s">
        <v>224</v>
      </c>
      <c r="E122" s="9"/>
      <c r="H122" s="19"/>
      <c r="I122" s="31"/>
      <c r="J122" s="32"/>
      <c r="K122" s="29"/>
      <c r="L122" t="str">
        <f t="shared" ca="1" si="6"/>
        <v>Habs</v>
      </c>
    </row>
    <row r="123" spans="1:12" ht="13.8" customHeight="1" x14ac:dyDescent="0.3">
      <c r="B123" s="27">
        <v>8</v>
      </c>
      <c r="C123" s="26" t="str">
        <f>C173</f>
        <v>Distanzbolzen 2x Innen M3 20mm, Schlüsselweite 5,5mm</v>
      </c>
      <c r="D123" t="s">
        <v>224</v>
      </c>
      <c r="E123" s="9"/>
      <c r="H123" s="19"/>
      <c r="I123" s="31"/>
      <c r="J123" s="32"/>
      <c r="K123" s="29"/>
      <c r="L123" t="str">
        <f t="shared" ca="1" si="6"/>
        <v>Habs</v>
      </c>
    </row>
    <row r="124" spans="1:12" ht="13.8" customHeight="1" x14ac:dyDescent="0.3">
      <c r="B124" s="27">
        <v>8</v>
      </c>
      <c r="C124" s="26" t="str">
        <f>C147</f>
        <v>Zylinderkopfschraube Innensechskant M3 30mm</v>
      </c>
      <c r="D124" t="s">
        <v>224</v>
      </c>
      <c r="E124" s="9"/>
      <c r="H124" s="19"/>
      <c r="I124" s="31"/>
      <c r="J124" s="32"/>
      <c r="K124" s="29"/>
      <c r="L124" t="str">
        <f t="shared" ca="1" si="6"/>
        <v>Habs</v>
      </c>
    </row>
    <row r="125" spans="1:12" ht="13.8" customHeight="1" x14ac:dyDescent="0.3">
      <c r="B125" s="27">
        <v>1</v>
      </c>
      <c r="C125" s="26" t="str">
        <f>C228</f>
        <v>Rotary Sensor</v>
      </c>
      <c r="D125" t="s">
        <v>129</v>
      </c>
      <c r="E125" s="9"/>
      <c r="H125" s="19"/>
      <c r="I125" s="31"/>
      <c r="J125" s="32"/>
      <c r="K125" s="29"/>
      <c r="L125" t="str">
        <f t="shared" ca="1" si="6"/>
        <v>Habs</v>
      </c>
    </row>
    <row r="126" spans="1:12" ht="13.8" customHeight="1" x14ac:dyDescent="0.3">
      <c r="B126" s="27">
        <v>4</v>
      </c>
      <c r="C126" s="26" t="str">
        <f>C151</f>
        <v>Zylinderkopfschraube Innensechskant M2 6mm</v>
      </c>
      <c r="D126" t="s">
        <v>126</v>
      </c>
      <c r="E126" s="9"/>
      <c r="H126" s="19"/>
      <c r="I126" s="31"/>
      <c r="J126" s="32"/>
      <c r="K126" s="29"/>
      <c r="L126" t="str">
        <f t="shared" ca="1" si="6"/>
        <v>Habs</v>
      </c>
    </row>
    <row r="127" spans="1:12" ht="13.8" customHeight="1" x14ac:dyDescent="0.3">
      <c r="B127" s="27">
        <v>4</v>
      </c>
      <c r="C127" s="26" t="str">
        <f>C145</f>
        <v>Zylinderkopfschraube Innensechskant M3 20mm</v>
      </c>
      <c r="D127" t="s">
        <v>225</v>
      </c>
      <c r="E127" s="9"/>
      <c r="H127" s="19"/>
      <c r="I127" s="31"/>
      <c r="J127" s="32"/>
      <c r="K127" s="29"/>
      <c r="L127" t="str">
        <f t="shared" ca="1" si="6"/>
        <v>Habs</v>
      </c>
    </row>
    <row r="128" spans="1:12" ht="13.8" customHeight="1" x14ac:dyDescent="0.3">
      <c r="B128" s="27">
        <v>4</v>
      </c>
      <c r="C128" s="26" t="str">
        <f>C162</f>
        <v>Unterlegscheiben M3 Dicke 0,5mm, Außendurchmesser 7mm</v>
      </c>
      <c r="D128" t="s">
        <v>225</v>
      </c>
      <c r="E128" s="9"/>
      <c r="H128" s="19"/>
      <c r="I128" s="31"/>
      <c r="J128" s="32"/>
      <c r="K128" s="29"/>
      <c r="L128" t="str">
        <f t="shared" ca="1" si="6"/>
        <v>Habs</v>
      </c>
    </row>
    <row r="129" spans="1:12" ht="13.8" customHeight="1" x14ac:dyDescent="0.3">
      <c r="B129" s="27">
        <v>2</v>
      </c>
      <c r="C129" s="26" t="str">
        <f>C238</f>
        <v xml:space="preserve">Rillenkugellager  4 x13 x 5 mm </v>
      </c>
      <c r="D129" t="s">
        <v>226</v>
      </c>
      <c r="E129" s="9"/>
      <c r="H129" s="19"/>
      <c r="I129" s="31"/>
      <c r="J129" s="32"/>
      <c r="K129" s="29"/>
      <c r="L129" t="str">
        <f t="shared" ca="1" si="6"/>
        <v>Habs</v>
      </c>
    </row>
    <row r="130" spans="1:12" ht="13.8" customHeight="1" x14ac:dyDescent="0.3">
      <c r="B130" s="27">
        <v>4</v>
      </c>
      <c r="C130" s="26" t="str">
        <f>C237</f>
        <v>Rillenkugellager  4 x13 x 5 mm mit Flansch</v>
      </c>
      <c r="D130" t="s">
        <v>226</v>
      </c>
      <c r="E130" s="9"/>
      <c r="H130" s="19"/>
      <c r="I130" s="31"/>
      <c r="J130" s="32"/>
      <c r="K130" s="29"/>
      <c r="L130" t="str">
        <f t="shared" ca="1" si="6"/>
        <v>Habs</v>
      </c>
    </row>
    <row r="131" spans="1:12" ht="13.8" customHeight="1" x14ac:dyDescent="0.3">
      <c r="B131" s="27">
        <f>2*12</f>
        <v>24</v>
      </c>
      <c r="C131" s="26" t="str">
        <f>C171</f>
        <v>Rohr 4mmx3.1mm (=M3)</v>
      </c>
      <c r="D131" t="s">
        <v>226</v>
      </c>
      <c r="E131" s="9"/>
      <c r="H131" s="19"/>
      <c r="I131" s="31"/>
      <c r="J131" s="32"/>
      <c r="K131" s="29"/>
      <c r="L131" t="str">
        <f t="shared" ca="1" si="6"/>
        <v>-</v>
      </c>
    </row>
    <row r="132" spans="1:12" ht="13.8" customHeight="1" x14ac:dyDescent="0.3">
      <c r="B132" s="27">
        <v>8</v>
      </c>
      <c r="C132" s="26" t="str">
        <f>C165</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C192</f>
        <v>Zahnriemenscheibe T5, 10 Zähne (d=15,92)</v>
      </c>
      <c r="D133" t="s">
        <v>327</v>
      </c>
      <c r="E133" s="9"/>
      <c r="H133" s="19"/>
      <c r="I133" s="31"/>
      <c r="J133" s="32"/>
      <c r="K133" s="29"/>
      <c r="L133" t="str">
        <f t="shared" ca="1" si="6"/>
        <v>Habs</v>
      </c>
    </row>
    <row r="134" spans="1:12" ht="13.8" customHeight="1" x14ac:dyDescent="0.3">
      <c r="B134" s="27">
        <v>1</v>
      </c>
      <c r="C134" s="26" t="str">
        <f>C218</f>
        <v>Zahnriemen T5 510mm 10mm Breite</v>
      </c>
      <c r="D134" t="s">
        <v>407</v>
      </c>
      <c r="E134" s="9"/>
      <c r="H134" s="19"/>
      <c r="I134" s="31"/>
      <c r="J134" s="32"/>
      <c r="K134" s="29"/>
      <c r="L134" t="str">
        <f t="shared" ca="1" si="6"/>
        <v>Habs</v>
      </c>
    </row>
    <row r="135" spans="1:12" ht="13.8" customHeight="1" x14ac:dyDescent="0.3">
      <c r="B135" s="27">
        <v>1</v>
      </c>
      <c r="C135" s="26" t="str">
        <f>C227</f>
        <v>NEMA 23 - 57x57x56 - 1,26Nm - 6,35mm Achse - 2.8A</v>
      </c>
      <c r="D135" t="s">
        <v>227</v>
      </c>
      <c r="E135" s="9"/>
      <c r="H135" s="19"/>
      <c r="I135" s="31"/>
      <c r="J135" s="32"/>
      <c r="K135" s="29"/>
      <c r="L135" t="str">
        <f t="shared" ca="1" si="6"/>
        <v>Habs</v>
      </c>
    </row>
    <row r="136" spans="1:12" ht="13.8" customHeight="1" x14ac:dyDescent="0.3">
      <c r="B136" s="27">
        <v>16</v>
      </c>
      <c r="C136" s="26" t="str">
        <f>C233</f>
        <v>Rillenkugellager 3x8x3</v>
      </c>
      <c r="D136" t="s">
        <v>389</v>
      </c>
      <c r="E136" s="9"/>
      <c r="H136" s="19"/>
      <c r="I136" s="31"/>
      <c r="J136" s="32"/>
      <c r="K136" s="29"/>
      <c r="L136" t="str">
        <f t="shared" ca="1" si="6"/>
        <v>Habs</v>
      </c>
    </row>
    <row r="137" spans="1:12" ht="13.8" customHeight="1" x14ac:dyDescent="0.3">
      <c r="B137" s="27">
        <v>1</v>
      </c>
      <c r="C137" s="26" t="str">
        <f>C176</f>
        <v>Passfeder 2x2x8 DIN 6885</v>
      </c>
      <c r="D137" t="s">
        <v>396</v>
      </c>
      <c r="E137" s="9"/>
      <c r="H137" s="19"/>
      <c r="I137" s="31"/>
      <c r="J137" s="32"/>
      <c r="K137" s="29"/>
    </row>
    <row r="138" spans="1:12" ht="13.8" customHeight="1" x14ac:dyDescent="0.3">
      <c r="B138" s="27"/>
      <c r="C138" s="26"/>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A141" s="6" t="s">
        <v>0</v>
      </c>
      <c r="C141" s="26"/>
      <c r="E141" s="9"/>
      <c r="H141" s="19"/>
      <c r="I141" s="30"/>
    </row>
    <row r="142" spans="1:12" ht="13.8" customHeight="1" x14ac:dyDescent="0.3">
      <c r="B142" t="s">
        <v>294</v>
      </c>
      <c r="C142" s="26" t="s">
        <v>345</v>
      </c>
      <c r="E142" s="9"/>
      <c r="G142" t="s">
        <v>295</v>
      </c>
      <c r="H142" s="19" t="s">
        <v>296</v>
      </c>
      <c r="I142" s="30" t="s">
        <v>297</v>
      </c>
      <c r="J142" s="1" t="s">
        <v>299</v>
      </c>
      <c r="K142" s="1" t="s">
        <v>298</v>
      </c>
    </row>
    <row r="143" spans="1:12" ht="13.8" customHeight="1" x14ac:dyDescent="0.3">
      <c r="B143" s="27">
        <f t="shared" ref="B143:B152" si="7">ROUNDUP(I143/G143,0)</f>
        <v>0</v>
      </c>
      <c r="C143" s="26" t="s">
        <v>150</v>
      </c>
      <c r="E143" s="9" t="s">
        <v>151</v>
      </c>
      <c r="G143">
        <v>50</v>
      </c>
      <c r="H143" s="19">
        <v>2.5</v>
      </c>
      <c r="I143" s="31">
        <f t="shared" ref="I143:I152" si="8">SUMIF(C$1:C$141,"="&amp;C143,B$1:B$141)</f>
        <v>0</v>
      </c>
      <c r="J143" s="32">
        <f t="shared" ref="J143:J152" si="9">G143*B143-I143</f>
        <v>0</v>
      </c>
      <c r="K143" s="29">
        <f>B143*H143</f>
        <v>0</v>
      </c>
      <c r="L143" t="s">
        <v>300</v>
      </c>
    </row>
    <row r="144" spans="1:12" ht="13.8" customHeight="1" x14ac:dyDescent="0.3">
      <c r="B144" s="27">
        <f t="shared" si="7"/>
        <v>0</v>
      </c>
      <c r="C144" s="26" t="s">
        <v>283</v>
      </c>
      <c r="E144" s="9" t="s">
        <v>258</v>
      </c>
      <c r="G144">
        <v>50</v>
      </c>
      <c r="H144" s="19">
        <v>2.5</v>
      </c>
      <c r="I144" s="31">
        <f t="shared" si="8"/>
        <v>0</v>
      </c>
      <c r="J144" s="32">
        <f t="shared" si="9"/>
        <v>0</v>
      </c>
      <c r="K144" s="29">
        <f>B144*H144</f>
        <v>0</v>
      </c>
      <c r="L144" t="s">
        <v>300</v>
      </c>
    </row>
    <row r="145" spans="2:12" ht="13.8" customHeight="1" x14ac:dyDescent="0.3">
      <c r="B145" s="27">
        <f t="shared" si="7"/>
        <v>1</v>
      </c>
      <c r="C145" s="26" t="s">
        <v>110</v>
      </c>
      <c r="E145" s="9" t="s">
        <v>258</v>
      </c>
      <c r="G145">
        <v>50</v>
      </c>
      <c r="H145" s="19">
        <v>2.5</v>
      </c>
      <c r="I145" s="31">
        <f t="shared" si="8"/>
        <v>44</v>
      </c>
      <c r="J145" s="32">
        <f t="shared" si="9"/>
        <v>6</v>
      </c>
      <c r="K145" s="29">
        <f>B145*H145</f>
        <v>2.5</v>
      </c>
      <c r="L145" t="s">
        <v>300</v>
      </c>
    </row>
    <row r="146" spans="2:12" ht="13.8" customHeight="1" x14ac:dyDescent="0.3">
      <c r="B146" s="27">
        <f t="shared" si="7"/>
        <v>1</v>
      </c>
      <c r="C146" s="26" t="s">
        <v>152</v>
      </c>
      <c r="E146" s="9" t="s">
        <v>258</v>
      </c>
      <c r="G146">
        <v>50</v>
      </c>
      <c r="H146" s="19">
        <v>2.5</v>
      </c>
      <c r="I146" s="31">
        <f t="shared" si="8"/>
        <v>7</v>
      </c>
      <c r="J146" s="32">
        <f t="shared" si="9"/>
        <v>43</v>
      </c>
      <c r="K146" s="29">
        <f>B146*H146</f>
        <v>2.5</v>
      </c>
      <c r="L146" t="s">
        <v>300</v>
      </c>
    </row>
    <row r="147" spans="2:12" ht="13.8" customHeight="1" x14ac:dyDescent="0.3">
      <c r="B147" s="27">
        <f t="shared" si="7"/>
        <v>1</v>
      </c>
      <c r="C147" s="26" t="s">
        <v>163</v>
      </c>
      <c r="E147" s="9" t="s">
        <v>258</v>
      </c>
      <c r="G147">
        <v>50</v>
      </c>
      <c r="H147" s="19">
        <v>2.5</v>
      </c>
      <c r="I147" s="31">
        <f t="shared" si="8"/>
        <v>20</v>
      </c>
      <c r="J147" s="32">
        <f t="shared" si="9"/>
        <v>30</v>
      </c>
      <c r="K147" s="29">
        <f t="shared" ref="K147:K152" si="10">B147*H147</f>
        <v>2.5</v>
      </c>
      <c r="L147" t="s">
        <v>300</v>
      </c>
    </row>
    <row r="148" spans="2:12" ht="13.8" customHeight="1" x14ac:dyDescent="0.3">
      <c r="B148" s="27">
        <f t="shared" si="7"/>
        <v>0</v>
      </c>
      <c r="C148" s="26" t="s">
        <v>384</v>
      </c>
      <c r="E148" s="9" t="s">
        <v>258</v>
      </c>
      <c r="G148">
        <v>50</v>
      </c>
      <c r="H148" s="19">
        <v>2.5</v>
      </c>
      <c r="I148" s="31">
        <f t="shared" si="8"/>
        <v>0</v>
      </c>
      <c r="J148" s="32">
        <f t="shared" si="9"/>
        <v>0</v>
      </c>
      <c r="K148" s="29">
        <f t="shared" si="10"/>
        <v>0</v>
      </c>
      <c r="L148" t="s">
        <v>301</v>
      </c>
    </row>
    <row r="149" spans="2:12" ht="13.8" customHeight="1" x14ac:dyDescent="0.3">
      <c r="B149" s="27">
        <f t="shared" si="7"/>
        <v>1</v>
      </c>
      <c r="C149" s="26" t="s">
        <v>162</v>
      </c>
      <c r="E149" s="9" t="s">
        <v>258</v>
      </c>
      <c r="G149">
        <v>50</v>
      </c>
      <c r="H149" s="19">
        <v>2.5</v>
      </c>
      <c r="I149" s="31">
        <f t="shared" si="8"/>
        <v>11</v>
      </c>
      <c r="J149" s="32">
        <f t="shared" si="9"/>
        <v>39</v>
      </c>
      <c r="K149" s="29">
        <f t="shared" si="10"/>
        <v>2.5</v>
      </c>
      <c r="L149" t="s">
        <v>300</v>
      </c>
    </row>
    <row r="150" spans="2:12" ht="13.8" customHeight="1" x14ac:dyDescent="0.3">
      <c r="B150" s="27">
        <f t="shared" si="7"/>
        <v>1</v>
      </c>
      <c r="C150" s="26" t="s">
        <v>167</v>
      </c>
      <c r="E150" s="9" t="s">
        <v>202</v>
      </c>
      <c r="G150">
        <v>50</v>
      </c>
      <c r="H150" s="19">
        <v>2.5</v>
      </c>
      <c r="I150" s="31">
        <f t="shared" si="8"/>
        <v>14</v>
      </c>
      <c r="J150" s="32">
        <f t="shared" si="9"/>
        <v>36</v>
      </c>
      <c r="K150" s="29">
        <f t="shared" si="10"/>
        <v>2.5</v>
      </c>
      <c r="L150" t="s">
        <v>300</v>
      </c>
    </row>
    <row r="151" spans="2:12" ht="13.8" customHeight="1" x14ac:dyDescent="0.3">
      <c r="B151" s="27">
        <f t="shared" si="7"/>
        <v>1</v>
      </c>
      <c r="C151" s="26" t="s">
        <v>125</v>
      </c>
      <c r="E151" s="9" t="s">
        <v>257</v>
      </c>
      <c r="G151">
        <v>20</v>
      </c>
      <c r="H151" s="19">
        <v>1.8</v>
      </c>
      <c r="I151" s="31">
        <f t="shared" si="8"/>
        <v>20</v>
      </c>
      <c r="J151" s="32">
        <f t="shared" si="9"/>
        <v>0</v>
      </c>
      <c r="K151" s="29">
        <f t="shared" si="10"/>
        <v>1.8</v>
      </c>
      <c r="L151" t="s">
        <v>300</v>
      </c>
    </row>
    <row r="152" spans="2:12" ht="13.8" customHeight="1" x14ac:dyDescent="0.3">
      <c r="B152" s="27">
        <f t="shared" si="7"/>
        <v>1</v>
      </c>
      <c r="C152" s="26" t="s">
        <v>234</v>
      </c>
      <c r="E152" s="9" t="s">
        <v>256</v>
      </c>
      <c r="G152">
        <v>20</v>
      </c>
      <c r="H152" s="19">
        <v>1.8</v>
      </c>
      <c r="I152" s="31">
        <f t="shared" si="8"/>
        <v>4</v>
      </c>
      <c r="J152" s="32">
        <f t="shared" si="9"/>
        <v>16</v>
      </c>
      <c r="K152" s="29">
        <f t="shared" si="10"/>
        <v>1.8</v>
      </c>
      <c r="L152" t="s">
        <v>300</v>
      </c>
    </row>
    <row r="153" spans="2:12" ht="13.8" customHeight="1" x14ac:dyDescent="0.3">
      <c r="B153" s="27"/>
      <c r="C153" s="26"/>
      <c r="E153" s="9"/>
      <c r="H153" s="19"/>
      <c r="I153" s="31"/>
      <c r="J153" s="32"/>
      <c r="K153" s="29"/>
    </row>
    <row r="154" spans="2:12" ht="13.8" customHeight="1" x14ac:dyDescent="0.3">
      <c r="B154" s="27">
        <f>ROUNDUP(I154/G154,0)</f>
        <v>1</v>
      </c>
      <c r="C154" s="26" t="s">
        <v>159</v>
      </c>
      <c r="E154" s="9" t="s">
        <v>259</v>
      </c>
      <c r="G154">
        <v>50</v>
      </c>
      <c r="H154" s="19">
        <v>2.99</v>
      </c>
      <c r="I154" s="31">
        <f>SUMIF(C$1:C$141,"="&amp;C154,B$1:B$141)</f>
        <v>20</v>
      </c>
      <c r="J154" s="32">
        <f>G154*B154-I154</f>
        <v>30</v>
      </c>
      <c r="K154" s="29">
        <f>B154*H154</f>
        <v>2.99</v>
      </c>
      <c r="L154" t="s">
        <v>300</v>
      </c>
    </row>
    <row r="155" spans="2:12" ht="13.8" customHeight="1" x14ac:dyDescent="0.3">
      <c r="B155" s="27">
        <f>ROUNDUP(I155/G155,0)</f>
        <v>0</v>
      </c>
      <c r="C155" s="26" t="s">
        <v>182</v>
      </c>
      <c r="E155" s="9" t="s">
        <v>260</v>
      </c>
      <c r="F155" t="s">
        <v>161</v>
      </c>
      <c r="G155">
        <v>20</v>
      </c>
      <c r="H155" s="19">
        <v>2.95</v>
      </c>
      <c r="I155" s="31">
        <f>SUMIF(C$1:C$141,"="&amp;C155,B$1:B$141)</f>
        <v>0</v>
      </c>
      <c r="J155" s="32">
        <f>G155*B155-I155</f>
        <v>0</v>
      </c>
      <c r="K155" s="29">
        <f>B155*H155</f>
        <v>0</v>
      </c>
      <c r="L155" t="s">
        <v>300</v>
      </c>
    </row>
    <row r="156" spans="2:12" ht="13.8" customHeight="1" x14ac:dyDescent="0.3">
      <c r="B156" s="27">
        <f>ROUNDUP(I156/G156,0)</f>
        <v>1</v>
      </c>
      <c r="C156" s="26" t="s">
        <v>155</v>
      </c>
      <c r="E156" s="9" t="s">
        <v>107</v>
      </c>
      <c r="G156">
        <v>100</v>
      </c>
      <c r="H156" s="19">
        <v>2.09</v>
      </c>
      <c r="I156" s="31">
        <f>SUMIF(C$1:C$141,"="&amp;C156,B$1:B$141)</f>
        <v>10</v>
      </c>
      <c r="J156" s="32">
        <f>G156*B156-I156</f>
        <v>90</v>
      </c>
      <c r="K156" s="29">
        <f>B156*H156</f>
        <v>2.09</v>
      </c>
      <c r="L156" t="s">
        <v>300</v>
      </c>
    </row>
    <row r="157" spans="2:12" ht="13.8" customHeight="1" x14ac:dyDescent="0.3">
      <c r="B157" s="27">
        <f>ROUNDUP(I157/G157,0)</f>
        <v>1</v>
      </c>
      <c r="C157" s="26" t="s">
        <v>154</v>
      </c>
      <c r="E157" s="9" t="s">
        <v>112</v>
      </c>
      <c r="G157">
        <v>100</v>
      </c>
      <c r="H157" s="19">
        <v>2.09</v>
      </c>
      <c r="I157" s="31">
        <f>SUMIF(C$1:C$141,"="&amp;C157,B$1:B$141)</f>
        <v>10</v>
      </c>
      <c r="J157" s="32">
        <f>G157*B157-I157</f>
        <v>90</v>
      </c>
      <c r="K157" s="29">
        <f>B157*H157</f>
        <v>2.09</v>
      </c>
      <c r="L157" t="s">
        <v>300</v>
      </c>
    </row>
    <row r="158" spans="2:12" ht="13.8" customHeight="1" x14ac:dyDescent="0.3">
      <c r="B158" s="27">
        <f>ROUNDUP(I158/G158,0)</f>
        <v>0</v>
      </c>
      <c r="C158" s="26" t="s">
        <v>156</v>
      </c>
      <c r="E158" s="9" t="s">
        <v>251</v>
      </c>
      <c r="G158">
        <v>100</v>
      </c>
      <c r="H158" s="19">
        <v>2.09</v>
      </c>
      <c r="I158" s="31">
        <f>SUMIF(C$1:C$141,"="&amp;C158,B$1:B$141)</f>
        <v>0</v>
      </c>
      <c r="J158" s="32">
        <f>G158*B158-I158</f>
        <v>0</v>
      </c>
      <c r="K158" s="29">
        <f>B158*H158</f>
        <v>0</v>
      </c>
      <c r="L158" t="s">
        <v>300</v>
      </c>
    </row>
    <row r="159" spans="2:12" ht="13.8" customHeight="1" x14ac:dyDescent="0.3">
      <c r="B159" s="27"/>
      <c r="C159" s="26"/>
      <c r="E159" s="9"/>
      <c r="H159" s="19"/>
      <c r="I159" s="31"/>
      <c r="J159" s="32"/>
      <c r="K159" s="29"/>
    </row>
    <row r="160" spans="2:12" ht="13.8" customHeight="1" x14ac:dyDescent="0.3">
      <c r="B160" s="27">
        <f t="shared" ref="B160:B176" si="11">ROUNDUP(I160/G160,0)</f>
        <v>1</v>
      </c>
      <c r="C160" s="26" t="s">
        <v>178</v>
      </c>
      <c r="E160" s="9" t="s">
        <v>282</v>
      </c>
      <c r="G160">
        <v>50</v>
      </c>
      <c r="H160" s="19">
        <v>4.8899999999999997</v>
      </c>
      <c r="I160" s="31">
        <f t="shared" ref="I160:I176" si="12">SUMIF(C$1:C$141,"="&amp;C160,B$1:B$141)</f>
        <v>1</v>
      </c>
      <c r="J160" s="32">
        <f t="shared" ref="J160:J176" si="13">G160*B160-I160</f>
        <v>49</v>
      </c>
      <c r="K160" s="29">
        <f t="shared" ref="K160:K176" si="14">B160*H160</f>
        <v>4.8899999999999997</v>
      </c>
      <c r="L160" t="s">
        <v>300</v>
      </c>
    </row>
    <row r="161" spans="2:12" ht="13.8" customHeight="1" x14ac:dyDescent="0.3">
      <c r="B161" s="27">
        <f t="shared" si="11"/>
        <v>1</v>
      </c>
      <c r="C161" s="26" t="s">
        <v>177</v>
      </c>
      <c r="E161" s="9" t="s">
        <v>282</v>
      </c>
      <c r="G161">
        <v>50</v>
      </c>
      <c r="H161" s="19">
        <v>2.29</v>
      </c>
      <c r="I161" s="31">
        <f t="shared" si="12"/>
        <v>2</v>
      </c>
      <c r="J161" s="32">
        <f t="shared" si="13"/>
        <v>48</v>
      </c>
      <c r="K161" s="29">
        <f t="shared" si="14"/>
        <v>2.29</v>
      </c>
      <c r="L161" t="s">
        <v>300</v>
      </c>
    </row>
    <row r="162" spans="2:12" ht="13.8" customHeight="1" x14ac:dyDescent="0.3">
      <c r="B162" s="27">
        <f t="shared" si="11"/>
        <v>1</v>
      </c>
      <c r="C162" s="26" t="s">
        <v>200</v>
      </c>
      <c r="E162" s="9" t="s">
        <v>122</v>
      </c>
      <c r="G162">
        <v>100</v>
      </c>
      <c r="H162" s="19">
        <v>1.79</v>
      </c>
      <c r="I162" s="31">
        <f t="shared" si="12"/>
        <v>7</v>
      </c>
      <c r="J162" s="32">
        <f t="shared" si="13"/>
        <v>93</v>
      </c>
      <c r="K162" s="29">
        <f t="shared" si="14"/>
        <v>1.79</v>
      </c>
      <c r="L162" t="s">
        <v>300</v>
      </c>
    </row>
    <row r="163" spans="2:12" ht="13.8" customHeight="1" x14ac:dyDescent="0.3">
      <c r="B163" s="27">
        <f t="shared" si="11"/>
        <v>1</v>
      </c>
      <c r="C163" s="26" t="s">
        <v>131</v>
      </c>
      <c r="E163" s="9" t="s">
        <v>132</v>
      </c>
      <c r="G163">
        <v>100</v>
      </c>
      <c r="H163" s="19">
        <v>1.79</v>
      </c>
      <c r="I163" s="31">
        <f t="shared" si="12"/>
        <v>4</v>
      </c>
      <c r="J163" s="32">
        <f t="shared" si="13"/>
        <v>96</v>
      </c>
      <c r="K163" s="29">
        <f t="shared" si="14"/>
        <v>1.79</v>
      </c>
      <c r="L163" t="s">
        <v>300</v>
      </c>
    </row>
    <row r="164" spans="2:12" ht="13.8" customHeight="1" x14ac:dyDescent="0.3">
      <c r="B164" s="27">
        <f t="shared" si="11"/>
        <v>0</v>
      </c>
      <c r="C164" s="26" t="s">
        <v>179</v>
      </c>
      <c r="E164" s="9" t="s">
        <v>277</v>
      </c>
      <c r="G164">
        <v>50</v>
      </c>
      <c r="H164" s="19">
        <v>4.33</v>
      </c>
      <c r="I164" s="31">
        <f t="shared" si="12"/>
        <v>0</v>
      </c>
      <c r="J164" s="32">
        <f t="shared" si="13"/>
        <v>0</v>
      </c>
      <c r="K164" s="29">
        <f t="shared" si="14"/>
        <v>0</v>
      </c>
      <c r="L164" t="s">
        <v>244</v>
      </c>
    </row>
    <row r="165" spans="2:12" ht="13.8" customHeight="1" x14ac:dyDescent="0.3">
      <c r="B165" s="27">
        <f t="shared" si="11"/>
        <v>2</v>
      </c>
      <c r="C165" s="26" t="s">
        <v>199</v>
      </c>
      <c r="E165" s="9" t="s">
        <v>198</v>
      </c>
      <c r="G165">
        <v>10</v>
      </c>
      <c r="H165" s="19">
        <v>1.98</v>
      </c>
      <c r="I165" s="31">
        <f t="shared" si="12"/>
        <v>12</v>
      </c>
      <c r="J165" s="32">
        <f t="shared" si="13"/>
        <v>8</v>
      </c>
      <c r="K165" s="29">
        <f t="shared" si="14"/>
        <v>3.96</v>
      </c>
      <c r="L165" t="s">
        <v>300</v>
      </c>
    </row>
    <row r="166" spans="2:12" ht="13.8" customHeight="1" x14ac:dyDescent="0.3">
      <c r="B166" s="27">
        <f t="shared" si="11"/>
        <v>0</v>
      </c>
      <c r="C166" s="26" t="s">
        <v>304</v>
      </c>
      <c r="E166" s="9" t="s">
        <v>289</v>
      </c>
      <c r="G166">
        <v>10</v>
      </c>
      <c r="H166" s="19">
        <v>1.98</v>
      </c>
      <c r="I166" s="31">
        <f t="shared" si="12"/>
        <v>0</v>
      </c>
      <c r="J166" s="32">
        <f t="shared" si="13"/>
        <v>0</v>
      </c>
      <c r="K166" s="29">
        <f t="shared" si="14"/>
        <v>0</v>
      </c>
      <c r="L166" t="s">
        <v>300</v>
      </c>
    </row>
    <row r="167" spans="2:12" ht="13.8" customHeight="1" x14ac:dyDescent="0.3">
      <c r="B167" s="27">
        <f t="shared" si="11"/>
        <v>0</v>
      </c>
      <c r="C167" s="26" t="s">
        <v>288</v>
      </c>
      <c r="E167" s="9" t="s">
        <v>220</v>
      </c>
      <c r="G167">
        <v>10</v>
      </c>
      <c r="H167" s="19">
        <v>1.98</v>
      </c>
      <c r="I167" s="31">
        <f t="shared" si="12"/>
        <v>0</v>
      </c>
      <c r="J167" s="32">
        <f t="shared" si="13"/>
        <v>0</v>
      </c>
      <c r="K167" s="29">
        <f t="shared" si="14"/>
        <v>0</v>
      </c>
      <c r="L167" t="s">
        <v>300</v>
      </c>
    </row>
    <row r="168" spans="2:12" ht="13.8" customHeight="1" x14ac:dyDescent="0.3">
      <c r="B168" s="27">
        <f t="shared" si="11"/>
        <v>1</v>
      </c>
      <c r="C168" s="26" t="s">
        <v>134</v>
      </c>
      <c r="E168" s="9" t="s">
        <v>119</v>
      </c>
      <c r="G168">
        <v>500</v>
      </c>
      <c r="H168" s="19">
        <v>4.49</v>
      </c>
      <c r="I168" s="31">
        <f t="shared" si="12"/>
        <v>40</v>
      </c>
      <c r="J168" s="32">
        <f t="shared" si="13"/>
        <v>460</v>
      </c>
      <c r="K168" s="29">
        <f t="shared" si="14"/>
        <v>4.49</v>
      </c>
      <c r="L168" t="s">
        <v>300</v>
      </c>
    </row>
    <row r="169" spans="2:12" ht="13.8" customHeight="1" x14ac:dyDescent="0.3">
      <c r="B169" s="27">
        <f t="shared" si="11"/>
        <v>1</v>
      </c>
      <c r="C169" s="26" t="s">
        <v>147</v>
      </c>
      <c r="E169" s="9" t="s">
        <v>106</v>
      </c>
      <c r="G169">
        <v>500</v>
      </c>
      <c r="H169" s="19">
        <v>2.4900000000000002</v>
      </c>
      <c r="I169" s="31">
        <f t="shared" si="12"/>
        <v>168</v>
      </c>
      <c r="J169" s="32">
        <f t="shared" si="13"/>
        <v>332</v>
      </c>
      <c r="K169" s="29">
        <f t="shared" si="14"/>
        <v>2.4900000000000002</v>
      </c>
      <c r="L169" t="s">
        <v>300</v>
      </c>
    </row>
    <row r="170" spans="2:12" ht="13.8" customHeight="1" x14ac:dyDescent="0.3">
      <c r="B170" s="27">
        <f t="shared" si="11"/>
        <v>1</v>
      </c>
      <c r="C170" s="26" t="s">
        <v>169</v>
      </c>
      <c r="E170" s="9" t="s">
        <v>170</v>
      </c>
      <c r="G170">
        <v>500</v>
      </c>
      <c r="H170" s="19">
        <v>4.49</v>
      </c>
      <c r="I170" s="31">
        <f t="shared" si="12"/>
        <v>192</v>
      </c>
      <c r="J170" s="32">
        <f t="shared" si="13"/>
        <v>308</v>
      </c>
      <c r="K170" s="29">
        <f t="shared" si="14"/>
        <v>4.49</v>
      </c>
      <c r="L170" t="s">
        <v>300</v>
      </c>
    </row>
    <row r="171" spans="2:12" ht="13.8" customHeight="1" x14ac:dyDescent="0.3">
      <c r="B171" s="27">
        <f t="shared" si="11"/>
        <v>1</v>
      </c>
      <c r="C171" s="26" t="s">
        <v>246</v>
      </c>
      <c r="E171" s="9" t="s">
        <v>170</v>
      </c>
      <c r="G171">
        <v>500</v>
      </c>
      <c r="H171" s="19">
        <v>4.49</v>
      </c>
      <c r="I171" s="31">
        <f t="shared" si="12"/>
        <v>144</v>
      </c>
      <c r="J171" s="32">
        <f t="shared" si="13"/>
        <v>356</v>
      </c>
      <c r="K171" s="29">
        <f t="shared" si="14"/>
        <v>4.49</v>
      </c>
      <c r="L171" t="s">
        <v>300</v>
      </c>
    </row>
    <row r="172" spans="2:12" ht="13.8" customHeight="1" x14ac:dyDescent="0.3">
      <c r="B172" s="27">
        <f t="shared" si="11"/>
        <v>1</v>
      </c>
      <c r="C172" s="26" t="s">
        <v>221</v>
      </c>
      <c r="E172" s="9" t="s">
        <v>220</v>
      </c>
      <c r="G172">
        <v>100</v>
      </c>
      <c r="H172" s="19">
        <v>1.59</v>
      </c>
      <c r="I172" s="31">
        <f t="shared" si="12"/>
        <v>12</v>
      </c>
      <c r="J172" s="32">
        <f t="shared" si="13"/>
        <v>88</v>
      </c>
      <c r="K172" s="29">
        <f t="shared" si="14"/>
        <v>1.59</v>
      </c>
      <c r="L172" t="s">
        <v>300</v>
      </c>
    </row>
    <row r="173" spans="2:12" ht="13.8" customHeight="1" x14ac:dyDescent="0.3">
      <c r="B173" s="27">
        <f t="shared" si="11"/>
        <v>35</v>
      </c>
      <c r="C173" s="26" t="s">
        <v>217</v>
      </c>
      <c r="E173" s="9" t="s">
        <v>216</v>
      </c>
      <c r="G173">
        <v>1</v>
      </c>
      <c r="H173" s="19">
        <v>0.3</v>
      </c>
      <c r="I173" s="31">
        <f t="shared" si="12"/>
        <v>35</v>
      </c>
      <c r="J173" s="32">
        <f t="shared" si="13"/>
        <v>0</v>
      </c>
      <c r="K173" s="29">
        <f t="shared" si="14"/>
        <v>10.5</v>
      </c>
      <c r="L173" t="s">
        <v>300</v>
      </c>
    </row>
    <row r="174" spans="2:12" ht="13.8" customHeight="1" x14ac:dyDescent="0.3">
      <c r="B174" s="27">
        <f t="shared" si="11"/>
        <v>0</v>
      </c>
      <c r="C174" s="26" t="s">
        <v>248</v>
      </c>
      <c r="E174" s="9" t="s">
        <v>247</v>
      </c>
      <c r="G174">
        <v>10</v>
      </c>
      <c r="H174" s="19">
        <v>2.09</v>
      </c>
      <c r="I174" s="31">
        <f t="shared" si="12"/>
        <v>0</v>
      </c>
      <c r="J174" s="32">
        <f t="shared" si="13"/>
        <v>0</v>
      </c>
      <c r="K174" s="29">
        <f t="shared" si="14"/>
        <v>0</v>
      </c>
      <c r="L174" t="s">
        <v>300</v>
      </c>
    </row>
    <row r="175" spans="2:12" ht="13.8" customHeight="1" x14ac:dyDescent="0.3">
      <c r="B175" s="27">
        <f t="shared" si="11"/>
        <v>1</v>
      </c>
      <c r="C175" s="26" t="s">
        <v>219</v>
      </c>
      <c r="E175" s="9" t="s">
        <v>218</v>
      </c>
      <c r="G175">
        <v>500</v>
      </c>
      <c r="H175" s="19">
        <v>1.69</v>
      </c>
      <c r="I175" s="31">
        <f t="shared" si="12"/>
        <v>300</v>
      </c>
      <c r="J175" s="32">
        <f t="shared" si="13"/>
        <v>200</v>
      </c>
      <c r="K175" s="29">
        <f t="shared" si="14"/>
        <v>1.69</v>
      </c>
      <c r="L175" t="s">
        <v>300</v>
      </c>
    </row>
    <row r="176" spans="2:12" ht="13.8" customHeight="1" x14ac:dyDescent="0.3">
      <c r="B176" s="27">
        <f t="shared" si="11"/>
        <v>1</v>
      </c>
      <c r="C176" t="s">
        <v>394</v>
      </c>
      <c r="E176" t="s">
        <v>395</v>
      </c>
      <c r="G176">
        <v>1</v>
      </c>
      <c r="H176" s="19">
        <v>0.45</v>
      </c>
      <c r="I176" s="31">
        <f t="shared" si="12"/>
        <v>1</v>
      </c>
      <c r="J176" s="32">
        <f t="shared" si="13"/>
        <v>0</v>
      </c>
      <c r="K176" s="29">
        <f t="shared" si="14"/>
        <v>0.45</v>
      </c>
      <c r="L176" t="s">
        <v>300</v>
      </c>
    </row>
    <row r="177" spans="2:12" ht="13.8" customHeight="1" x14ac:dyDescent="0.3">
      <c r="E177" s="9"/>
      <c r="H177" s="19"/>
      <c r="I177" s="31"/>
      <c r="J177" s="32"/>
      <c r="K177" s="29"/>
    </row>
    <row r="178" spans="2:12" ht="13.8" customHeight="1" x14ac:dyDescent="0.3">
      <c r="B178" s="27">
        <f t="shared" ref="B178:B190" si="15">ROUNDUP(I178/G178,0)</f>
        <v>0</v>
      </c>
      <c r="C178" s="26" t="s">
        <v>340</v>
      </c>
      <c r="E178" s="9" t="s">
        <v>302</v>
      </c>
      <c r="G178">
        <v>1</v>
      </c>
      <c r="H178" s="19">
        <v>4.96</v>
      </c>
      <c r="I178" s="31">
        <f t="shared" ref="I178:I190" si="16">SUMIF(C$1:C$141,"="&amp;C178,B$1:B$141)</f>
        <v>0</v>
      </c>
      <c r="J178" s="32">
        <f t="shared" ref="J178:J190" si="17">G178*B178-I178</f>
        <v>0</v>
      </c>
      <c r="K178" s="29">
        <f t="shared" ref="K178:K190" si="18">B178*H178</f>
        <v>0</v>
      </c>
      <c r="L178" t="s">
        <v>244</v>
      </c>
    </row>
    <row r="179" spans="2:12" ht="13.8" customHeight="1" x14ac:dyDescent="0.3">
      <c r="B179" s="27">
        <f t="shared" si="15"/>
        <v>1</v>
      </c>
      <c r="C179" s="26" t="s">
        <v>347</v>
      </c>
      <c r="E179" t="s">
        <v>346</v>
      </c>
      <c r="G179">
        <v>1</v>
      </c>
      <c r="H179" s="19">
        <v>5.0999999999999996</v>
      </c>
      <c r="I179" s="31">
        <f t="shared" si="16"/>
        <v>1</v>
      </c>
      <c r="J179" s="32">
        <f t="shared" si="17"/>
        <v>0</v>
      </c>
      <c r="K179" s="29">
        <f t="shared" si="18"/>
        <v>5.0999999999999996</v>
      </c>
      <c r="L179" t="s">
        <v>244</v>
      </c>
    </row>
    <row r="180" spans="2:12" ht="13.8" customHeight="1" x14ac:dyDescent="0.3">
      <c r="B180" s="27">
        <f t="shared" si="15"/>
        <v>1</v>
      </c>
      <c r="C180" s="26" t="s">
        <v>339</v>
      </c>
      <c r="E180" s="9" t="s">
        <v>329</v>
      </c>
      <c r="G180">
        <v>1</v>
      </c>
      <c r="H180" s="19">
        <v>5.0999999999999996</v>
      </c>
      <c r="I180" s="31">
        <f t="shared" si="16"/>
        <v>1</v>
      </c>
      <c r="J180" s="32">
        <f t="shared" si="17"/>
        <v>0</v>
      </c>
      <c r="K180" s="29">
        <f t="shared" si="18"/>
        <v>5.0999999999999996</v>
      </c>
      <c r="L180" t="s">
        <v>300</v>
      </c>
    </row>
    <row r="181" spans="2:12" ht="13.8" customHeight="1" x14ac:dyDescent="0.3">
      <c r="B181" s="27">
        <f t="shared" si="15"/>
        <v>0</v>
      </c>
      <c r="C181" s="26" t="s">
        <v>348</v>
      </c>
      <c r="E181" s="9" t="s">
        <v>302</v>
      </c>
      <c r="G181">
        <v>1</v>
      </c>
      <c r="H181" s="19">
        <v>4.96</v>
      </c>
      <c r="I181" s="31">
        <f t="shared" si="16"/>
        <v>0</v>
      </c>
      <c r="J181" s="32">
        <f t="shared" si="17"/>
        <v>0</v>
      </c>
      <c r="K181" s="29">
        <f t="shared" si="18"/>
        <v>0</v>
      </c>
      <c r="L181" t="s">
        <v>244</v>
      </c>
    </row>
    <row r="182" spans="2:12" ht="13.8" customHeight="1" x14ac:dyDescent="0.3">
      <c r="B182" s="27">
        <f t="shared" si="15"/>
        <v>0</v>
      </c>
      <c r="C182" s="26" t="s">
        <v>338</v>
      </c>
      <c r="E182" s="48" t="s">
        <v>314</v>
      </c>
      <c r="G182">
        <v>1</v>
      </c>
      <c r="H182" s="19">
        <v>4.54</v>
      </c>
      <c r="I182" s="31">
        <f t="shared" si="16"/>
        <v>0</v>
      </c>
      <c r="J182" s="32">
        <f t="shared" si="17"/>
        <v>0</v>
      </c>
      <c r="K182" s="29">
        <f t="shared" si="18"/>
        <v>0</v>
      </c>
      <c r="L182" t="s">
        <v>300</v>
      </c>
    </row>
    <row r="183" spans="2:12" ht="13.8" customHeight="1" x14ac:dyDescent="0.3">
      <c r="B183" s="27">
        <f t="shared" si="15"/>
        <v>0</v>
      </c>
      <c r="C183" s="26" t="s">
        <v>336</v>
      </c>
      <c r="E183" s="26" t="s">
        <v>317</v>
      </c>
      <c r="G183">
        <v>1</v>
      </c>
      <c r="H183" s="19">
        <v>4.54</v>
      </c>
      <c r="I183" s="31">
        <f t="shared" si="16"/>
        <v>0</v>
      </c>
      <c r="J183" s="32">
        <f t="shared" si="17"/>
        <v>0</v>
      </c>
      <c r="K183" s="29">
        <f t="shared" si="18"/>
        <v>0</v>
      </c>
      <c r="L183" t="s">
        <v>300</v>
      </c>
    </row>
    <row r="184" spans="2:12" ht="13.8" customHeight="1" x14ac:dyDescent="0.3">
      <c r="B184" s="27">
        <f t="shared" si="15"/>
        <v>0</v>
      </c>
      <c r="C184" s="26" t="s">
        <v>337</v>
      </c>
      <c r="E184" s="26" t="s">
        <v>315</v>
      </c>
      <c r="G184">
        <v>1</v>
      </c>
      <c r="H184" s="19">
        <v>4.54</v>
      </c>
      <c r="I184" s="31">
        <f t="shared" si="16"/>
        <v>0</v>
      </c>
      <c r="J184" s="32">
        <f t="shared" si="17"/>
        <v>0</v>
      </c>
      <c r="K184" s="29">
        <f t="shared" si="18"/>
        <v>0</v>
      </c>
      <c r="L184" t="s">
        <v>300</v>
      </c>
    </row>
    <row r="185" spans="2:12" ht="13.8" customHeight="1" x14ac:dyDescent="0.3">
      <c r="B185" s="27">
        <f t="shared" si="15"/>
        <v>0</v>
      </c>
      <c r="C185" s="26" t="s">
        <v>341</v>
      </c>
      <c r="E185" s="9" t="s">
        <v>318</v>
      </c>
      <c r="G185">
        <v>1</v>
      </c>
      <c r="H185" s="19">
        <v>5.44</v>
      </c>
      <c r="I185" s="31">
        <f t="shared" si="16"/>
        <v>0</v>
      </c>
      <c r="J185" s="32">
        <f t="shared" si="17"/>
        <v>0</v>
      </c>
      <c r="K185" s="29">
        <f t="shared" si="18"/>
        <v>0</v>
      </c>
      <c r="L185" t="s">
        <v>300</v>
      </c>
    </row>
    <row r="186" spans="2:12" ht="13.8" customHeight="1" x14ac:dyDescent="0.3">
      <c r="B186" s="27">
        <f t="shared" si="15"/>
        <v>0</v>
      </c>
      <c r="C186" s="26" t="s">
        <v>403</v>
      </c>
      <c r="E186" s="9" t="s">
        <v>404</v>
      </c>
      <c r="G186">
        <v>1</v>
      </c>
      <c r="H186" s="19">
        <v>5.44</v>
      </c>
      <c r="I186" s="31">
        <f t="shared" si="16"/>
        <v>0</v>
      </c>
      <c r="J186" s="32">
        <f t="shared" si="17"/>
        <v>0</v>
      </c>
      <c r="K186" s="29">
        <f t="shared" si="18"/>
        <v>0</v>
      </c>
      <c r="L186" t="s">
        <v>300</v>
      </c>
    </row>
    <row r="187" spans="2:12" ht="13.8" customHeight="1" x14ac:dyDescent="0.3">
      <c r="B187" s="27">
        <f t="shared" si="15"/>
        <v>0</v>
      </c>
      <c r="C187" s="26" t="s">
        <v>363</v>
      </c>
      <c r="E187" s="9" t="s">
        <v>362</v>
      </c>
      <c r="G187">
        <v>1</v>
      </c>
      <c r="H187" s="19">
        <v>5.44</v>
      </c>
      <c r="I187" s="31">
        <f t="shared" si="16"/>
        <v>0</v>
      </c>
      <c r="J187" s="32">
        <f t="shared" si="17"/>
        <v>0</v>
      </c>
      <c r="K187" s="29">
        <f t="shared" si="18"/>
        <v>0</v>
      </c>
      <c r="L187" t="s">
        <v>300</v>
      </c>
    </row>
    <row r="188" spans="2:12" ht="13.8" customHeight="1" x14ac:dyDescent="0.3">
      <c r="B188" s="27">
        <f t="shared" si="15"/>
        <v>0</v>
      </c>
      <c r="C188" s="26" t="s">
        <v>342</v>
      </c>
      <c r="E188" s="9" t="s">
        <v>316</v>
      </c>
      <c r="G188">
        <v>1</v>
      </c>
      <c r="H188" s="19">
        <v>5.44</v>
      </c>
      <c r="I188" s="31">
        <f t="shared" si="16"/>
        <v>0</v>
      </c>
      <c r="J188" s="32">
        <f t="shared" si="17"/>
        <v>0</v>
      </c>
      <c r="K188" s="29">
        <f t="shared" si="18"/>
        <v>0</v>
      </c>
      <c r="L188" t="s">
        <v>244</v>
      </c>
    </row>
    <row r="189" spans="2:12" ht="13.8" customHeight="1" x14ac:dyDescent="0.3">
      <c r="B189" s="27">
        <f t="shared" si="15"/>
        <v>0</v>
      </c>
      <c r="C189" s="26" t="s">
        <v>344</v>
      </c>
      <c r="E189" s="9" t="s">
        <v>116</v>
      </c>
      <c r="G189">
        <v>1</v>
      </c>
      <c r="H189" s="19">
        <v>5.44</v>
      </c>
      <c r="I189" s="31">
        <f t="shared" si="16"/>
        <v>0</v>
      </c>
      <c r="J189" s="32">
        <f t="shared" si="17"/>
        <v>0</v>
      </c>
      <c r="K189" s="29">
        <f t="shared" si="18"/>
        <v>0</v>
      </c>
      <c r="L189" t="s">
        <v>244</v>
      </c>
    </row>
    <row r="190" spans="2:12" ht="13.8" customHeight="1" x14ac:dyDescent="0.3">
      <c r="B190" s="27">
        <f t="shared" si="15"/>
        <v>0</v>
      </c>
      <c r="C190" s="26" t="s">
        <v>343</v>
      </c>
      <c r="E190" s="9" t="s">
        <v>153</v>
      </c>
      <c r="G190">
        <v>1</v>
      </c>
      <c r="H190" s="19">
        <v>6.34</v>
      </c>
      <c r="I190" s="31">
        <f t="shared" si="16"/>
        <v>0</v>
      </c>
      <c r="J190" s="32">
        <f t="shared" si="17"/>
        <v>0</v>
      </c>
      <c r="K190" s="29">
        <f t="shared" si="18"/>
        <v>0</v>
      </c>
      <c r="L190" t="s">
        <v>244</v>
      </c>
    </row>
    <row r="191" spans="2:12" ht="13.8" customHeight="1" x14ac:dyDescent="0.3">
      <c r="B191" s="27"/>
      <c r="C191" s="26"/>
      <c r="E191" s="9"/>
      <c r="H191" s="19"/>
      <c r="I191" s="31"/>
      <c r="J191" s="32"/>
      <c r="K191" s="29"/>
    </row>
    <row r="192" spans="2:12" ht="13.8" customHeight="1" x14ac:dyDescent="0.3">
      <c r="B192" s="27">
        <f t="shared" ref="B192:B199" si="19">ROUNDUP(I192/G192,0)</f>
        <v>1</v>
      </c>
      <c r="C192" s="26" t="s">
        <v>365</v>
      </c>
      <c r="E192" s="9" t="s">
        <v>303</v>
      </c>
      <c r="G192">
        <v>1</v>
      </c>
      <c r="H192" s="19">
        <v>4.3899999999999997</v>
      </c>
      <c r="I192" s="31">
        <f t="shared" ref="I192:I199" si="20">SUMIF(C$1:C$141,"="&amp;C192,B$1:B$141)</f>
        <v>1</v>
      </c>
      <c r="J192" s="32">
        <f t="shared" ref="J192:J199" si="21">G192*B192-I192</f>
        <v>0</v>
      </c>
      <c r="K192" s="29">
        <f t="shared" ref="K192:K199" si="22">B192*H192</f>
        <v>4.3899999999999997</v>
      </c>
      <c r="L192" t="s">
        <v>300</v>
      </c>
    </row>
    <row r="193" spans="2:12" ht="13.8" customHeight="1" x14ac:dyDescent="0.3">
      <c r="B193" s="27">
        <f t="shared" si="19"/>
        <v>2</v>
      </c>
      <c r="C193" s="26" t="s">
        <v>359</v>
      </c>
      <c r="E193" s="9" t="s">
        <v>326</v>
      </c>
      <c r="G193">
        <v>1</v>
      </c>
      <c r="H193" s="19">
        <v>5.07</v>
      </c>
      <c r="I193" s="31">
        <f t="shared" si="20"/>
        <v>2</v>
      </c>
      <c r="J193" s="32">
        <f t="shared" si="21"/>
        <v>0</v>
      </c>
      <c r="K193" s="29">
        <f t="shared" si="22"/>
        <v>10.14</v>
      </c>
      <c r="L193" t="s">
        <v>300</v>
      </c>
    </row>
    <row r="194" spans="2:12" ht="13.8" customHeight="1" x14ac:dyDescent="0.3">
      <c r="B194" s="27">
        <f t="shared" si="19"/>
        <v>2</v>
      </c>
      <c r="C194" s="26" t="s">
        <v>358</v>
      </c>
      <c r="E194" s="9" t="s">
        <v>173</v>
      </c>
      <c r="G194">
        <v>1</v>
      </c>
      <c r="H194" s="19">
        <v>5.23</v>
      </c>
      <c r="I194" s="31">
        <f t="shared" si="20"/>
        <v>2</v>
      </c>
      <c r="J194" s="32">
        <f t="shared" si="21"/>
        <v>0</v>
      </c>
      <c r="K194" s="29">
        <f t="shared" si="22"/>
        <v>10.46</v>
      </c>
      <c r="L194" t="s">
        <v>300</v>
      </c>
    </row>
    <row r="195" spans="2:12" ht="13.8" customHeight="1" x14ac:dyDescent="0.3">
      <c r="B195" s="27">
        <f t="shared" si="19"/>
        <v>0</v>
      </c>
      <c r="C195" s="26" t="s">
        <v>357</v>
      </c>
      <c r="E195" s="9" t="s">
        <v>330</v>
      </c>
      <c r="G195">
        <v>1</v>
      </c>
      <c r="H195" s="19">
        <v>5.23</v>
      </c>
      <c r="I195" s="31">
        <f t="shared" si="20"/>
        <v>0</v>
      </c>
      <c r="J195" s="32">
        <f t="shared" si="21"/>
        <v>0</v>
      </c>
      <c r="K195" s="29">
        <f t="shared" si="22"/>
        <v>0</v>
      </c>
      <c r="L195" t="s">
        <v>300</v>
      </c>
    </row>
    <row r="196" spans="2:12" ht="13.8" customHeight="1" x14ac:dyDescent="0.3">
      <c r="B196" s="27">
        <f t="shared" si="19"/>
        <v>0</v>
      </c>
      <c r="C196" s="26" t="s">
        <v>350</v>
      </c>
      <c r="E196" s="9" t="s">
        <v>349</v>
      </c>
      <c r="G196">
        <v>1</v>
      </c>
      <c r="H196" s="19">
        <v>5.23</v>
      </c>
      <c r="I196" s="31">
        <f t="shared" si="20"/>
        <v>0</v>
      </c>
      <c r="J196" s="32">
        <f t="shared" si="21"/>
        <v>0</v>
      </c>
      <c r="K196" s="29">
        <f t="shared" si="22"/>
        <v>0</v>
      </c>
      <c r="L196" t="s">
        <v>244</v>
      </c>
    </row>
    <row r="197" spans="2:12" ht="13.8" customHeight="1" x14ac:dyDescent="0.3">
      <c r="B197" s="27">
        <f t="shared" si="19"/>
        <v>0</v>
      </c>
      <c r="C197" s="26" t="s">
        <v>352</v>
      </c>
      <c r="E197" s="9" t="s">
        <v>351</v>
      </c>
      <c r="G197">
        <v>1</v>
      </c>
      <c r="H197" s="19">
        <v>6.67</v>
      </c>
      <c r="I197" s="31">
        <f t="shared" si="20"/>
        <v>0</v>
      </c>
      <c r="J197" s="32">
        <f t="shared" si="21"/>
        <v>0</v>
      </c>
      <c r="K197" s="29">
        <f t="shared" si="22"/>
        <v>0</v>
      </c>
      <c r="L197" t="s">
        <v>244</v>
      </c>
    </row>
    <row r="198" spans="2:12" ht="13.8" customHeight="1" x14ac:dyDescent="0.3">
      <c r="B198" s="27">
        <f t="shared" si="19"/>
        <v>0</v>
      </c>
      <c r="C198" s="26" t="s">
        <v>354</v>
      </c>
      <c r="E198" s="9" t="s">
        <v>353</v>
      </c>
      <c r="G198">
        <v>1</v>
      </c>
      <c r="H198" s="19">
        <v>6.67</v>
      </c>
      <c r="I198" s="31">
        <f t="shared" si="20"/>
        <v>0</v>
      </c>
      <c r="J198" s="32">
        <f t="shared" si="21"/>
        <v>0</v>
      </c>
      <c r="K198" s="29">
        <f t="shared" si="22"/>
        <v>0</v>
      </c>
      <c r="L198" t="s">
        <v>244</v>
      </c>
    </row>
    <row r="199" spans="2:12" ht="13.8" customHeight="1" x14ac:dyDescent="0.3">
      <c r="B199" s="27">
        <f t="shared" si="19"/>
        <v>2</v>
      </c>
      <c r="C199" s="26" t="s">
        <v>366</v>
      </c>
      <c r="E199" s="9" t="s">
        <v>172</v>
      </c>
      <c r="G199">
        <v>1</v>
      </c>
      <c r="H199" s="19">
        <v>11.6</v>
      </c>
      <c r="I199" s="31">
        <f t="shared" si="20"/>
        <v>2</v>
      </c>
      <c r="J199" s="32">
        <f t="shared" si="21"/>
        <v>0</v>
      </c>
      <c r="K199" s="29">
        <f t="shared" si="22"/>
        <v>23.2</v>
      </c>
      <c r="L199" t="s">
        <v>300</v>
      </c>
    </row>
    <row r="200" spans="2:12" ht="13.8" customHeight="1" x14ac:dyDescent="0.3">
      <c r="B200" s="27"/>
      <c r="C200" s="26"/>
      <c r="E200" s="9"/>
      <c r="H200" s="19"/>
      <c r="I200" s="31"/>
      <c r="J200" s="32"/>
      <c r="K200" s="29"/>
    </row>
    <row r="201" spans="2:12" ht="13.8" customHeight="1" x14ac:dyDescent="0.3">
      <c r="B201" s="27">
        <f t="shared" ref="B201:B211" si="23">ROUNDUP(I201/G201,0)</f>
        <v>1</v>
      </c>
      <c r="C201" s="26" t="s">
        <v>321</v>
      </c>
      <c r="E201" s="9" t="s">
        <v>322</v>
      </c>
      <c r="G201">
        <v>1</v>
      </c>
      <c r="H201" s="19">
        <v>4</v>
      </c>
      <c r="I201" s="31">
        <f t="shared" ref="I201:I219" si="24">SUMIF(C$1:C$141,"="&amp;C201,B$1:B$141)</f>
        <v>1</v>
      </c>
      <c r="J201" s="32">
        <f t="shared" ref="J201:J219" si="25">G201*B201-I201</f>
        <v>0</v>
      </c>
      <c r="K201" s="29">
        <f t="shared" ref="K201:K206" si="26">B201*H201</f>
        <v>4</v>
      </c>
      <c r="L201" t="s">
        <v>300</v>
      </c>
    </row>
    <row r="202" spans="2:12" ht="13.8" customHeight="1" x14ac:dyDescent="0.3">
      <c r="B202" s="27">
        <f t="shared" si="23"/>
        <v>1</v>
      </c>
      <c r="C202" s="26" t="s">
        <v>320</v>
      </c>
      <c r="E202" s="9" t="s">
        <v>319</v>
      </c>
      <c r="G202">
        <v>1</v>
      </c>
      <c r="H202" s="19">
        <v>4.24</v>
      </c>
      <c r="I202" s="31">
        <f t="shared" si="24"/>
        <v>1</v>
      </c>
      <c r="J202" s="32">
        <f t="shared" si="25"/>
        <v>0</v>
      </c>
      <c r="K202" s="29">
        <f t="shared" si="26"/>
        <v>4.24</v>
      </c>
      <c r="L202" t="s">
        <v>300</v>
      </c>
    </row>
    <row r="203" spans="2:12" ht="13.8" customHeight="1" x14ac:dyDescent="0.3">
      <c r="B203" s="27">
        <f t="shared" si="23"/>
        <v>0</v>
      </c>
      <c r="C203" s="26" t="s">
        <v>190</v>
      </c>
      <c r="E203" s="9" t="s">
        <v>135</v>
      </c>
      <c r="G203">
        <v>1</v>
      </c>
      <c r="H203" s="19">
        <v>4.24</v>
      </c>
      <c r="I203" s="31">
        <f t="shared" si="24"/>
        <v>0</v>
      </c>
      <c r="J203" s="32">
        <f t="shared" si="25"/>
        <v>0</v>
      </c>
      <c r="K203" s="29">
        <f t="shared" si="26"/>
        <v>0</v>
      </c>
      <c r="L203" t="s">
        <v>300</v>
      </c>
    </row>
    <row r="204" spans="2:12" ht="13.8" customHeight="1" x14ac:dyDescent="0.3">
      <c r="B204" s="27">
        <f t="shared" si="23"/>
        <v>0</v>
      </c>
      <c r="C204" s="26" t="s">
        <v>324</v>
      </c>
      <c r="E204" s="9" t="s">
        <v>323</v>
      </c>
      <c r="G204">
        <v>1</v>
      </c>
      <c r="H204" s="19">
        <v>4</v>
      </c>
      <c r="I204" s="31">
        <f t="shared" si="24"/>
        <v>0</v>
      </c>
      <c r="J204" s="32">
        <f t="shared" si="25"/>
        <v>0</v>
      </c>
      <c r="K204" s="29">
        <f t="shared" si="26"/>
        <v>0</v>
      </c>
      <c r="L204" t="s">
        <v>300</v>
      </c>
    </row>
    <row r="205" spans="2:12" ht="13.8" customHeight="1" x14ac:dyDescent="0.3">
      <c r="B205" s="27">
        <f t="shared" si="23"/>
        <v>0</v>
      </c>
      <c r="C205" s="26" t="s">
        <v>193</v>
      </c>
      <c r="E205" s="9" t="s">
        <v>149</v>
      </c>
      <c r="G205">
        <v>1</v>
      </c>
      <c r="H205" s="19">
        <v>4.4400000000000004</v>
      </c>
      <c r="I205" s="31">
        <f t="shared" si="24"/>
        <v>0</v>
      </c>
      <c r="J205" s="32">
        <f t="shared" si="25"/>
        <v>0</v>
      </c>
      <c r="K205" s="29">
        <f t="shared" si="26"/>
        <v>0</v>
      </c>
      <c r="L205" t="s">
        <v>300</v>
      </c>
    </row>
    <row r="206" spans="2:12" ht="13.8" customHeight="1" x14ac:dyDescent="0.3">
      <c r="B206" s="27">
        <f t="shared" si="23"/>
        <v>0</v>
      </c>
      <c r="C206" s="26" t="s">
        <v>189</v>
      </c>
      <c r="E206" s="9" t="s">
        <v>124</v>
      </c>
      <c r="G206">
        <v>1</v>
      </c>
      <c r="H206" s="19">
        <v>4.96</v>
      </c>
      <c r="I206" s="31">
        <f t="shared" si="24"/>
        <v>0</v>
      </c>
      <c r="J206" s="32">
        <f t="shared" si="25"/>
        <v>0</v>
      </c>
      <c r="K206" s="29">
        <f t="shared" si="26"/>
        <v>0</v>
      </c>
      <c r="L206" t="s">
        <v>300</v>
      </c>
    </row>
    <row r="207" spans="2:12" ht="13.8" customHeight="1" x14ac:dyDescent="0.3">
      <c r="B207" s="27">
        <f>ROUNDUP(I207/G207,0)</f>
        <v>0</v>
      </c>
      <c r="C207" s="26" t="s">
        <v>334</v>
      </c>
      <c r="E207" s="26" t="s">
        <v>333</v>
      </c>
      <c r="G207">
        <v>1</v>
      </c>
      <c r="H207" s="19">
        <v>4.96</v>
      </c>
      <c r="I207" s="31">
        <f t="shared" si="24"/>
        <v>0</v>
      </c>
      <c r="J207" s="32">
        <f>G207*B207-I207</f>
        <v>0</v>
      </c>
      <c r="K207" s="29">
        <f>B207*H207</f>
        <v>0</v>
      </c>
      <c r="L207" t="s">
        <v>300</v>
      </c>
    </row>
    <row r="208" spans="2:12" ht="13.8" customHeight="1" x14ac:dyDescent="0.3">
      <c r="B208" s="27">
        <f t="shared" si="23"/>
        <v>1</v>
      </c>
      <c r="C208" s="26" t="s">
        <v>454</v>
      </c>
      <c r="E208" s="9" t="s">
        <v>124</v>
      </c>
      <c r="G208">
        <v>1</v>
      </c>
      <c r="H208" s="19">
        <v>4.96</v>
      </c>
      <c r="I208" s="31">
        <f t="shared" si="24"/>
        <v>1</v>
      </c>
      <c r="J208" s="32">
        <f t="shared" si="25"/>
        <v>0</v>
      </c>
      <c r="K208" s="29">
        <f t="shared" ref="K208:K219" si="27">B208*H208</f>
        <v>4.96</v>
      </c>
      <c r="L208" t="s">
        <v>300</v>
      </c>
    </row>
    <row r="209" spans="2:12" ht="13.8" customHeight="1" x14ac:dyDescent="0.3">
      <c r="B209" s="27">
        <f t="shared" si="23"/>
        <v>0</v>
      </c>
      <c r="C209" s="26" t="s">
        <v>361</v>
      </c>
      <c r="E209" s="9" t="s">
        <v>360</v>
      </c>
      <c r="G209">
        <v>1</v>
      </c>
      <c r="H209" s="19">
        <v>4</v>
      </c>
      <c r="I209" s="31">
        <f t="shared" si="24"/>
        <v>0</v>
      </c>
      <c r="J209" s="32">
        <f t="shared" si="25"/>
        <v>0</v>
      </c>
      <c r="K209" s="29">
        <f t="shared" si="27"/>
        <v>0</v>
      </c>
      <c r="L209" t="s">
        <v>300</v>
      </c>
    </row>
    <row r="210" spans="2:12" ht="13.8" customHeight="1" x14ac:dyDescent="0.3">
      <c r="B210" s="27">
        <f t="shared" si="23"/>
        <v>0</v>
      </c>
      <c r="C210" s="26" t="s">
        <v>368</v>
      </c>
      <c r="E210" t="s">
        <v>367</v>
      </c>
      <c r="G210">
        <v>1</v>
      </c>
      <c r="H210" s="19">
        <v>4.96</v>
      </c>
      <c r="I210" s="31">
        <f t="shared" si="24"/>
        <v>0</v>
      </c>
      <c r="J210" s="32">
        <f t="shared" si="25"/>
        <v>0</v>
      </c>
      <c r="K210" s="29">
        <f t="shared" si="27"/>
        <v>0</v>
      </c>
      <c r="L210" t="s">
        <v>300</v>
      </c>
    </row>
    <row r="211" spans="2:12" ht="13.8" customHeight="1" x14ac:dyDescent="0.3">
      <c r="B211" s="27">
        <f t="shared" si="23"/>
        <v>0</v>
      </c>
      <c r="C211" s="26" t="s">
        <v>356</v>
      </c>
      <c r="E211" t="s">
        <v>355</v>
      </c>
      <c r="G211">
        <v>1</v>
      </c>
      <c r="H211" s="19">
        <v>4.96</v>
      </c>
      <c r="I211" s="31">
        <f t="shared" si="24"/>
        <v>0</v>
      </c>
      <c r="J211" s="32">
        <f t="shared" si="25"/>
        <v>0</v>
      </c>
      <c r="K211" s="29">
        <f t="shared" si="27"/>
        <v>0</v>
      </c>
      <c r="L211" t="s">
        <v>300</v>
      </c>
    </row>
    <row r="212" spans="2:12" ht="13.8" customHeight="1" x14ac:dyDescent="0.3">
      <c r="B212" s="27">
        <f t="shared" ref="B212:B217" si="28">ROUNDUP(I212/G212,0)</f>
        <v>1</v>
      </c>
      <c r="C212" s="26" t="s">
        <v>191</v>
      </c>
      <c r="E212" s="9" t="s">
        <v>186</v>
      </c>
      <c r="G212">
        <v>1</v>
      </c>
      <c r="H212" s="19">
        <v>7.13</v>
      </c>
      <c r="I212" s="31">
        <f t="shared" si="24"/>
        <v>1</v>
      </c>
      <c r="J212" s="32">
        <f t="shared" si="25"/>
        <v>0</v>
      </c>
      <c r="K212" s="29">
        <f t="shared" si="27"/>
        <v>7.13</v>
      </c>
      <c r="L212" t="s">
        <v>300</v>
      </c>
    </row>
    <row r="213" spans="2:12" ht="13.8" customHeight="1" x14ac:dyDescent="0.3">
      <c r="B213" s="27">
        <f t="shared" si="28"/>
        <v>1</v>
      </c>
      <c r="C213" s="26" t="s">
        <v>402</v>
      </c>
      <c r="E213" s="9" t="s">
        <v>207</v>
      </c>
      <c r="G213">
        <v>1</v>
      </c>
      <c r="H213" s="19">
        <v>7.88</v>
      </c>
      <c r="I213" s="31">
        <f t="shared" si="24"/>
        <v>1</v>
      </c>
      <c r="J213" s="32">
        <f t="shared" si="25"/>
        <v>0</v>
      </c>
      <c r="K213" s="29">
        <f t="shared" si="27"/>
        <v>7.88</v>
      </c>
      <c r="L213" t="s">
        <v>300</v>
      </c>
    </row>
    <row r="214" spans="2:12" ht="13.8" customHeight="1" x14ac:dyDescent="0.3">
      <c r="B214" s="27">
        <f t="shared" si="28"/>
        <v>1</v>
      </c>
      <c r="C214" s="26" t="s">
        <v>401</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405</v>
      </c>
      <c r="E215" s="9" t="s">
        <v>207</v>
      </c>
      <c r="G215">
        <v>1</v>
      </c>
      <c r="H215" s="19">
        <v>7.88</v>
      </c>
      <c r="I215" s="31">
        <f t="shared" si="24"/>
        <v>1</v>
      </c>
      <c r="J215" s="32">
        <f t="shared" si="25"/>
        <v>0</v>
      </c>
      <c r="K215" s="29">
        <f t="shared" si="27"/>
        <v>7.88</v>
      </c>
      <c r="L215" t="s">
        <v>300</v>
      </c>
    </row>
    <row r="216" spans="2:12" ht="13.8" customHeight="1" x14ac:dyDescent="0.3">
      <c r="B216" s="27">
        <f t="shared" si="28"/>
        <v>0</v>
      </c>
      <c r="C216" s="26" t="s">
        <v>206</v>
      </c>
      <c r="E216" s="9" t="s">
        <v>207</v>
      </c>
      <c r="G216">
        <v>1</v>
      </c>
      <c r="H216" s="19">
        <v>7.88</v>
      </c>
      <c r="I216" s="31">
        <f t="shared" si="24"/>
        <v>0</v>
      </c>
      <c r="J216" s="32">
        <f t="shared" si="25"/>
        <v>0</v>
      </c>
      <c r="K216" s="29">
        <f t="shared" si="27"/>
        <v>0</v>
      </c>
      <c r="L216" t="s">
        <v>300</v>
      </c>
    </row>
    <row r="217" spans="2:12" ht="13.8" customHeight="1" x14ac:dyDescent="0.3">
      <c r="B217" s="27">
        <f t="shared" si="28"/>
        <v>0</v>
      </c>
      <c r="C217" s="26" t="s">
        <v>205</v>
      </c>
      <c r="E217" s="9" t="s">
        <v>204</v>
      </c>
      <c r="G217">
        <v>1</v>
      </c>
      <c r="H217" s="19">
        <v>7.88</v>
      </c>
      <c r="I217" s="31">
        <f t="shared" si="24"/>
        <v>0</v>
      </c>
      <c r="J217" s="32">
        <f t="shared" si="25"/>
        <v>0</v>
      </c>
      <c r="K217" s="29">
        <f t="shared" si="27"/>
        <v>0</v>
      </c>
      <c r="L217" t="s">
        <v>300</v>
      </c>
    </row>
    <row r="218" spans="2:12" ht="13.8" customHeight="1" x14ac:dyDescent="0.3">
      <c r="B218" s="27">
        <f>ROUNDUP(I218/G218,0)</f>
        <v>1</v>
      </c>
      <c r="C218" s="26" t="s">
        <v>192</v>
      </c>
      <c r="E218" s="9" t="s">
        <v>328</v>
      </c>
      <c r="G218">
        <v>1</v>
      </c>
      <c r="H218" s="19">
        <v>8.8699999999999992</v>
      </c>
      <c r="I218" s="31">
        <f t="shared" si="24"/>
        <v>1</v>
      </c>
      <c r="J218" s="32">
        <f t="shared" si="25"/>
        <v>0</v>
      </c>
      <c r="K218" s="29">
        <f t="shared" si="27"/>
        <v>8.8699999999999992</v>
      </c>
      <c r="L218" t="s">
        <v>300</v>
      </c>
    </row>
    <row r="219" spans="2:12" ht="13.8" customHeight="1" x14ac:dyDescent="0.3">
      <c r="B219" s="27">
        <f>ROUNDUP(I219/G219,0)</f>
        <v>0</v>
      </c>
      <c r="C219" s="26" t="s">
        <v>229</v>
      </c>
      <c r="E219" s="9" t="s">
        <v>228</v>
      </c>
      <c r="G219">
        <v>1</v>
      </c>
      <c r="H219" s="19">
        <v>7.13</v>
      </c>
      <c r="I219" s="31">
        <f t="shared" si="24"/>
        <v>0</v>
      </c>
      <c r="J219" s="32">
        <f t="shared" si="25"/>
        <v>0</v>
      </c>
      <c r="K219" s="29">
        <f t="shared" si="27"/>
        <v>0</v>
      </c>
      <c r="L219" t="s">
        <v>300</v>
      </c>
    </row>
    <row r="220" spans="2:12" ht="13.8" customHeight="1" x14ac:dyDescent="0.3">
      <c r="B220" s="27"/>
      <c r="C220" s="26"/>
      <c r="H220" s="19"/>
      <c r="I220" s="31"/>
      <c r="J220" s="32"/>
      <c r="K220" s="29"/>
    </row>
    <row r="221" spans="2:12" ht="13.8" customHeight="1" x14ac:dyDescent="0.3">
      <c r="B221" s="27">
        <f t="shared" ref="B221:B229" si="29">ROUNDUP(I221/G221,0)</f>
        <v>0</v>
      </c>
      <c r="C221" s="26" t="s">
        <v>410</v>
      </c>
      <c r="E221" s="9" t="s">
        <v>409</v>
      </c>
      <c r="G221">
        <v>1</v>
      </c>
      <c r="H221" s="19">
        <v>14.5</v>
      </c>
      <c r="I221" s="31">
        <f t="shared" ref="I221:I229" si="30">SUMIF(C$1:C$141,"="&amp;C221,B$1:B$141)</f>
        <v>0</v>
      </c>
      <c r="J221" s="32">
        <f t="shared" ref="J221:J229" si="31">G221*B221-I221</f>
        <v>0</v>
      </c>
      <c r="K221" s="29">
        <f t="shared" ref="K221:K229" si="32">B221*H221</f>
        <v>0</v>
      </c>
      <c r="L221" t="s">
        <v>300</v>
      </c>
    </row>
    <row r="222" spans="2:12" ht="13.8" customHeight="1" x14ac:dyDescent="0.3">
      <c r="B222" s="27">
        <f t="shared" si="29"/>
        <v>0</v>
      </c>
      <c r="C222" s="26" t="s">
        <v>412</v>
      </c>
      <c r="E222" t="s">
        <v>381</v>
      </c>
      <c r="G222">
        <v>1</v>
      </c>
      <c r="H222" s="19">
        <v>14.5</v>
      </c>
      <c r="I222" s="31">
        <f t="shared" si="30"/>
        <v>0</v>
      </c>
      <c r="J222" s="32">
        <f t="shared" si="31"/>
        <v>0</v>
      </c>
      <c r="K222" s="29">
        <f t="shared" si="32"/>
        <v>0</v>
      </c>
      <c r="L222" t="s">
        <v>300</v>
      </c>
    </row>
    <row r="223" spans="2:12" ht="13.8" customHeight="1" x14ac:dyDescent="0.3">
      <c r="B223" s="27">
        <f t="shared" si="29"/>
        <v>1</v>
      </c>
      <c r="C223" s="26" t="s">
        <v>413</v>
      </c>
      <c r="E223" s="9" t="s">
        <v>409</v>
      </c>
      <c r="G223">
        <v>1</v>
      </c>
      <c r="H223" s="19">
        <v>14.5</v>
      </c>
      <c r="I223" s="31">
        <f t="shared" si="30"/>
        <v>1</v>
      </c>
      <c r="J223" s="32">
        <f t="shared" si="31"/>
        <v>0</v>
      </c>
      <c r="K223" s="29">
        <f t="shared" si="32"/>
        <v>14.5</v>
      </c>
      <c r="L223" t="s">
        <v>300</v>
      </c>
    </row>
    <row r="224" spans="2:12" ht="13.8" customHeight="1" x14ac:dyDescent="0.3">
      <c r="B224" s="27">
        <f t="shared" si="29"/>
        <v>1</v>
      </c>
      <c r="C224" s="26" t="s">
        <v>417</v>
      </c>
      <c r="E224" s="9" t="s">
        <v>418</v>
      </c>
      <c r="G224">
        <v>1</v>
      </c>
      <c r="H224" s="19">
        <v>8.5</v>
      </c>
      <c r="I224" s="31">
        <f t="shared" si="30"/>
        <v>1</v>
      </c>
      <c r="J224" s="32">
        <f t="shared" si="31"/>
        <v>0</v>
      </c>
      <c r="K224" s="29">
        <f t="shared" si="32"/>
        <v>8.5</v>
      </c>
      <c r="L224" t="s">
        <v>300</v>
      </c>
    </row>
    <row r="225" spans="2:12" ht="13.8" customHeight="1" x14ac:dyDescent="0.3">
      <c r="B225" s="27">
        <f t="shared" si="29"/>
        <v>1</v>
      </c>
      <c r="C225" s="26" t="s">
        <v>383</v>
      </c>
      <c r="E225" s="9" t="s">
        <v>188</v>
      </c>
      <c r="G225">
        <v>1</v>
      </c>
      <c r="H225" s="19">
        <v>54.2</v>
      </c>
      <c r="I225" s="31">
        <f t="shared" si="30"/>
        <v>1</v>
      </c>
      <c r="J225" s="32">
        <f t="shared" si="31"/>
        <v>0</v>
      </c>
      <c r="K225" s="29">
        <f t="shared" si="32"/>
        <v>54.2</v>
      </c>
      <c r="L225" t="s">
        <v>300</v>
      </c>
    </row>
    <row r="226" spans="2:12" ht="13.8" customHeight="1" x14ac:dyDescent="0.3">
      <c r="B226" s="27">
        <f t="shared" si="29"/>
        <v>1</v>
      </c>
      <c r="C226" s="26" t="s">
        <v>399</v>
      </c>
      <c r="E226" s="9" t="s">
        <v>285</v>
      </c>
      <c r="G226">
        <v>1</v>
      </c>
      <c r="H226" s="19">
        <v>37</v>
      </c>
      <c r="I226" s="31">
        <f t="shared" si="30"/>
        <v>1</v>
      </c>
      <c r="J226" s="32">
        <f t="shared" si="31"/>
        <v>0</v>
      </c>
      <c r="K226" s="29">
        <f t="shared" si="32"/>
        <v>37</v>
      </c>
      <c r="L226" t="s">
        <v>300</v>
      </c>
    </row>
    <row r="227" spans="2:12" ht="13.8" customHeight="1" x14ac:dyDescent="0.3">
      <c r="B227" s="27">
        <f t="shared" si="29"/>
        <v>1</v>
      </c>
      <c r="C227" s="26" t="s">
        <v>281</v>
      </c>
      <c r="E227" s="9" t="s">
        <v>284</v>
      </c>
      <c r="G227">
        <v>1</v>
      </c>
      <c r="H227" s="19">
        <v>18</v>
      </c>
      <c r="I227" s="31">
        <f t="shared" si="30"/>
        <v>1</v>
      </c>
      <c r="J227" s="32">
        <f t="shared" si="31"/>
        <v>0</v>
      </c>
      <c r="K227" s="29">
        <f t="shared" si="32"/>
        <v>18</v>
      </c>
      <c r="L227" t="s">
        <v>300</v>
      </c>
    </row>
    <row r="228" spans="2:12" ht="13.8" customHeight="1" x14ac:dyDescent="0.3">
      <c r="B228" s="27">
        <f t="shared" si="29"/>
        <v>5</v>
      </c>
      <c r="C228" s="26" t="s">
        <v>127</v>
      </c>
      <c r="E228" s="9" t="s">
        <v>73</v>
      </c>
      <c r="G228">
        <v>1</v>
      </c>
      <c r="H228" s="19">
        <v>14.53</v>
      </c>
      <c r="I228" s="31">
        <f t="shared" si="30"/>
        <v>5</v>
      </c>
      <c r="J228" s="32">
        <f t="shared" si="31"/>
        <v>0</v>
      </c>
      <c r="K228" s="29">
        <f t="shared" si="32"/>
        <v>72.649999999999991</v>
      </c>
      <c r="L228" t="s">
        <v>300</v>
      </c>
    </row>
    <row r="229" spans="2:12" ht="13.8" customHeight="1" x14ac:dyDescent="0.3">
      <c r="B229" s="27">
        <f t="shared" si="29"/>
        <v>2</v>
      </c>
      <c r="C229" s="26" t="s">
        <v>378</v>
      </c>
      <c r="E229" s="9" t="s">
        <v>194</v>
      </c>
      <c r="G229">
        <v>1</v>
      </c>
      <c r="H229" s="19">
        <v>36.42</v>
      </c>
      <c r="I229" s="31">
        <f t="shared" si="30"/>
        <v>2</v>
      </c>
      <c r="J229" s="32">
        <f t="shared" si="31"/>
        <v>0</v>
      </c>
      <c r="K229" s="29">
        <f t="shared" si="32"/>
        <v>72.84</v>
      </c>
      <c r="L229" t="s">
        <v>300</v>
      </c>
    </row>
    <row r="230" spans="2:12" ht="13.8" customHeight="1" x14ac:dyDescent="0.3">
      <c r="B230" s="27"/>
      <c r="C230" s="26"/>
      <c r="E230" s="9"/>
      <c r="H230" s="19"/>
      <c r="I230" s="31"/>
      <c r="J230" s="32"/>
      <c r="K230" s="29"/>
    </row>
    <row r="231" spans="2:12" ht="13.8" customHeight="1" x14ac:dyDescent="0.3">
      <c r="B231" s="27">
        <f t="shared" ref="B231:B236" si="33">ROUNDUP(I231/G231,0)</f>
        <v>16</v>
      </c>
      <c r="C231" s="26" t="s">
        <v>376</v>
      </c>
      <c r="E231" s="9" t="s">
        <v>377</v>
      </c>
      <c r="G231">
        <v>1</v>
      </c>
      <c r="H231" s="19">
        <v>1.35</v>
      </c>
      <c r="I231" s="31">
        <f t="shared" ref="I231:I247" si="34">SUMIF(C$1:C$141,"="&amp;C231,B$1:B$141)</f>
        <v>16</v>
      </c>
      <c r="J231" s="32">
        <f t="shared" ref="J231:J247" si="35">G231*B231-I231</f>
        <v>0</v>
      </c>
      <c r="K231" s="29">
        <f t="shared" ref="K231:K236" si="36">B231*H231</f>
        <v>21.6</v>
      </c>
      <c r="L231" t="s">
        <v>300</v>
      </c>
    </row>
    <row r="232" spans="2:12" ht="13.8" customHeight="1" x14ac:dyDescent="0.3">
      <c r="B232" s="27">
        <f t="shared" si="33"/>
        <v>0</v>
      </c>
      <c r="C232" s="26" t="s">
        <v>390</v>
      </c>
      <c r="E232" s="9" t="s">
        <v>379</v>
      </c>
      <c r="G232">
        <v>1</v>
      </c>
      <c r="H232" s="19">
        <v>1.35</v>
      </c>
      <c r="I232" s="31">
        <f t="shared" si="34"/>
        <v>0</v>
      </c>
      <c r="J232" s="32">
        <f t="shared" si="35"/>
        <v>0</v>
      </c>
      <c r="K232" s="29">
        <f t="shared" si="36"/>
        <v>0</v>
      </c>
      <c r="L232" t="s">
        <v>244</v>
      </c>
    </row>
    <row r="233" spans="2:12" ht="13.8" customHeight="1" x14ac:dyDescent="0.3">
      <c r="B233" s="27">
        <f t="shared" si="33"/>
        <v>16</v>
      </c>
      <c r="C233" s="26" t="s">
        <v>380</v>
      </c>
      <c r="E233" s="9" t="s">
        <v>392</v>
      </c>
      <c r="G233">
        <v>1</v>
      </c>
      <c r="H233" s="19">
        <v>1.35</v>
      </c>
      <c r="I233" s="31">
        <f t="shared" si="34"/>
        <v>16</v>
      </c>
      <c r="J233" s="32">
        <f t="shared" si="35"/>
        <v>0</v>
      </c>
      <c r="K233" s="29">
        <f t="shared" si="36"/>
        <v>21.6</v>
      </c>
      <c r="L233" t="s">
        <v>244</v>
      </c>
    </row>
    <row r="234" spans="2:12" ht="13.8" customHeight="1" x14ac:dyDescent="0.3">
      <c r="B234" s="27">
        <f t="shared" si="33"/>
        <v>6</v>
      </c>
      <c r="C234" s="26" t="s">
        <v>146</v>
      </c>
      <c r="E234" s="9" t="s">
        <v>145</v>
      </c>
      <c r="G234">
        <v>1</v>
      </c>
      <c r="H234" s="19">
        <v>1.05</v>
      </c>
      <c r="I234" s="31">
        <f t="shared" si="34"/>
        <v>6</v>
      </c>
      <c r="J234" s="32">
        <f t="shared" si="35"/>
        <v>0</v>
      </c>
      <c r="K234" s="29">
        <f t="shared" si="36"/>
        <v>6.3000000000000007</v>
      </c>
      <c r="L234" t="s">
        <v>300</v>
      </c>
    </row>
    <row r="235" spans="2:12" ht="13.8" customHeight="1" x14ac:dyDescent="0.3">
      <c r="B235" s="27">
        <f t="shared" si="33"/>
        <v>0</v>
      </c>
      <c r="C235" s="26" t="s">
        <v>375</v>
      </c>
      <c r="E235" s="9" t="s">
        <v>374</v>
      </c>
      <c r="G235">
        <v>1</v>
      </c>
      <c r="H235" s="19">
        <v>1.35</v>
      </c>
      <c r="I235" s="31">
        <f t="shared" si="34"/>
        <v>0</v>
      </c>
      <c r="J235" s="32">
        <f t="shared" si="35"/>
        <v>0</v>
      </c>
      <c r="K235" s="29">
        <f t="shared" si="36"/>
        <v>0</v>
      </c>
      <c r="L235" t="s">
        <v>300</v>
      </c>
    </row>
    <row r="236" spans="2:12" ht="13.8" customHeight="1" x14ac:dyDescent="0.3">
      <c r="B236" s="27">
        <f t="shared" si="33"/>
        <v>0</v>
      </c>
      <c r="C236" s="26" t="s">
        <v>372</v>
      </c>
      <c r="E236" s="9" t="s">
        <v>371</v>
      </c>
      <c r="G236">
        <v>1</v>
      </c>
      <c r="H236" s="19">
        <v>2.19</v>
      </c>
      <c r="I236" s="31">
        <f t="shared" si="34"/>
        <v>0</v>
      </c>
      <c r="J236" s="32">
        <f t="shared" si="35"/>
        <v>0</v>
      </c>
      <c r="K236" s="29">
        <f t="shared" si="36"/>
        <v>0</v>
      </c>
      <c r="L236" t="s">
        <v>244</v>
      </c>
    </row>
    <row r="237" spans="2:12" ht="13.8" customHeight="1" x14ac:dyDescent="0.3">
      <c r="B237" s="27">
        <f t="shared" ref="B237:B247" si="37">ROUNDUP(I237/G237,0)</f>
        <v>16</v>
      </c>
      <c r="C237" s="26" t="s">
        <v>185</v>
      </c>
      <c r="E237" s="9" t="s">
        <v>195</v>
      </c>
      <c r="G237">
        <v>1</v>
      </c>
      <c r="H237" s="19">
        <v>1.54</v>
      </c>
      <c r="I237" s="31">
        <f t="shared" si="34"/>
        <v>16</v>
      </c>
      <c r="J237" s="32">
        <f t="shared" si="35"/>
        <v>0</v>
      </c>
      <c r="K237" s="29">
        <f t="shared" ref="K237:K247" si="38">B237*H237</f>
        <v>24.64</v>
      </c>
      <c r="L237" t="s">
        <v>300</v>
      </c>
    </row>
    <row r="238" spans="2:12" ht="13.8" customHeight="1" x14ac:dyDescent="0.3">
      <c r="B238" s="27">
        <f t="shared" si="37"/>
        <v>10</v>
      </c>
      <c r="C238" s="26" t="s">
        <v>197</v>
      </c>
      <c r="E238" s="9" t="s">
        <v>196</v>
      </c>
      <c r="G238">
        <v>1</v>
      </c>
      <c r="H238" s="19">
        <v>1.54</v>
      </c>
      <c r="I238" s="31">
        <f t="shared" si="34"/>
        <v>10</v>
      </c>
      <c r="J238" s="32">
        <f t="shared" si="35"/>
        <v>0</v>
      </c>
      <c r="K238" s="29">
        <f t="shared" si="38"/>
        <v>15.4</v>
      </c>
      <c r="L238" t="s">
        <v>300</v>
      </c>
    </row>
    <row r="239" spans="2:12" ht="13.8" customHeight="1" x14ac:dyDescent="0.3">
      <c r="B239" s="27">
        <f t="shared" si="37"/>
        <v>0</v>
      </c>
      <c r="C239" s="26" t="s">
        <v>118</v>
      </c>
      <c r="E239" s="9" t="s">
        <v>117</v>
      </c>
      <c r="G239">
        <v>1</v>
      </c>
      <c r="H239" s="19">
        <v>1.95</v>
      </c>
      <c r="I239" s="31">
        <f t="shared" si="34"/>
        <v>0</v>
      </c>
      <c r="J239" s="32">
        <f t="shared" si="35"/>
        <v>0</v>
      </c>
      <c r="K239" s="29">
        <f t="shared" si="38"/>
        <v>0</v>
      </c>
      <c r="L239" t="s">
        <v>300</v>
      </c>
    </row>
    <row r="240" spans="2:12" ht="13.8" customHeight="1" x14ac:dyDescent="0.3">
      <c r="B240" s="27">
        <f t="shared" si="37"/>
        <v>2</v>
      </c>
      <c r="C240" s="26" t="s">
        <v>141</v>
      </c>
      <c r="E240" s="9" t="s">
        <v>142</v>
      </c>
      <c r="G240">
        <v>1</v>
      </c>
      <c r="H240" s="19">
        <v>1</v>
      </c>
      <c r="I240" s="31">
        <f t="shared" si="34"/>
        <v>2</v>
      </c>
      <c r="J240" s="32">
        <f t="shared" si="35"/>
        <v>0</v>
      </c>
      <c r="K240" s="29">
        <f t="shared" si="38"/>
        <v>2</v>
      </c>
      <c r="L240" t="s">
        <v>300</v>
      </c>
    </row>
    <row r="241" spans="1:12" ht="13.8" customHeight="1" x14ac:dyDescent="0.3">
      <c r="B241" s="27">
        <f t="shared" si="37"/>
        <v>1</v>
      </c>
      <c r="C241" s="26" t="s">
        <v>113</v>
      </c>
      <c r="E241" s="9" t="s">
        <v>114</v>
      </c>
      <c r="G241">
        <v>1</v>
      </c>
      <c r="H241" s="19">
        <v>1.39</v>
      </c>
      <c r="I241" s="31">
        <f t="shared" si="34"/>
        <v>1</v>
      </c>
      <c r="J241" s="32">
        <f t="shared" si="35"/>
        <v>0</v>
      </c>
      <c r="K241" s="29">
        <f t="shared" si="38"/>
        <v>1.39</v>
      </c>
      <c r="L241" t="s">
        <v>300</v>
      </c>
    </row>
    <row r="242" spans="1:12" ht="13.8" customHeight="1" x14ac:dyDescent="0.3">
      <c r="B242" s="27">
        <f t="shared" si="37"/>
        <v>5</v>
      </c>
      <c r="C242" s="26" t="s">
        <v>108</v>
      </c>
      <c r="E242" s="9" t="s">
        <v>71</v>
      </c>
      <c r="G242">
        <v>1</v>
      </c>
      <c r="H242" s="19">
        <v>3.29</v>
      </c>
      <c r="I242" s="31">
        <f t="shared" si="34"/>
        <v>5</v>
      </c>
      <c r="J242" s="32">
        <f t="shared" si="35"/>
        <v>0</v>
      </c>
      <c r="K242" s="29">
        <f t="shared" si="38"/>
        <v>16.45</v>
      </c>
      <c r="L242" t="s">
        <v>300</v>
      </c>
    </row>
    <row r="243" spans="1:12" ht="13.8" customHeight="1" x14ac:dyDescent="0.3">
      <c r="B243" s="27">
        <f t="shared" si="37"/>
        <v>1</v>
      </c>
      <c r="C243" s="26" t="s">
        <v>411</v>
      </c>
      <c r="E243" s="9" t="s">
        <v>71</v>
      </c>
      <c r="G243">
        <v>1</v>
      </c>
      <c r="H243" s="19">
        <v>3.29</v>
      </c>
      <c r="I243" s="31">
        <f t="shared" si="34"/>
        <v>1</v>
      </c>
      <c r="J243" s="32">
        <f t="shared" si="35"/>
        <v>0</v>
      </c>
      <c r="K243" s="29">
        <f t="shared" si="38"/>
        <v>3.29</v>
      </c>
      <c r="L243" t="s">
        <v>300</v>
      </c>
    </row>
    <row r="244" spans="1:12" ht="13.8" customHeight="1" x14ac:dyDescent="0.3">
      <c r="B244" s="27">
        <f t="shared" si="37"/>
        <v>4</v>
      </c>
      <c r="C244" s="26" t="s">
        <v>212</v>
      </c>
      <c r="E244" s="9" t="s">
        <v>213</v>
      </c>
      <c r="G244">
        <v>1</v>
      </c>
      <c r="H244" s="19">
        <v>1</v>
      </c>
      <c r="I244" s="31">
        <f t="shared" si="34"/>
        <v>4</v>
      </c>
      <c r="J244" s="32">
        <f t="shared" si="35"/>
        <v>0</v>
      </c>
      <c r="K244" s="29">
        <f t="shared" si="38"/>
        <v>4</v>
      </c>
      <c r="L244" t="s">
        <v>300</v>
      </c>
    </row>
    <row r="245" spans="1:12" ht="13.8" customHeight="1" x14ac:dyDescent="0.3">
      <c r="B245" s="27">
        <f t="shared" si="37"/>
        <v>1</v>
      </c>
      <c r="C245" s="26" t="s">
        <v>104</v>
      </c>
      <c r="E245" s="9" t="s">
        <v>222</v>
      </c>
      <c r="G245">
        <v>1</v>
      </c>
      <c r="H245" s="19">
        <v>20</v>
      </c>
      <c r="I245" s="31">
        <f t="shared" si="34"/>
        <v>1</v>
      </c>
      <c r="J245" s="32">
        <f t="shared" si="35"/>
        <v>0</v>
      </c>
      <c r="K245" s="29">
        <f t="shared" si="38"/>
        <v>20</v>
      </c>
      <c r="L245" t="s">
        <v>300</v>
      </c>
    </row>
    <row r="246" spans="1:12" ht="13.8" customHeight="1" x14ac:dyDescent="0.3">
      <c r="B246" s="27">
        <f t="shared" si="37"/>
        <v>0</v>
      </c>
      <c r="C246" s="26" t="s">
        <v>223</v>
      </c>
      <c r="E246" s="9" t="s">
        <v>233</v>
      </c>
      <c r="G246">
        <v>1</v>
      </c>
      <c r="H246" s="19">
        <v>18.079999999999998</v>
      </c>
      <c r="I246" s="31">
        <f t="shared" si="34"/>
        <v>0</v>
      </c>
      <c r="J246" s="32">
        <f t="shared" si="35"/>
        <v>0</v>
      </c>
      <c r="K246" s="29">
        <f t="shared" si="38"/>
        <v>0</v>
      </c>
      <c r="L246" t="s">
        <v>300</v>
      </c>
    </row>
    <row r="247" spans="1:12" ht="13.8" customHeight="1" x14ac:dyDescent="0.3">
      <c r="B247" s="27">
        <f t="shared" si="37"/>
        <v>2</v>
      </c>
      <c r="C247" s="26" t="s">
        <v>406</v>
      </c>
      <c r="E247" s="9" t="s">
        <v>233</v>
      </c>
      <c r="G247">
        <v>1</v>
      </c>
      <c r="H247" s="19">
        <v>18.079999999999998</v>
      </c>
      <c r="I247" s="31">
        <f t="shared" si="34"/>
        <v>2</v>
      </c>
      <c r="J247" s="32">
        <f t="shared" si="35"/>
        <v>0</v>
      </c>
      <c r="K247" s="29">
        <f t="shared" si="38"/>
        <v>36.159999999999997</v>
      </c>
      <c r="L247" t="s">
        <v>300</v>
      </c>
    </row>
    <row r="248" spans="1:12" ht="13.8" customHeight="1" x14ac:dyDescent="0.3">
      <c r="B248" s="27"/>
      <c r="C248" s="26"/>
      <c r="E248" s="9"/>
      <c r="H248" s="19"/>
      <c r="I248" s="31"/>
      <c r="J248" s="32"/>
      <c r="K248" s="29"/>
    </row>
    <row r="249" spans="1:12" ht="13.8" customHeight="1" x14ac:dyDescent="0.3">
      <c r="A249" s="6" t="s">
        <v>176</v>
      </c>
      <c r="B249" s="27"/>
      <c r="E249"/>
      <c r="H249" s="19"/>
      <c r="I249" s="31"/>
      <c r="J249" s="32"/>
      <c r="K249" s="29"/>
    </row>
    <row r="250" spans="1:12" ht="13.8" customHeight="1" x14ac:dyDescent="0.3">
      <c r="A250" s="6"/>
      <c r="B250" s="27">
        <v>1</v>
      </c>
      <c r="C250" s="26" t="s">
        <v>287</v>
      </c>
      <c r="E250" t="s">
        <v>286</v>
      </c>
      <c r="G250">
        <v>1</v>
      </c>
      <c r="H250" s="19">
        <v>10.99</v>
      </c>
      <c r="I250" s="31">
        <f t="shared" ref="I250:I258" si="39">SUMIF(C$1:C$141,"="&amp;C250,B$1:B$141)</f>
        <v>0</v>
      </c>
      <c r="J250" s="32">
        <f t="shared" ref="J250:J257" si="40">G250*B250-I250</f>
        <v>1</v>
      </c>
      <c r="K250" s="29">
        <f t="shared" ref="K250:K257" si="41">B250*H250</f>
        <v>10.99</v>
      </c>
      <c r="L250" t="s">
        <v>300</v>
      </c>
    </row>
    <row r="251" spans="1:12" ht="13.8" customHeight="1" x14ac:dyDescent="0.3">
      <c r="B251" s="27">
        <v>1</v>
      </c>
      <c r="C251" s="26" t="s">
        <v>168</v>
      </c>
      <c r="E251" s="9" t="s">
        <v>269</v>
      </c>
      <c r="G251">
        <v>1</v>
      </c>
      <c r="H251" s="19">
        <v>10.99</v>
      </c>
      <c r="I251" s="31">
        <f t="shared" si="39"/>
        <v>1</v>
      </c>
      <c r="J251" s="32">
        <f t="shared" si="40"/>
        <v>0</v>
      </c>
      <c r="K251" s="29">
        <f t="shared" si="41"/>
        <v>10.99</v>
      </c>
      <c r="L251" t="s">
        <v>300</v>
      </c>
    </row>
    <row r="252" spans="1:12" ht="13.8" customHeight="1" x14ac:dyDescent="0.3">
      <c r="B252" s="27">
        <v>1</v>
      </c>
      <c r="C252" s="26" t="s">
        <v>174</v>
      </c>
      <c r="E252" s="9" t="s">
        <v>272</v>
      </c>
      <c r="G252">
        <v>1</v>
      </c>
      <c r="H252" s="19">
        <v>2.8</v>
      </c>
      <c r="I252" s="31">
        <f t="shared" si="39"/>
        <v>0</v>
      </c>
      <c r="J252" s="32">
        <f t="shared" si="40"/>
        <v>1</v>
      </c>
      <c r="K252" s="29">
        <f t="shared" si="41"/>
        <v>2.8</v>
      </c>
      <c r="L252" t="s">
        <v>300</v>
      </c>
    </row>
    <row r="253" spans="1:12" ht="13.8" customHeight="1" x14ac:dyDescent="0.3">
      <c r="B253" s="27">
        <v>1</v>
      </c>
      <c r="C253" s="26" t="s">
        <v>175</v>
      </c>
      <c r="E253" s="9" t="s">
        <v>273</v>
      </c>
      <c r="G253">
        <v>1</v>
      </c>
      <c r="H253" s="19">
        <v>2.8</v>
      </c>
      <c r="I253" s="31">
        <f t="shared" si="39"/>
        <v>1</v>
      </c>
      <c r="J253" s="32">
        <f t="shared" si="40"/>
        <v>0</v>
      </c>
      <c r="K253" s="29">
        <f t="shared" si="41"/>
        <v>2.8</v>
      </c>
      <c r="L253" t="s">
        <v>300</v>
      </c>
    </row>
    <row r="254" spans="1:12" ht="13.8" customHeight="1" x14ac:dyDescent="0.3">
      <c r="B254" s="27">
        <v>1</v>
      </c>
      <c r="C254" s="26" t="s">
        <v>271</v>
      </c>
      <c r="E254" s="9" t="s">
        <v>274</v>
      </c>
      <c r="G254">
        <v>1</v>
      </c>
      <c r="H254" s="19">
        <v>2.8</v>
      </c>
      <c r="I254" s="31">
        <f t="shared" si="39"/>
        <v>0</v>
      </c>
      <c r="J254" s="32">
        <f t="shared" si="40"/>
        <v>1</v>
      </c>
      <c r="K254" s="29">
        <f t="shared" si="41"/>
        <v>2.8</v>
      </c>
      <c r="L254" t="s">
        <v>300</v>
      </c>
    </row>
    <row r="255" spans="1:12" ht="13.8" customHeight="1" x14ac:dyDescent="0.3">
      <c r="B255" s="27">
        <v>1</v>
      </c>
      <c r="C255" s="26" t="s">
        <v>270</v>
      </c>
      <c r="E255" s="9" t="s">
        <v>275</v>
      </c>
      <c r="G255">
        <v>1</v>
      </c>
      <c r="H255" s="19">
        <v>2.8</v>
      </c>
      <c r="I255" s="31">
        <f t="shared" si="39"/>
        <v>1</v>
      </c>
      <c r="J255" s="32">
        <f t="shared" si="40"/>
        <v>0</v>
      </c>
      <c r="K255" s="29">
        <f t="shared" si="41"/>
        <v>2.8</v>
      </c>
      <c r="L255" t="s">
        <v>300</v>
      </c>
    </row>
    <row r="256" spans="1:12" ht="13.8" customHeight="1" x14ac:dyDescent="0.3">
      <c r="B256" s="27">
        <v>1</v>
      </c>
      <c r="C256" s="26" t="s">
        <v>69</v>
      </c>
      <c r="E256" s="9" t="s">
        <v>242</v>
      </c>
      <c r="G256">
        <v>1</v>
      </c>
      <c r="H256" s="19">
        <v>1839</v>
      </c>
      <c r="I256" s="31">
        <f t="shared" si="39"/>
        <v>0</v>
      </c>
      <c r="J256" s="32">
        <f t="shared" si="40"/>
        <v>1</v>
      </c>
      <c r="K256" s="29">
        <f t="shared" si="41"/>
        <v>1839</v>
      </c>
      <c r="L256" t="s">
        <v>300</v>
      </c>
    </row>
    <row r="257" spans="1:12" ht="13.8" customHeight="1" x14ac:dyDescent="0.3">
      <c r="B257" s="27">
        <v>1</v>
      </c>
      <c r="C257" s="26" t="s">
        <v>250</v>
      </c>
      <c r="E257" s="9" t="s">
        <v>243</v>
      </c>
      <c r="G257">
        <v>1</v>
      </c>
      <c r="H257" s="19">
        <v>49</v>
      </c>
      <c r="I257" s="31">
        <f t="shared" si="39"/>
        <v>0</v>
      </c>
      <c r="J257" s="32">
        <f t="shared" si="40"/>
        <v>1</v>
      </c>
      <c r="K257" s="29">
        <f t="shared" si="41"/>
        <v>49</v>
      </c>
      <c r="L257" t="s">
        <v>300</v>
      </c>
    </row>
    <row r="258" spans="1:12" ht="13.8" customHeight="1" x14ac:dyDescent="0.3">
      <c r="B258" s="27">
        <v>1</v>
      </c>
      <c r="C258" s="26" t="s">
        <v>276</v>
      </c>
      <c r="E258" s="9" t="s">
        <v>277</v>
      </c>
      <c r="H258" s="19"/>
      <c r="I258" s="31">
        <f t="shared" si="39"/>
        <v>0</v>
      </c>
      <c r="J258" s="32"/>
      <c r="K258" s="29"/>
      <c r="L258" t="s">
        <v>300</v>
      </c>
    </row>
    <row r="259" spans="1:12" ht="13.8" customHeight="1" x14ac:dyDescent="0.3">
      <c r="B259" s="27"/>
      <c r="H259" s="19"/>
      <c r="I259" s="31"/>
      <c r="J259" s="32"/>
      <c r="K259" s="29"/>
    </row>
    <row r="260" spans="1:12" ht="13.8" customHeight="1" x14ac:dyDescent="0.3">
      <c r="A260" s="6" t="s">
        <v>240</v>
      </c>
      <c r="H260" s="19"/>
      <c r="I260" s="31"/>
      <c r="J260" s="32"/>
      <c r="K260" s="29"/>
    </row>
    <row r="261" spans="1:12" ht="13.8" customHeight="1" x14ac:dyDescent="0.3">
      <c r="B261" s="27">
        <v>1</v>
      </c>
      <c r="C261" s="26" t="s">
        <v>241</v>
      </c>
      <c r="E261" s="9" t="s">
        <v>279</v>
      </c>
      <c r="G261">
        <v>1</v>
      </c>
      <c r="H261" s="19">
        <v>0.87</v>
      </c>
      <c r="I261" s="31">
        <f t="shared" ref="I261:I266" si="42">SUMIF(C$1:C$141,"="&amp;C261,B$1:B$141)</f>
        <v>0</v>
      </c>
      <c r="J261" s="32">
        <f t="shared" ref="J261:J266" si="43">G261*B261-I261</f>
        <v>1</v>
      </c>
      <c r="K261" s="29">
        <f t="shared" ref="K261:K266" si="44">B261*H261</f>
        <v>0.87</v>
      </c>
      <c r="L261" t="s">
        <v>300</v>
      </c>
    </row>
    <row r="262" spans="1:12" ht="13.8" customHeight="1" x14ac:dyDescent="0.3">
      <c r="B262" s="27">
        <v>1</v>
      </c>
      <c r="C262" s="26" t="s">
        <v>245</v>
      </c>
      <c r="E262" s="9" t="s">
        <v>278</v>
      </c>
      <c r="G262">
        <v>1</v>
      </c>
      <c r="H262" s="19">
        <v>0.8</v>
      </c>
      <c r="I262" s="31">
        <f t="shared" si="42"/>
        <v>0</v>
      </c>
      <c r="J262" s="32">
        <f t="shared" si="43"/>
        <v>1</v>
      </c>
      <c r="K262" s="29">
        <f t="shared" si="44"/>
        <v>0.8</v>
      </c>
      <c r="L262" t="s">
        <v>300</v>
      </c>
    </row>
    <row r="263" spans="1:12" ht="13.8" customHeight="1" x14ac:dyDescent="0.3">
      <c r="B263" s="27">
        <v>5</v>
      </c>
      <c r="C263" s="26" t="s">
        <v>262</v>
      </c>
      <c r="E263" s="9" t="s">
        <v>280</v>
      </c>
      <c r="G263">
        <v>1</v>
      </c>
      <c r="H263" s="19">
        <v>19.989999999999998</v>
      </c>
      <c r="I263" s="31">
        <f t="shared" si="42"/>
        <v>0</v>
      </c>
      <c r="J263" s="32">
        <f t="shared" si="43"/>
        <v>5</v>
      </c>
      <c r="K263" s="29">
        <f t="shared" si="44"/>
        <v>99.949999999999989</v>
      </c>
      <c r="L263" t="s">
        <v>300</v>
      </c>
    </row>
    <row r="264" spans="1:12" ht="13.8" customHeight="1" x14ac:dyDescent="0.3">
      <c r="B264" s="27">
        <v>1</v>
      </c>
      <c r="C264" s="26" t="s">
        <v>268</v>
      </c>
      <c r="E264" s="9" t="s">
        <v>267</v>
      </c>
      <c r="G264">
        <v>1</v>
      </c>
      <c r="H264" s="19">
        <v>44</v>
      </c>
      <c r="I264" s="31">
        <f t="shared" si="42"/>
        <v>0</v>
      </c>
      <c r="J264" s="32">
        <f t="shared" si="43"/>
        <v>1</v>
      </c>
      <c r="K264" s="29">
        <f t="shared" si="44"/>
        <v>44</v>
      </c>
      <c r="L264" t="s">
        <v>300</v>
      </c>
    </row>
    <row r="265" spans="1:12" ht="13.8" customHeight="1" x14ac:dyDescent="0.3">
      <c r="B265" s="27">
        <v>5</v>
      </c>
      <c r="C265" s="26" t="s">
        <v>263</v>
      </c>
      <c r="E265" s="9" t="s">
        <v>264</v>
      </c>
      <c r="G265">
        <v>1</v>
      </c>
      <c r="H265" s="19">
        <v>2.0499999999999998</v>
      </c>
      <c r="I265" s="31">
        <f t="shared" si="42"/>
        <v>0</v>
      </c>
      <c r="J265" s="32">
        <f t="shared" si="43"/>
        <v>5</v>
      </c>
      <c r="K265" s="29">
        <f t="shared" si="44"/>
        <v>10.25</v>
      </c>
      <c r="L265" t="s">
        <v>300</v>
      </c>
    </row>
    <row r="266" spans="1:12" ht="13.8" customHeight="1" x14ac:dyDescent="0.3">
      <c r="B266" s="27">
        <v>5</v>
      </c>
      <c r="C266" s="26" t="s">
        <v>265</v>
      </c>
      <c r="E266" s="9" t="s">
        <v>266</v>
      </c>
      <c r="G266">
        <v>1</v>
      </c>
      <c r="H266" s="19">
        <v>1.95</v>
      </c>
      <c r="I266" s="31">
        <f t="shared" si="42"/>
        <v>0</v>
      </c>
      <c r="J266" s="32">
        <f t="shared" si="43"/>
        <v>5</v>
      </c>
      <c r="K266" s="29">
        <f t="shared" si="44"/>
        <v>9.75</v>
      </c>
      <c r="L266" t="s">
        <v>300</v>
      </c>
    </row>
    <row r="267" spans="1:12" ht="13.8" customHeight="1" x14ac:dyDescent="0.3">
      <c r="B267" s="27"/>
      <c r="C267" s="26"/>
      <c r="E267" s="9"/>
      <c r="H267" s="19"/>
      <c r="I267" s="31"/>
      <c r="J267" s="32"/>
      <c r="K267" s="29"/>
    </row>
    <row r="268" spans="1:12" ht="13.8" customHeight="1" x14ac:dyDescent="0.3">
      <c r="B268" s="27"/>
      <c r="E268" s="9"/>
      <c r="H268" s="19"/>
      <c r="I268" s="31"/>
      <c r="J268" s="32"/>
      <c r="K268" s="29"/>
    </row>
    <row r="269" spans="1:12" ht="13.8" customHeight="1" x14ac:dyDescent="0.3">
      <c r="B269" s="27"/>
      <c r="H269" s="19"/>
      <c r="I269" s="31"/>
      <c r="J269" s="32"/>
      <c r="K269" s="29"/>
    </row>
    <row r="270" spans="1:12" ht="13.8" customHeight="1" x14ac:dyDescent="0.3">
      <c r="H270" s="19"/>
      <c r="I270" s="31"/>
      <c r="J270" s="32"/>
      <c r="K270" s="29" t="s">
        <v>231</v>
      </c>
      <c r="L270" s="1" t="s">
        <v>232</v>
      </c>
    </row>
    <row r="271" spans="1:12" ht="13.8" customHeight="1" x14ac:dyDescent="0.35">
      <c r="B271" s="27"/>
      <c r="E271" s="22"/>
      <c r="H271" s="19"/>
      <c r="I271" s="31"/>
      <c r="J271" s="32"/>
      <c r="K271" s="33">
        <f>SUM(K143:K269)</f>
        <v>2716.7299999999996</v>
      </c>
      <c r="L271" s="28">
        <f ca="1">SUMIF(L1:L269,"=-",K1:K269)</f>
        <v>26.700000000000003</v>
      </c>
    </row>
    <row r="272" spans="1:12" ht="13.8" customHeight="1" x14ac:dyDescent="0.3">
      <c r="B272" s="27"/>
      <c r="C272" t="s">
        <v>479</v>
      </c>
      <c r="D272" t="s">
        <v>485</v>
      </c>
      <c r="E272" s="9"/>
      <c r="H272" s="19"/>
      <c r="I272" s="31"/>
      <c r="J272" s="32"/>
    </row>
    <row r="273" spans="1:11" ht="13.8" customHeight="1" x14ac:dyDescent="0.3">
      <c r="B273" s="27"/>
      <c r="C273" t="s">
        <v>480</v>
      </c>
      <c r="D273" t="s">
        <v>484</v>
      </c>
      <c r="E273" s="9"/>
      <c r="H273" s="19"/>
      <c r="I273" s="31"/>
      <c r="J273" s="32"/>
    </row>
    <row r="274" spans="1:11" x14ac:dyDescent="0.3">
      <c r="C274" t="s">
        <v>481</v>
      </c>
      <c r="D274" t="s">
        <v>486</v>
      </c>
      <c r="E274" s="24"/>
      <c r="I274" s="30"/>
    </row>
    <row r="275" spans="1:11" x14ac:dyDescent="0.3">
      <c r="C275" t="s">
        <v>482</v>
      </c>
      <c r="D275" t="s">
        <v>483</v>
      </c>
    </row>
    <row r="276" spans="1:11" x14ac:dyDescent="0.3">
      <c r="C276" t="s">
        <v>487</v>
      </c>
      <c r="D276" t="s">
        <v>490</v>
      </c>
      <c r="E276" s="22"/>
      <c r="I276" s="30"/>
      <c r="J276"/>
      <c r="K276"/>
    </row>
    <row r="277" spans="1:11" x14ac:dyDescent="0.3">
      <c r="C277" t="s">
        <v>489</v>
      </c>
      <c r="D277" t="s">
        <v>488</v>
      </c>
      <c r="E277" s="22"/>
      <c r="I277" s="30"/>
      <c r="J277"/>
      <c r="K277"/>
    </row>
    <row r="278" spans="1:11" x14ac:dyDescent="0.3">
      <c r="C278" t="s">
        <v>491</v>
      </c>
      <c r="D278" s="6" t="s">
        <v>492</v>
      </c>
      <c r="E278" s="22"/>
      <c r="I278" s="30"/>
      <c r="J278"/>
      <c r="K278"/>
    </row>
    <row r="279" spans="1:11" x14ac:dyDescent="0.3">
      <c r="D279" s="8"/>
      <c r="I279" s="30"/>
      <c r="J279"/>
      <c r="K279"/>
    </row>
    <row r="280" spans="1:11" x14ac:dyDescent="0.3">
      <c r="E280" s="22"/>
      <c r="I280" s="30"/>
      <c r="J280"/>
      <c r="K280"/>
    </row>
    <row r="281" spans="1:11" x14ac:dyDescent="0.3">
      <c r="A281" t="s">
        <v>502</v>
      </c>
      <c r="E281" s="24"/>
      <c r="I281" s="30"/>
      <c r="J281"/>
      <c r="K281"/>
    </row>
    <row r="282" spans="1:11" x14ac:dyDescent="0.3">
      <c r="A282" t="s">
        <v>506</v>
      </c>
      <c r="E282" s="24"/>
      <c r="I282" s="30"/>
      <c r="J282"/>
      <c r="K282"/>
    </row>
    <row r="283" spans="1:11" x14ac:dyDescent="0.3">
      <c r="B283" t="s">
        <v>524</v>
      </c>
      <c r="C283" t="s">
        <v>508</v>
      </c>
    </row>
    <row r="284" spans="1:11" x14ac:dyDescent="0.3">
      <c r="B284" t="s">
        <v>524</v>
      </c>
      <c r="C284" t="s">
        <v>507</v>
      </c>
      <c r="D284" s="8" t="s">
        <v>509</v>
      </c>
      <c r="E284" s="21"/>
      <c r="I284" s="30"/>
      <c r="J284"/>
      <c r="K284"/>
    </row>
    <row r="285" spans="1:11" x14ac:dyDescent="0.3">
      <c r="B285" t="s">
        <v>524</v>
      </c>
      <c r="C285" t="s">
        <v>510</v>
      </c>
      <c r="D285" s="8" t="s">
        <v>513</v>
      </c>
      <c r="H285" s="19"/>
      <c r="I285" s="30"/>
      <c r="J285"/>
      <c r="K285"/>
    </row>
    <row r="286" spans="1:11" x14ac:dyDescent="0.3">
      <c r="B286" t="s">
        <v>524</v>
      </c>
      <c r="C286" t="s">
        <v>511</v>
      </c>
      <c r="D286" s="8" t="s">
        <v>512</v>
      </c>
      <c r="H286" s="20"/>
      <c r="I286" s="30"/>
      <c r="J286"/>
      <c r="K286"/>
    </row>
    <row r="287" spans="1:11" x14ac:dyDescent="0.3">
      <c r="B287" t="s">
        <v>524</v>
      </c>
      <c r="C287" t="s">
        <v>514</v>
      </c>
      <c r="D287" s="8" t="s">
        <v>515</v>
      </c>
    </row>
    <row r="288" spans="1:11" x14ac:dyDescent="0.3">
      <c r="B288" t="s">
        <v>524</v>
      </c>
      <c r="C288" t="s">
        <v>516</v>
      </c>
      <c r="D288" s="8" t="s">
        <v>517</v>
      </c>
    </row>
    <row r="289" spans="1:11" x14ac:dyDescent="0.3">
      <c r="B289" t="s">
        <v>524</v>
      </c>
      <c r="C289" t="s">
        <v>518</v>
      </c>
      <c r="D289" t="s">
        <v>519</v>
      </c>
    </row>
    <row r="290" spans="1:11" x14ac:dyDescent="0.3">
      <c r="D290" s="8"/>
      <c r="E290" s="21"/>
      <c r="I290" s="30"/>
      <c r="J290"/>
      <c r="K290"/>
    </row>
    <row r="291" spans="1:11" x14ac:dyDescent="0.3">
      <c r="A291" t="s">
        <v>505</v>
      </c>
      <c r="E291" s="24"/>
      <c r="I291" s="30"/>
      <c r="J291"/>
      <c r="K291"/>
    </row>
    <row r="296" spans="1:11" x14ac:dyDescent="0.3">
      <c r="A296" t="s">
        <v>504</v>
      </c>
    </row>
    <row r="297" spans="1:11" x14ac:dyDescent="0.3">
      <c r="B297" t="s">
        <v>498</v>
      </c>
      <c r="C297" t="s">
        <v>497</v>
      </c>
      <c r="D297" t="s">
        <v>503</v>
      </c>
      <c r="I297" s="30"/>
      <c r="J297"/>
      <c r="K297"/>
    </row>
    <row r="298" spans="1:11" ht="15" customHeight="1" x14ac:dyDescent="0.3">
      <c r="B298" t="s">
        <v>498</v>
      </c>
      <c r="C298" t="s">
        <v>499</v>
      </c>
      <c r="D298" s="8" t="s">
        <v>500</v>
      </c>
      <c r="E298" s="22"/>
      <c r="I298" s="30"/>
      <c r="J298"/>
      <c r="K298"/>
    </row>
  </sheetData>
  <conditionalFormatting sqref="L146 D177:K177 B178:K178 B179:D179 F179:K179 F182:K184 B182:D184 B180:K181 C250 G250:K250 B220:C220 E221 F220:K222 B221:D222 B176 F176:K176 D176 B212:K219 B251:K258 D268:K268 B268 B261:K267 E272:E273 B143:K175 B223:K248 B185:K206 B208:K208 F209:K211 F207:K207 B209:D211 B207:D207 B3:K12 B14:K140">
    <cfRule type="expression" dxfId="17" priority="462">
      <formula>$L3=#REF!</formula>
    </cfRule>
  </conditionalFormatting>
  <conditionalFormatting sqref="E222">
    <cfRule type="expression" dxfId="16" priority="497">
      <formula>$L220=#REF!</formula>
    </cfRule>
  </conditionalFormatting>
  <conditionalFormatting sqref="E207">
    <cfRule type="expression" dxfId="15" priority="498">
      <formula>$L221=#REF!</formula>
    </cfRule>
  </conditionalFormatting>
  <conditionalFormatting sqref="E184">
    <cfRule type="expression" dxfId="14" priority="499">
      <formula>$L177=#REF!</formula>
    </cfRule>
  </conditionalFormatting>
  <conditionalFormatting sqref="E182">
    <cfRule type="expression" dxfId="13" priority="500">
      <formula>$L177=#REF!</formula>
    </cfRule>
  </conditionalFormatting>
  <conditionalFormatting sqref="E183">
    <cfRule type="expression" dxfId="12" priority="501">
      <formula>$L175=#REF!</formula>
    </cfRule>
  </conditionalFormatting>
  <conditionalFormatting sqref="A177 D177:XFD177 A178:XFD178 A179:D179 F179:XFD179 F182:XFD184 A182:D184 A180:XFD181 C250 G250:L250 A220:C220 E221 A221:D222 F220:XFD222 A176:B176 F176:XFD176 D176 A212:XFD219 A268:B268 D268:XFD268 A251:XFD258 A261:XFD267 E272:E273 A143:XFD175 A223:XFD248 A185:XFD206 A208:XFD208 A209:D211 A207:D207 F209:XFD211 F207:XFD207 A3:XFD12 A14:XFD140">
    <cfRule type="expression" dxfId="11" priority="502">
      <formula>$L3=#REF!</formula>
    </cfRule>
    <cfRule type="expression" dxfId="10" priority="503">
      <formula>$L3=#REF!</formula>
    </cfRule>
  </conditionalFormatting>
  <conditionalFormatting sqref="E222">
    <cfRule type="expression" dxfId="9" priority="566">
      <formula>$L220=#REF!</formula>
    </cfRule>
    <cfRule type="expression" dxfId="8" priority="567">
      <formula>$L220=#REF!</formula>
    </cfRule>
  </conditionalFormatting>
  <conditionalFormatting sqref="E207">
    <cfRule type="expression" dxfId="7" priority="568">
      <formula>$L221=#REF!</formula>
    </cfRule>
    <cfRule type="expression" dxfId="6" priority="569">
      <formula>$L221=#REF!</formula>
    </cfRule>
  </conditionalFormatting>
  <conditionalFormatting sqref="E184">
    <cfRule type="expression" dxfId="5" priority="570">
      <formula>$L177=#REF!</formula>
    </cfRule>
    <cfRule type="expression" dxfId="4" priority="571">
      <formula>$L177=#REF!</formula>
    </cfRule>
  </conditionalFormatting>
  <conditionalFormatting sqref="E182">
    <cfRule type="expression" dxfId="3" priority="572">
      <formula>$L177=#REF!</formula>
    </cfRule>
    <cfRule type="expression" dxfId="2" priority="573">
      <formula>$L177=#REF!</formula>
    </cfRule>
  </conditionalFormatting>
  <conditionalFormatting sqref="E183">
    <cfRule type="expression" dxfId="1" priority="574">
      <formula>$L175=#REF!</formula>
    </cfRule>
    <cfRule type="expression" dxfId="0" priority="575">
      <formula>$L175=#REF!</formula>
    </cfRule>
  </conditionalFormatting>
  <dataValidations disablePrompts="1" count="1">
    <dataValidation type="list" allowBlank="1" showInputMessage="1" showErrorMessage="1" sqref="L143:L176 L231:L247 L250:L258 L261:L266 L178:L229">
      <formula1>$O$1:$O$20</formula1>
    </dataValidation>
  </dataValidations>
  <hyperlinks>
    <hyperlink ref="E239" r:id="rId1"/>
    <hyperlink ref="E228" r:id="rId2"/>
    <hyperlink ref="E225" r:id="rId3"/>
    <hyperlink ref="E182" r:id="rId4"/>
    <hyperlink ref="E209"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Schaltschrank</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2016-12-05T23:52:21Z</dcterms:modified>
</cp:coreProperties>
</file>