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516" yWindow="516" windowWidth="4380" windowHeight="3396"/>
  </bookViews>
  <sheets>
    <sheet name="Kräfte" sheetId="3" r:id="rId1"/>
    <sheet name="Zahnriemenscheiben" sheetId="5" r:id="rId2"/>
    <sheet name="Stepper" sheetId="4" r:id="rId3"/>
    <sheet name="DIN" sheetId="8" r:id="rId4"/>
    <sheet name="Rotary Encoder" sheetId="6" r:id="rId5"/>
    <sheet name="Linearlager" sheetId="12" r:id="rId6"/>
    <sheet name="Herkulex Servo" sheetId="10" r:id="rId7"/>
    <sheet name="PiBot Stepper Driver" sheetId="11" r:id="rId8"/>
    <sheet name="BOM" sheetId="7" r:id="rId9"/>
  </sheets>
  <definedNames>
    <definedName name="_xlnm.Print_Area" localSheetId="8">BOM!$A$184:$K$304</definedName>
    <definedName name="Kaufstatus">BOM!$L:$L</definedName>
    <definedName name="ShoppingStatus">BOM!$L:$L</definedName>
  </definedNames>
  <calcPr calcId="145621"/>
</workbook>
</file>

<file path=xl/calcChain.xml><?xml version="1.0" encoding="utf-8"?>
<calcChain xmlns="http://schemas.openxmlformats.org/spreadsheetml/2006/main">
  <c r="C32" i="7" l="1"/>
  <c r="C60" i="3"/>
  <c r="C8" i="3"/>
  <c r="O74" i="3" l="1"/>
  <c r="Q70" i="3" l="1"/>
  <c r="Q71" i="3"/>
  <c r="Q72" i="3"/>
  <c r="Q73" i="3"/>
  <c r="Q74" i="3"/>
  <c r="O86" i="3"/>
  <c r="C20" i="7" l="1"/>
  <c r="C18" i="7"/>
  <c r="C17" i="7"/>
  <c r="L20" i="7"/>
  <c r="C22" i="7" l="1"/>
  <c r="C21" i="7"/>
  <c r="C19" i="7"/>
  <c r="C14" i="7"/>
  <c r="L22" i="7"/>
  <c r="L14" i="7"/>
  <c r="L21" i="7"/>
  <c r="L18" i="7"/>
  <c r="L19" i="7"/>
  <c r="L17" i="7"/>
  <c r="C143" i="7" l="1"/>
  <c r="C119" i="7"/>
  <c r="L143" i="7"/>
  <c r="C121" i="7" l="1"/>
  <c r="C115" i="7"/>
  <c r="L119" i="7"/>
  <c r="L121" i="7"/>
  <c r="L115" i="7"/>
  <c r="C72" i="7" l="1"/>
  <c r="C70" i="7"/>
  <c r="C25" i="7"/>
  <c r="C68" i="7"/>
  <c r="C46" i="3"/>
  <c r="L72" i="7"/>
  <c r="C26" i="7" l="1"/>
  <c r="L70" i="7"/>
  <c r="L26" i="7"/>
  <c r="L68" i="7"/>
  <c r="C109" i="7" l="1"/>
  <c r="C108" i="7"/>
  <c r="L25" i="7"/>
  <c r="C47" i="7" l="1"/>
  <c r="C46" i="7"/>
  <c r="L109" i="7"/>
  <c r="L108" i="7"/>
  <c r="L46" i="7"/>
  <c r="L47" i="7"/>
  <c r="C176" i="7" l="1"/>
  <c r="C146" i="7"/>
  <c r="C144" i="7"/>
  <c r="C117" i="7"/>
  <c r="C118" i="7"/>
  <c r="C148" i="7"/>
  <c r="C114" i="7"/>
  <c r="C69" i="7"/>
  <c r="C71" i="7"/>
  <c r="L117" i="7"/>
  <c r="L144" i="7"/>
  <c r="L148" i="7"/>
  <c r="L176" i="7"/>
  <c r="L71" i="7"/>
  <c r="L118" i="7"/>
  <c r="L114" i="7"/>
  <c r="L146" i="7"/>
  <c r="C45" i="7" l="1"/>
  <c r="C39" i="7"/>
  <c r="L69" i="7"/>
  <c r="K282" i="7" l="1"/>
  <c r="K295" i="7"/>
  <c r="L45" i="7"/>
  <c r="L39" i="7"/>
  <c r="C89" i="7" l="1"/>
  <c r="K286" i="7"/>
  <c r="K299" i="7"/>
  <c r="K298" i="7"/>
  <c r="L89" i="7"/>
  <c r="K297" i="7" l="1"/>
  <c r="K296" i="7"/>
  <c r="K290" i="7"/>
  <c r="B58" i="7"/>
  <c r="C6" i="7"/>
  <c r="C106" i="7"/>
  <c r="C105" i="7"/>
  <c r="C38" i="7"/>
  <c r="C174" i="7"/>
  <c r="C131" i="7"/>
  <c r="C87" i="7"/>
  <c r="K289" i="7"/>
  <c r="C147" i="7"/>
  <c r="C142" i="7"/>
  <c r="C92" i="7"/>
  <c r="C116" i="7"/>
  <c r="C33" i="7"/>
  <c r="C134" i="7"/>
  <c r="K294" i="7"/>
  <c r="C10" i="7"/>
  <c r="K288" i="7"/>
  <c r="C178" i="7"/>
  <c r="C65" i="7"/>
  <c r="C63" i="7"/>
  <c r="C62" i="7"/>
  <c r="C48" i="7"/>
  <c r="C43" i="7"/>
  <c r="C36" i="7"/>
  <c r="C9" i="7"/>
  <c r="C5" i="7"/>
  <c r="C177" i="7"/>
  <c r="C166" i="7"/>
  <c r="C175" i="7"/>
  <c r="C173" i="7"/>
  <c r="C172" i="7"/>
  <c r="C171" i="7"/>
  <c r="C170" i="7"/>
  <c r="C168" i="7"/>
  <c r="C169" i="7"/>
  <c r="C167" i="7"/>
  <c r="C165" i="7"/>
  <c r="C164" i="7"/>
  <c r="C162" i="7"/>
  <c r="C163" i="7"/>
  <c r="C161" i="7"/>
  <c r="C83" i="7"/>
  <c r="C154" i="7"/>
  <c r="C110" i="7"/>
  <c r="L6" i="7"/>
  <c r="L161" i="7"/>
  <c r="L147" i="7"/>
  <c r="L134" i="7"/>
  <c r="L106" i="7"/>
  <c r="L63" i="7"/>
  <c r="L165" i="7"/>
  <c r="L142" i="7"/>
  <c r="L172" i="7"/>
  <c r="L171" i="7"/>
  <c r="L175" i="7"/>
  <c r="L178" i="7"/>
  <c r="L177" i="7"/>
  <c r="L164" i="7"/>
  <c r="L170" i="7"/>
  <c r="L174" i="7"/>
  <c r="L154" i="7"/>
  <c r="L163" i="7"/>
  <c r="L9" i="7"/>
  <c r="L62" i="7"/>
  <c r="L167" i="7"/>
  <c r="L43" i="7"/>
  <c r="L110" i="7"/>
  <c r="L166" i="7"/>
  <c r="L162" i="7"/>
  <c r="L5" i="7"/>
  <c r="L36" i="7"/>
  <c r="L48" i="7"/>
  <c r="L105" i="7"/>
  <c r="L169" i="7"/>
  <c r="L131" i="7"/>
  <c r="L92" i="7"/>
  <c r="L83" i="7"/>
  <c r="L10" i="7"/>
  <c r="L168" i="7"/>
  <c r="L116" i="7"/>
  <c r="L33" i="7"/>
  <c r="L173" i="7"/>
  <c r="C156" i="7" l="1"/>
  <c r="C157" i="7"/>
  <c r="C155" i="7"/>
  <c r="B155" i="7"/>
  <c r="L87" i="7"/>
  <c r="L155" i="7"/>
  <c r="L65" i="7"/>
  <c r="L157" i="7"/>
  <c r="L156" i="7"/>
  <c r="C159" i="7" l="1"/>
  <c r="C54" i="7"/>
  <c r="C78" i="7"/>
  <c r="C138" i="7"/>
  <c r="C158" i="7"/>
  <c r="C153" i="7"/>
  <c r="C152" i="7"/>
  <c r="C151" i="7"/>
  <c r="C150" i="7"/>
  <c r="C149" i="7"/>
  <c r="C145" i="7"/>
  <c r="C141" i="7"/>
  <c r="C140" i="7"/>
  <c r="C139" i="7"/>
  <c r="C137" i="7"/>
  <c r="C136" i="7"/>
  <c r="C135" i="7"/>
  <c r="C133" i="7"/>
  <c r="C132" i="7"/>
  <c r="C130" i="7"/>
  <c r="C129" i="7"/>
  <c r="C128" i="7"/>
  <c r="C127" i="7"/>
  <c r="C126" i="7"/>
  <c r="C107" i="7"/>
  <c r="C13" i="7"/>
  <c r="C123" i="7"/>
  <c r="C60" i="5"/>
  <c r="C120" i="7"/>
  <c r="C101" i="7"/>
  <c r="C113" i="7"/>
  <c r="C112" i="7"/>
  <c r="C111" i="7"/>
  <c r="C104" i="7"/>
  <c r="C103" i="7"/>
  <c r="C100" i="7"/>
  <c r="C102" i="7"/>
  <c r="C99" i="7"/>
  <c r="C98" i="7"/>
  <c r="C97" i="7"/>
  <c r="C96" i="7"/>
  <c r="C93" i="7"/>
  <c r="C95" i="7"/>
  <c r="C94" i="7"/>
  <c r="C61" i="7"/>
  <c r="C60" i="7"/>
  <c r="C59" i="7"/>
  <c r="C58" i="7"/>
  <c r="C30" i="7"/>
  <c r="C29" i="7"/>
  <c r="C28" i="7"/>
  <c r="C91" i="7"/>
  <c r="C90" i="7"/>
  <c r="C85" i="7"/>
  <c r="C88" i="7"/>
  <c r="C86" i="7"/>
  <c r="C84" i="7"/>
  <c r="C82" i="7"/>
  <c r="C81" i="7"/>
  <c r="C80" i="7"/>
  <c r="C79" i="7"/>
  <c r="C77" i="7"/>
  <c r="C76" i="7"/>
  <c r="C75" i="7"/>
  <c r="C74" i="7"/>
  <c r="C40" i="7"/>
  <c r="C8" i="7"/>
  <c r="C11" i="7"/>
  <c r="C12" i="7"/>
  <c r="C27" i="7"/>
  <c r="C31" i="7"/>
  <c r="C34" i="7"/>
  <c r="C35" i="7"/>
  <c r="C37" i="7"/>
  <c r="C41" i="7"/>
  <c r="C42" i="7"/>
  <c r="C44" i="7"/>
  <c r="C49" i="7"/>
  <c r="C50" i="7"/>
  <c r="C55" i="7"/>
  <c r="C57" i="7"/>
  <c r="C56" i="7"/>
  <c r="C64" i="7"/>
  <c r="C66" i="7"/>
  <c r="C67" i="7"/>
  <c r="L107" i="7"/>
  <c r="L150" i="7"/>
  <c r="I248" i="7" l="1"/>
  <c r="B248" i="7" s="1"/>
  <c r="K248" i="7" s="1"/>
  <c r="I257" i="7"/>
  <c r="B257" i="7" s="1"/>
  <c r="K257" i="7" s="1"/>
  <c r="I256" i="7"/>
  <c r="B256" i="7" s="1"/>
  <c r="I267" i="7"/>
  <c r="B267" i="7" s="1"/>
  <c r="I266" i="7"/>
  <c r="B266" i="7" s="1"/>
  <c r="I269" i="7"/>
  <c r="B269" i="7" s="1"/>
  <c r="I270" i="7"/>
  <c r="B270" i="7" s="1"/>
  <c r="I227" i="7"/>
  <c r="B227" i="7" s="1"/>
  <c r="I247" i="7"/>
  <c r="B247" i="7" s="1"/>
  <c r="I231" i="7"/>
  <c r="B231" i="7" s="1"/>
  <c r="I249" i="7"/>
  <c r="B249" i="7" s="1"/>
  <c r="I232" i="7"/>
  <c r="B232" i="7" s="1"/>
  <c r="I235" i="7"/>
  <c r="B235" i="7" s="1"/>
  <c r="L149" i="7"/>
  <c r="L38" i="7"/>
  <c r="J248" i="7" l="1"/>
  <c r="J257" i="7"/>
  <c r="K267" i="7"/>
  <c r="J267" i="7"/>
  <c r="K256" i="7"/>
  <c r="J256" i="7"/>
  <c r="K270" i="7"/>
  <c r="J270" i="7"/>
  <c r="K269" i="7"/>
  <c r="J269" i="7"/>
  <c r="K266" i="7"/>
  <c r="J266" i="7"/>
  <c r="K247" i="7"/>
  <c r="J247" i="7"/>
  <c r="K227" i="7"/>
  <c r="J227" i="7"/>
  <c r="K235" i="7"/>
  <c r="J235" i="7"/>
  <c r="K232" i="7"/>
  <c r="J232" i="7"/>
  <c r="K249" i="7"/>
  <c r="J249" i="7"/>
  <c r="K231" i="7"/>
  <c r="J231" i="7"/>
  <c r="L84" i="7"/>
  <c r="L60" i="7"/>
  <c r="L50" i="7"/>
  <c r="L58" i="7"/>
  <c r="L98" i="7"/>
  <c r="L32" i="7"/>
  <c r="L96" i="7"/>
  <c r="L152" i="7"/>
  <c r="L100" i="7"/>
  <c r="L86" i="7"/>
  <c r="L30" i="7"/>
  <c r="L40" i="7"/>
  <c r="L128" i="7"/>
  <c r="L138" i="7"/>
  <c r="L37" i="7"/>
  <c r="L13" i="7"/>
  <c r="L67" i="7"/>
  <c r="L81" i="7"/>
  <c r="L159" i="7"/>
  <c r="L140" i="7"/>
  <c r="L12" i="7"/>
  <c r="L28" i="7"/>
  <c r="L88" i="7"/>
  <c r="L113" i="7"/>
  <c r="L133" i="7"/>
  <c r="L141" i="7"/>
  <c r="L135" i="7"/>
  <c r="L101" i="7"/>
  <c r="L151" i="7"/>
  <c r="L44" i="7"/>
  <c r="L90" i="7"/>
  <c r="L82" i="7"/>
  <c r="L104" i="7"/>
  <c r="L27" i="7"/>
  <c r="L61" i="7"/>
  <c r="L34" i="7"/>
  <c r="L112" i="7"/>
  <c r="L132" i="7"/>
  <c r="L99" i="7"/>
  <c r="L78" i="7"/>
  <c r="L126" i="7"/>
  <c r="L57" i="7"/>
  <c r="L91" i="7"/>
  <c r="L42" i="7"/>
  <c r="L153" i="7"/>
  <c r="L123" i="7"/>
  <c r="L130" i="7"/>
  <c r="L49" i="7"/>
  <c r="L145" i="7"/>
  <c r="L136" i="7"/>
  <c r="L137" i="7"/>
  <c r="L93" i="7"/>
  <c r="L103" i="7"/>
  <c r="L158" i="7"/>
  <c r="L102" i="7"/>
  <c r="L11" i="7"/>
  <c r="L31" i="7"/>
  <c r="L77" i="7"/>
  <c r="L74" i="7"/>
  <c r="L29" i="7"/>
  <c r="L129" i="7"/>
  <c r="L139" i="7"/>
  <c r="L79" i="7"/>
  <c r="L55" i="7"/>
  <c r="L127" i="7"/>
  <c r="L111" i="7"/>
  <c r="L66" i="7"/>
  <c r="L59" i="7"/>
  <c r="L85" i="7"/>
  <c r="L76" i="7"/>
  <c r="L35" i="7"/>
  <c r="L95" i="7"/>
  <c r="L54" i="7"/>
  <c r="I222" i="7" l="1"/>
  <c r="B222" i="7" s="1"/>
  <c r="I223" i="7"/>
  <c r="B223" i="7" s="1"/>
  <c r="I246" i="7"/>
  <c r="B246" i="7" s="1"/>
  <c r="L75" i="7"/>
  <c r="L8" i="7"/>
  <c r="L120" i="7"/>
  <c r="L64" i="7"/>
  <c r="K223" i="7" l="1"/>
  <c r="J223" i="7"/>
  <c r="J222" i="7"/>
  <c r="K222" i="7"/>
  <c r="K246" i="7"/>
  <c r="J246" i="7"/>
  <c r="L56" i="7"/>
  <c r="L97" i="7"/>
  <c r="L80" i="7"/>
  <c r="L94" i="7"/>
  <c r="L41" i="7"/>
  <c r="I250" i="7" l="1"/>
  <c r="B250" i="7" s="1"/>
  <c r="J250" i="7" s="1"/>
  <c r="I237" i="7"/>
  <c r="B237" i="7" s="1"/>
  <c r="I239" i="7"/>
  <c r="B239" i="7" s="1"/>
  <c r="I240" i="7"/>
  <c r="B240" i="7" s="1"/>
  <c r="I243" i="7"/>
  <c r="B243" i="7" s="1"/>
  <c r="I226" i="7"/>
  <c r="B226" i="7" s="1"/>
  <c r="I241" i="7"/>
  <c r="B241" i="7" s="1"/>
  <c r="I228" i="7"/>
  <c r="B228" i="7" s="1"/>
  <c r="I219" i="7"/>
  <c r="B219" i="7" s="1"/>
  <c r="I220" i="7"/>
  <c r="B220" i="7" s="1"/>
  <c r="I221" i="7"/>
  <c r="B221" i="7" s="1"/>
  <c r="I238" i="7"/>
  <c r="B238" i="7" s="1"/>
  <c r="I225" i="7"/>
  <c r="B225" i="7" s="1"/>
  <c r="I209" i="7"/>
  <c r="B209" i="7" s="1"/>
  <c r="I208" i="7"/>
  <c r="B208" i="7" s="1"/>
  <c r="K250" i="7" l="1"/>
  <c r="K239" i="7"/>
  <c r="J239" i="7"/>
  <c r="K237" i="7"/>
  <c r="J237" i="7"/>
  <c r="K243" i="7"/>
  <c r="J243" i="7"/>
  <c r="K240" i="7"/>
  <c r="J240" i="7"/>
  <c r="K241" i="7"/>
  <c r="J241" i="7"/>
  <c r="J226" i="7"/>
  <c r="K226" i="7"/>
  <c r="K221" i="7"/>
  <c r="J221" i="7"/>
  <c r="K220" i="7"/>
  <c r="J220" i="7"/>
  <c r="K219" i="7"/>
  <c r="J219" i="7"/>
  <c r="K228" i="7"/>
  <c r="J228" i="7"/>
  <c r="K238" i="7"/>
  <c r="J238" i="7"/>
  <c r="K208" i="7"/>
  <c r="J208" i="7"/>
  <c r="J209" i="7"/>
  <c r="K209" i="7"/>
  <c r="K225" i="7"/>
  <c r="J225" i="7"/>
  <c r="I291" i="7" l="1"/>
  <c r="I192" i="7"/>
  <c r="B192" i="7" s="1"/>
  <c r="K192" i="7" s="1"/>
  <c r="I295" i="7"/>
  <c r="J295" i="7" s="1"/>
  <c r="I282" i="7"/>
  <c r="J282" i="7" s="1"/>
  <c r="I286" i="7"/>
  <c r="J286" i="7" s="1"/>
  <c r="I216" i="7"/>
  <c r="B216" i="7" s="1"/>
  <c r="J216" i="7" s="1"/>
  <c r="I299" i="7"/>
  <c r="J299" i="7" s="1"/>
  <c r="I298" i="7"/>
  <c r="J298" i="7" s="1"/>
  <c r="I290" i="7"/>
  <c r="J290" i="7" s="1"/>
  <c r="I297" i="7"/>
  <c r="J297" i="7" s="1"/>
  <c r="I296" i="7"/>
  <c r="J296" i="7" s="1"/>
  <c r="I289" i="7"/>
  <c r="J289" i="7" s="1"/>
  <c r="I213" i="7"/>
  <c r="B213" i="7" s="1"/>
  <c r="J213" i="7" s="1"/>
  <c r="I194" i="7"/>
  <c r="B194" i="7" s="1"/>
  <c r="I294" i="7"/>
  <c r="J294" i="7" s="1"/>
  <c r="I254" i="7"/>
  <c r="I288" i="7"/>
  <c r="J288" i="7" s="1"/>
  <c r="I279" i="7"/>
  <c r="I262" i="7"/>
  <c r="I251" i="7"/>
  <c r="I214" i="7"/>
  <c r="B214" i="7" s="1"/>
  <c r="K214" i="7" s="1"/>
  <c r="I217" i="7"/>
  <c r="B217" i="7" s="1"/>
  <c r="I215" i="7"/>
  <c r="B215" i="7" s="1"/>
  <c r="I278" i="7"/>
  <c r="I261" i="7"/>
  <c r="I252" i="7"/>
  <c r="I207" i="7"/>
  <c r="B207" i="7" s="1"/>
  <c r="J207" i="7" s="1"/>
  <c r="I268" i="7"/>
  <c r="I272" i="7"/>
  <c r="I264" i="7"/>
  <c r="I274" i="7"/>
  <c r="I260" i="7"/>
  <c r="I244" i="7"/>
  <c r="I263" i="7"/>
  <c r="I253" i="7"/>
  <c r="I273" i="7"/>
  <c r="I206" i="7"/>
  <c r="B206" i="7" s="1"/>
  <c r="J206" i="7" s="1"/>
  <c r="I276" i="7"/>
  <c r="I230" i="7"/>
  <c r="B230" i="7" s="1"/>
  <c r="I197" i="7"/>
  <c r="B197" i="7" s="1"/>
  <c r="K197" i="7" s="1"/>
  <c r="I258" i="7"/>
  <c r="I210" i="7"/>
  <c r="B210" i="7" s="1"/>
  <c r="I224" i="7"/>
  <c r="I259" i="7"/>
  <c r="I242" i="7"/>
  <c r="I203" i="7"/>
  <c r="B203" i="7" s="1"/>
  <c r="K203" i="7" s="1"/>
  <c r="I245" i="7"/>
  <c r="I229" i="7"/>
  <c r="B229" i="7" s="1"/>
  <c r="I277" i="7"/>
  <c r="I275" i="7"/>
  <c r="I211" i="7"/>
  <c r="B211" i="7" s="1"/>
  <c r="K211" i="7" s="1"/>
  <c r="I204" i="7"/>
  <c r="B204" i="7" s="1"/>
  <c r="K204" i="7" s="1"/>
  <c r="I205" i="7"/>
  <c r="B205" i="7" s="1"/>
  <c r="J205" i="7" s="1"/>
  <c r="I199" i="7"/>
  <c r="B199" i="7" s="1"/>
  <c r="J199" i="7" s="1"/>
  <c r="I191" i="7"/>
  <c r="B191" i="7" s="1"/>
  <c r="J191" i="7" s="1"/>
  <c r="I233" i="7"/>
  <c r="B233" i="7" s="1"/>
  <c r="I193" i="7"/>
  <c r="B193" i="7" s="1"/>
  <c r="J193" i="7" s="1"/>
  <c r="I187" i="7"/>
  <c r="B187" i="7" s="1"/>
  <c r="K187" i="7" s="1"/>
  <c r="I186" i="7"/>
  <c r="B186" i="7" s="1"/>
  <c r="K186" i="7" s="1"/>
  <c r="I283" i="7"/>
  <c r="K283" i="7" s="1"/>
  <c r="I287" i="7"/>
  <c r="I212" i="7"/>
  <c r="B212" i="7" s="1"/>
  <c r="K212" i="7" s="1"/>
  <c r="I284" i="7"/>
  <c r="K284" i="7" s="1"/>
  <c r="I202" i="7"/>
  <c r="B202" i="7" s="1"/>
  <c r="J202" i="7" s="1"/>
  <c r="I236" i="7"/>
  <c r="B236" i="7" s="1"/>
  <c r="I285" i="7"/>
  <c r="K285" i="7" s="1"/>
  <c r="I198" i="7"/>
  <c r="B198" i="7" s="1"/>
  <c r="J198" i="7" s="1"/>
  <c r="I188" i="7"/>
  <c r="B188" i="7" s="1"/>
  <c r="J188" i="7" s="1"/>
  <c r="I271" i="7"/>
  <c r="I200" i="7"/>
  <c r="B200" i="7" s="1"/>
  <c r="J200" i="7" s="1"/>
  <c r="I196" i="7"/>
  <c r="B196" i="7" s="1"/>
  <c r="J196" i="7" s="1"/>
  <c r="I189" i="7"/>
  <c r="B189" i="7" s="1"/>
  <c r="J189" i="7" s="1"/>
  <c r="I190" i="7"/>
  <c r="B190" i="7" s="1"/>
  <c r="J190" i="7" s="1"/>
  <c r="J192" i="7" l="1"/>
  <c r="K216" i="7"/>
  <c r="K213" i="7"/>
  <c r="B245" i="7"/>
  <c r="K245" i="7" s="1"/>
  <c r="B224" i="7"/>
  <c r="J224" i="7" s="1"/>
  <c r="B273" i="7"/>
  <c r="K273" i="7" s="1"/>
  <c r="B260" i="7"/>
  <c r="K260" i="7" s="1"/>
  <c r="B264" i="7"/>
  <c r="J264" i="7" s="1"/>
  <c r="B252" i="7"/>
  <c r="K252" i="7" s="1"/>
  <c r="B262" i="7"/>
  <c r="K262" i="7" s="1"/>
  <c r="B254" i="7"/>
  <c r="K254" i="7" s="1"/>
  <c r="B271" i="7"/>
  <c r="J271" i="7" s="1"/>
  <c r="B275" i="7"/>
  <c r="K275" i="7" s="1"/>
  <c r="B276" i="7"/>
  <c r="K276" i="7" s="1"/>
  <c r="B253" i="7"/>
  <c r="K253" i="7" s="1"/>
  <c r="B272" i="7"/>
  <c r="J272" i="7" s="1"/>
  <c r="B261" i="7"/>
  <c r="K261" i="7" s="1"/>
  <c r="B277" i="7"/>
  <c r="K277" i="7" s="1"/>
  <c r="B242" i="7"/>
  <c r="K242" i="7" s="1"/>
  <c r="B258" i="7"/>
  <c r="K258" i="7" s="1"/>
  <c r="B263" i="7"/>
  <c r="J263" i="7" s="1"/>
  <c r="B268" i="7"/>
  <c r="K268" i="7" s="1"/>
  <c r="B278" i="7"/>
  <c r="K278" i="7" s="1"/>
  <c r="B279" i="7"/>
  <c r="K279" i="7" s="1"/>
  <c r="B259" i="7"/>
  <c r="K259" i="7" s="1"/>
  <c r="B244" i="7"/>
  <c r="J244" i="7" s="1"/>
  <c r="B274" i="7"/>
  <c r="J274" i="7" s="1"/>
  <c r="B251" i="7"/>
  <c r="K251" i="7" s="1"/>
  <c r="K236" i="7"/>
  <c r="K233" i="7"/>
  <c r="J229" i="7"/>
  <c r="K230" i="7"/>
  <c r="K194" i="7"/>
  <c r="J194" i="7"/>
  <c r="J214" i="7"/>
  <c r="J204" i="7"/>
  <c r="K191" i="7"/>
  <c r="K215" i="7"/>
  <c r="J215" i="7"/>
  <c r="K217" i="7"/>
  <c r="J217" i="7"/>
  <c r="K207" i="7"/>
  <c r="J230" i="7"/>
  <c r="J211" i="7"/>
  <c r="K199" i="7"/>
  <c r="K206" i="7"/>
  <c r="J283" i="7"/>
  <c r="J197" i="7"/>
  <c r="K193" i="7"/>
  <c r="K205" i="7"/>
  <c r="J186" i="7"/>
  <c r="J284" i="7"/>
  <c r="K198" i="7"/>
  <c r="J203" i="7"/>
  <c r="J210" i="7"/>
  <c r="K210" i="7"/>
  <c r="K188" i="7"/>
  <c r="K287" i="7"/>
  <c r="K202" i="7"/>
  <c r="K196" i="7"/>
  <c r="J285" i="7"/>
  <c r="J187" i="7"/>
  <c r="J212" i="7"/>
  <c r="K200" i="7"/>
  <c r="K190" i="7"/>
  <c r="K189" i="7"/>
  <c r="L304" i="7" l="1"/>
  <c r="K263" i="7"/>
  <c r="J275" i="7"/>
  <c r="K224" i="7"/>
  <c r="J277" i="7"/>
  <c r="K244" i="7"/>
  <c r="J273" i="7"/>
  <c r="K271" i="7"/>
  <c r="K264" i="7"/>
  <c r="K274" i="7"/>
  <c r="K272" i="7"/>
  <c r="J276" i="7"/>
  <c r="J279" i="7"/>
  <c r="J268" i="7"/>
  <c r="J242" i="7"/>
  <c r="J261" i="7"/>
  <c r="J253" i="7"/>
  <c r="J254" i="7"/>
  <c r="J252" i="7"/>
  <c r="J260" i="7"/>
  <c r="J278" i="7"/>
  <c r="J259" i="7"/>
  <c r="J258" i="7"/>
  <c r="J262" i="7"/>
  <c r="J245" i="7"/>
  <c r="J251" i="7"/>
  <c r="K229" i="7"/>
  <c r="J233" i="7"/>
  <c r="J236" i="7"/>
  <c r="J287" i="7"/>
  <c r="O72" i="3"/>
  <c r="O77" i="3"/>
  <c r="O78" i="3"/>
  <c r="K304" i="7" l="1"/>
  <c r="O73" i="3"/>
  <c r="O87" i="3"/>
  <c r="O93" i="3" l="1"/>
  <c r="O88" i="3" l="1"/>
  <c r="C41" i="3"/>
  <c r="O91" i="3"/>
  <c r="O89" i="3"/>
  <c r="O85" i="3"/>
  <c r="O81" i="3" l="1"/>
  <c r="O71" i="3" l="1"/>
  <c r="C61" i="5" l="1"/>
  <c r="C62" i="5" s="1"/>
  <c r="C63" i="5" s="1"/>
  <c r="C37" i="5"/>
  <c r="C38" i="5" s="1"/>
  <c r="C39" i="5" l="1"/>
  <c r="C40" i="5" s="1"/>
  <c r="C96" i="3"/>
  <c r="C108" i="3"/>
  <c r="C45" i="3"/>
  <c r="C43" i="3"/>
  <c r="C39" i="3"/>
  <c r="C36" i="3"/>
  <c r="C49" i="3"/>
  <c r="O92" i="3"/>
  <c r="C51" i="3"/>
  <c r="C9" i="3"/>
  <c r="O90" i="3"/>
  <c r="O80" i="3" l="1"/>
  <c r="O82" i="3"/>
  <c r="O76" i="3"/>
  <c r="O70" i="3" l="1"/>
  <c r="O84" i="3"/>
  <c r="O83" i="3"/>
  <c r="O79" i="3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C7" i="3"/>
  <c r="C26" i="3"/>
  <c r="C35" i="3"/>
  <c r="C33" i="3"/>
  <c r="C31" i="3"/>
  <c r="C29" i="3"/>
  <c r="C25" i="3" l="1"/>
  <c r="C109" i="3" s="1"/>
  <c r="C23" i="3"/>
  <c r="C21" i="3"/>
  <c r="C103" i="3" s="1"/>
  <c r="C19" i="3"/>
  <c r="C15" i="3"/>
  <c r="C97" i="3" s="1"/>
  <c r="C13" i="3"/>
  <c r="C16" i="3"/>
  <c r="C10" i="3"/>
  <c r="C55" i="3" l="1"/>
  <c r="C61" i="3" s="1"/>
  <c r="C57" i="3"/>
  <c r="C62" i="3" l="1"/>
  <c r="C66" i="3" s="1"/>
  <c r="C73" i="3" s="1"/>
  <c r="C67" i="3"/>
  <c r="C74" i="3" s="1"/>
  <c r="C65" i="3"/>
  <c r="C72" i="3" s="1"/>
  <c r="C59" i="3"/>
  <c r="C58" i="3"/>
  <c r="C63" i="3" l="1"/>
  <c r="C70" i="3" s="1"/>
  <c r="C98" i="3"/>
  <c r="C99" i="3" s="1"/>
  <c r="C110" i="3"/>
  <c r="C111" i="3" s="1"/>
  <c r="C104" i="3"/>
  <c r="C105" i="3" s="1"/>
  <c r="C64" i="3"/>
  <c r="C71" i="3" s="1"/>
</calcChain>
</file>

<file path=xl/sharedStrings.xml><?xml version="1.0" encoding="utf-8"?>
<sst xmlns="http://schemas.openxmlformats.org/spreadsheetml/2006/main" count="1373" uniqueCount="591">
  <si>
    <t>Material</t>
  </si>
  <si>
    <t>http://www.modellbauershop.de/antrieb/zahnriemenscheiben-teilung-t-25.php</t>
  </si>
  <si>
    <t>http://www.modellbauershop.de/antrieb/zahnriemen-fuer-teilung-25.php</t>
  </si>
  <si>
    <t>Oberarm</t>
  </si>
  <si>
    <t>Unterarm</t>
  </si>
  <si>
    <t>Sollgewicht</t>
  </si>
  <si>
    <t>[kg]</t>
  </si>
  <si>
    <t>Roboterschwerpunkt</t>
  </si>
  <si>
    <t>Hand</t>
  </si>
  <si>
    <t>Drehmoment Schulter</t>
  </si>
  <si>
    <t>Oberarmgewicht</t>
  </si>
  <si>
    <t>Unterarmgewicht</t>
  </si>
  <si>
    <t>Handgewicht</t>
  </si>
  <si>
    <t>[Nm]</t>
  </si>
  <si>
    <t>Übersetzung Oberarm</t>
  </si>
  <si>
    <t>Übersetzung Unterarm</t>
  </si>
  <si>
    <t>[1:]</t>
  </si>
  <si>
    <t>Drehmoment Schulter Motor</t>
  </si>
  <si>
    <t>Drehmoment Zuschlag</t>
  </si>
  <si>
    <t xml:space="preserve">Dimensionierung Schultermotor </t>
  </si>
  <si>
    <t>Übersetzung Schulter</t>
  </si>
  <si>
    <t>Dimensionierung Oberarmmotor</t>
  </si>
  <si>
    <t>Dimensionierung Unterarmmotor</t>
  </si>
  <si>
    <t>Sollbeschleunigung</t>
  </si>
  <si>
    <t>[m/s^2]</t>
  </si>
  <si>
    <t>Erdbeschleuinigung</t>
  </si>
  <si>
    <t>Drehmoment Unterarm Motor</t>
  </si>
  <si>
    <t xml:space="preserve">Drehmoment Oberarm </t>
  </si>
  <si>
    <t>Drehmoment Unterarm</t>
  </si>
  <si>
    <t>[Zähne]</t>
  </si>
  <si>
    <t>Zahnriemen Teilung</t>
  </si>
  <si>
    <t>[mm]</t>
  </si>
  <si>
    <t>Zahnriemenscheibe 1 Zähne</t>
  </si>
  <si>
    <t>Zahnriemenscheibe 2 Zähne</t>
  </si>
  <si>
    <t>Zahnriemenscheibe 2 Radius</t>
  </si>
  <si>
    <t>Zahnriemenscheibe 3 Zähne</t>
  </si>
  <si>
    <t>Zahnriemenscheibe 4 Zähne</t>
  </si>
  <si>
    <t>Zahnriemenscheibe 1 Durchmesser</t>
  </si>
  <si>
    <t>Zahnriemenscheibe 2 Durchmesser</t>
  </si>
  <si>
    <t>Zahnriemenscheibe 3 Durchmesser</t>
  </si>
  <si>
    <t>Zahnriemenscheibe 4 Durchmesser</t>
  </si>
  <si>
    <t>Dimensionierung Handgelenkdreher</t>
  </si>
  <si>
    <t>Stepper von http://www.omc-stepperonline.com/compare_stepper_motor.html</t>
  </si>
  <si>
    <t>Model</t>
  </si>
  <si>
    <t>Step Angle</t>
  </si>
  <si>
    <t>Bi/Unipolar</t>
  </si>
  <si>
    <t>Size</t>
  </si>
  <si>
    <t>Holding Torque</t>
  </si>
  <si>
    <t>Current</t>
  </si>
  <si>
    <t>Shaft Type</t>
  </si>
  <si>
    <t>Inductance</t>
  </si>
  <si>
    <t>Weight</t>
  </si>
  <si>
    <t>P/N</t>
  </si>
  <si>
    <t>Degree</t>
  </si>
  <si>
    <t>No of Leads</t>
  </si>
  <si>
    <t>Nema</t>
  </si>
  <si>
    <t>[A]</t>
  </si>
  <si>
    <t>[S/D]</t>
  </si>
  <si>
    <t>[Kg]</t>
  </si>
  <si>
    <t>8HS11-0204S</t>
  </si>
  <si>
    <t>Bi (4)</t>
  </si>
  <si>
    <t>NEMA 8</t>
  </si>
  <si>
    <t>20x20x28</t>
  </si>
  <si>
    <t>S</t>
  </si>
  <si>
    <t>8HS12-0506S</t>
  </si>
  <si>
    <t>20x20x30</t>
  </si>
  <si>
    <t>8HS13-0604S</t>
  </si>
  <si>
    <t>20x20x33</t>
  </si>
  <si>
    <t>8HS15-0304S</t>
  </si>
  <si>
    <t>20x20x38</t>
  </si>
  <si>
    <t>8HS15-0604S</t>
  </si>
  <si>
    <t>8HS15-0604D</t>
  </si>
  <si>
    <t>11HS12-0674S</t>
  </si>
  <si>
    <t>NEMA 11</t>
  </si>
  <si>
    <t>11HS12-0956D</t>
  </si>
  <si>
    <t>Uni (6)</t>
  </si>
  <si>
    <t>D</t>
  </si>
  <si>
    <t>11HS18-0674S</t>
  </si>
  <si>
    <t>11HS20-0674S</t>
  </si>
  <si>
    <t>14HR05-0504S</t>
  </si>
  <si>
    <t>NEMA 14</t>
  </si>
  <si>
    <t>14HR08-0654S</t>
  </si>
  <si>
    <t>14HM08-0504S</t>
  </si>
  <si>
    <t>35x35x20</t>
  </si>
  <si>
    <t>14HM11-0404S</t>
  </si>
  <si>
    <t>35x35x28</t>
  </si>
  <si>
    <t>14HS10-0404S</t>
  </si>
  <si>
    <t>35x35x26</t>
  </si>
  <si>
    <t>14HS11-1004S</t>
  </si>
  <si>
    <t>14HS13-0406S</t>
  </si>
  <si>
    <t>35x35x34</t>
  </si>
  <si>
    <t>14HS13-0804S</t>
  </si>
  <si>
    <t>14HS17-0504S</t>
  </si>
  <si>
    <t>35x35x42</t>
  </si>
  <si>
    <t>14HS20-1504S</t>
  </si>
  <si>
    <t>35x35x52</t>
  </si>
  <si>
    <t>16HM10-0604S</t>
  </si>
  <si>
    <t>NEMA 16</t>
  </si>
  <si>
    <t>39x39x25</t>
  </si>
  <si>
    <t>16HM13-0404S</t>
  </si>
  <si>
    <t>39x39x34</t>
  </si>
  <si>
    <t>16HM17-0304S</t>
  </si>
  <si>
    <t>39x39x44</t>
  </si>
  <si>
    <t>16HS08-0506S</t>
  </si>
  <si>
    <t>39x39x20</t>
  </si>
  <si>
    <t>16HS08-0604S</t>
  </si>
  <si>
    <t>16HS13-0404S</t>
  </si>
  <si>
    <t>16HS13-0654S</t>
  </si>
  <si>
    <t>17HM08-1204S</t>
  </si>
  <si>
    <t>NEMA 17</t>
  </si>
  <si>
    <t>42x42x21</t>
  </si>
  <si>
    <t>17HM13-0316S</t>
  </si>
  <si>
    <t>Uni (6)/Bi (6)</t>
  </si>
  <si>
    <t>42x42x34</t>
  </si>
  <si>
    <t>17HM13-0316D</t>
  </si>
  <si>
    <t>17HM15-0406S</t>
  </si>
  <si>
    <t>42x42x39</t>
  </si>
  <si>
    <t>17HM15-0406D</t>
  </si>
  <si>
    <t>17HM15-0806S</t>
  </si>
  <si>
    <t>42x42x40</t>
  </si>
  <si>
    <t>17HM15-0904S</t>
  </si>
  <si>
    <t>17HM19-0406S</t>
  </si>
  <si>
    <t>42x42x48</t>
  </si>
  <si>
    <t>17HM19-0406D</t>
  </si>
  <si>
    <t>17HM19-1684S</t>
  </si>
  <si>
    <t>17HM19-2004S</t>
  </si>
  <si>
    <t>17HT15-1003S</t>
  </si>
  <si>
    <t>Bi (3)</t>
  </si>
  <si>
    <t>17HT15-0603S</t>
  </si>
  <si>
    <t>17HS08-1004S</t>
  </si>
  <si>
    <t>42x42x20</t>
  </si>
  <si>
    <t>17HS10-0704S</t>
  </si>
  <si>
    <t>42x42x25</t>
  </si>
  <si>
    <t>17HS13-0316S</t>
  </si>
  <si>
    <t>42x42x33</t>
  </si>
  <si>
    <t>17HS13-0956S</t>
  </si>
  <si>
    <t>17HS13-1334S</t>
  </si>
  <si>
    <t>17HS13-1334D</t>
  </si>
  <si>
    <t>17HS13-0404S</t>
  </si>
  <si>
    <t>17HS13-0404D</t>
  </si>
  <si>
    <t>17HS15-0406S</t>
  </si>
  <si>
    <t>17HS15-0854S</t>
  </si>
  <si>
    <t>17HS15-1684S</t>
  </si>
  <si>
    <t>17HS15-0404S</t>
  </si>
  <si>
    <t>17HS16-0284S</t>
  </si>
  <si>
    <t>17HS16-2004S</t>
  </si>
  <si>
    <t>17HS19-0406S</t>
  </si>
  <si>
    <t>42x42x47</t>
  </si>
  <si>
    <t>17HS19-0854S</t>
  </si>
  <si>
    <t>17HS19-1684D</t>
  </si>
  <si>
    <t>17HS19-1684S</t>
  </si>
  <si>
    <t>17HS19-2004S</t>
  </si>
  <si>
    <t>17HS24-0644S</t>
  </si>
  <si>
    <t>42x42x60</t>
  </si>
  <si>
    <t>17HS24-1206S</t>
  </si>
  <si>
    <t>17HS24-2104S</t>
  </si>
  <si>
    <t>23HM20-0384S</t>
  </si>
  <si>
    <t>NEMA 23</t>
  </si>
  <si>
    <t>57x57x51</t>
  </si>
  <si>
    <t>23HM22-2804S</t>
  </si>
  <si>
    <t>57x57x56</t>
  </si>
  <si>
    <t>23HR20-2804S</t>
  </si>
  <si>
    <t>57x57x52</t>
  </si>
  <si>
    <t>23HS16-0884S</t>
  </si>
  <si>
    <t>57x57x42</t>
  </si>
  <si>
    <t>23HS16-1006S</t>
  </si>
  <si>
    <t>57x57x41</t>
  </si>
  <si>
    <t>23HS16-2804S</t>
  </si>
  <si>
    <t>23HS16-2804D</t>
  </si>
  <si>
    <t>23HS17-1008S</t>
  </si>
  <si>
    <t>Uni (6)/Bi (4)</t>
  </si>
  <si>
    <t>57x57x44</t>
  </si>
  <si>
    <t>23HS20-2004S</t>
  </si>
  <si>
    <t>23HS22-1006S</t>
  </si>
  <si>
    <t>23HS22-1006D</t>
  </si>
  <si>
    <t>23HS22-3008D</t>
  </si>
  <si>
    <t>23HS22-1504S</t>
  </si>
  <si>
    <t>23HS22-2804S</t>
  </si>
  <si>
    <t>23HS30-1006S</t>
  </si>
  <si>
    <t>57x57x76</t>
  </si>
  <si>
    <t>23HS30-3006D</t>
  </si>
  <si>
    <t>23HS30-2804S</t>
  </si>
  <si>
    <t>23HS33-4008S</t>
  </si>
  <si>
    <t>Bi (8)</t>
  </si>
  <si>
    <t>57x57x84</t>
  </si>
  <si>
    <t>23HS33-4008D</t>
  </si>
  <si>
    <t>23HS41-1804S</t>
  </si>
  <si>
    <t>57x57x104</t>
  </si>
  <si>
    <t>23HS45-3008D</t>
  </si>
  <si>
    <t>57x57x114</t>
  </si>
  <si>
    <t>23HS45-4204S</t>
  </si>
  <si>
    <t>23HT31-5206D</t>
  </si>
  <si>
    <t>57x57x79</t>
  </si>
  <si>
    <t>24HS22-2006S</t>
  </si>
  <si>
    <t>NEMA 24</t>
  </si>
  <si>
    <t>60x60x57</t>
  </si>
  <si>
    <t>24HS34-3008D</t>
  </si>
  <si>
    <t>60x60x88</t>
  </si>
  <si>
    <t>24HS34-4004D</t>
  </si>
  <si>
    <t>60x60x87</t>
  </si>
  <si>
    <t>34HS26-2006D</t>
  </si>
  <si>
    <t>NEMA 34</t>
  </si>
  <si>
    <t>86x86x66</t>
  </si>
  <si>
    <t>34HS27-4004S</t>
  </si>
  <si>
    <t>86x86x68</t>
  </si>
  <si>
    <t>34HS31-5504S</t>
  </si>
  <si>
    <t>86x86x80</t>
  </si>
  <si>
    <t>34HS38-3008S</t>
  </si>
  <si>
    <t>86x86x97</t>
  </si>
  <si>
    <t>34HS46-5004D</t>
  </si>
  <si>
    <t>86x86x114</t>
  </si>
  <si>
    <t>34HS59-5004S</t>
  </si>
  <si>
    <t>86x86x150</t>
  </si>
  <si>
    <t>34HT38-2003S</t>
  </si>
  <si>
    <t>42HS59-6004S</t>
  </si>
  <si>
    <t>NEMA 42</t>
  </si>
  <si>
    <t>110x110x150</t>
  </si>
  <si>
    <t>42HS79-6004S</t>
  </si>
  <si>
    <t>110x110x200</t>
  </si>
  <si>
    <t>42HS79-8004S</t>
  </si>
  <si>
    <t>110x110x201</t>
  </si>
  <si>
    <t>[N,cm]</t>
  </si>
  <si>
    <t>28x28x31,5</t>
  </si>
  <si>
    <t>28x28x44,5</t>
  </si>
  <si>
    <t>28x28x50,5</t>
  </si>
  <si>
    <t>36x12,5</t>
  </si>
  <si>
    <t>36x19,5</t>
  </si>
  <si>
    <t>3/2,12</t>
  </si>
  <si>
    <t>3/4,24</t>
  </si>
  <si>
    <t>24HS34-3504D</t>
  </si>
  <si>
    <t>Shaft Size</t>
  </si>
  <si>
    <t>3D Drucker Zortrax M200</t>
  </si>
  <si>
    <t>http://www.cncshop.at/index.php?k=798</t>
  </si>
  <si>
    <t>http://www.kugellager-express.de/rillenkugellager-6807-61807-35x47x7-mm.html</t>
  </si>
  <si>
    <t>Eval Board</t>
  </si>
  <si>
    <t>http://www.mouser.de/ProductDetail/ams/AS5048B-TS_EK_AB/?qs=sGAEpiMZZMvc81WFyF5EdoQL2wnmmwE79zX4h9RmJyQ%3d</t>
  </si>
  <si>
    <t>http://www.mouser.com/ds/2/588/AS5048-EK-AB_Operation-Manual_Rev.1.3-820438.pdf</t>
  </si>
  <si>
    <t>AS5048</t>
  </si>
  <si>
    <t>Arduino lib</t>
  </si>
  <si>
    <t>https://github.com/sosandroid/AMS_AS5048B</t>
  </si>
  <si>
    <t>Bezugsquelle</t>
  </si>
  <si>
    <t>Operational Manual</t>
  </si>
  <si>
    <t>Teilung 2,5</t>
  </si>
  <si>
    <t>Bezugsquellen</t>
  </si>
  <si>
    <t>Drehmoment Handgelenk</t>
  </si>
  <si>
    <t>Übersetzung Handgelenkdreher</t>
  </si>
  <si>
    <t>Drehmoment Handgelenkdreher</t>
  </si>
  <si>
    <t>Berechnung</t>
  </si>
  <si>
    <t>http://smarthost.maedler.de/maedlertools/maedler.html</t>
  </si>
  <si>
    <t xml:space="preserve">Zahnriemen Schulter </t>
  </si>
  <si>
    <t>[N]</t>
  </si>
  <si>
    <t>[W]</t>
  </si>
  <si>
    <t>Drehzahl</t>
  </si>
  <si>
    <t>Kraft</t>
  </si>
  <si>
    <t>Leistung</t>
  </si>
  <si>
    <t>Zahnriemen Oberarm 1</t>
  </si>
  <si>
    <t>Zahnriemen Oberarm 2</t>
  </si>
  <si>
    <t>Radius</t>
  </si>
  <si>
    <t>[m]</t>
  </si>
  <si>
    <t>[1/s]</t>
  </si>
  <si>
    <t>Zähne</t>
  </si>
  <si>
    <t>Außendurchmesser</t>
  </si>
  <si>
    <t>Wirkdurchmesser</t>
  </si>
  <si>
    <t>Berechnung Zahnriemenscheibe T2,5</t>
  </si>
  <si>
    <t>Tascheinnendurchmesser</t>
  </si>
  <si>
    <t>Winkeleckeinnendurchmesser</t>
  </si>
  <si>
    <t>Rillenkugellager DIN 625 SKF - SKF 61818 - 90x115x13</t>
  </si>
  <si>
    <t>http://www.hug-technik.com/shop/product_info.php?info=p5264_metr--zahnriemenscheibe-t5-21-mm-breit--15-zaehne--zahnriemenrad-t5-21-15.html</t>
  </si>
  <si>
    <t>https://www.conrad.de/de/silberstahl-welle-500-mm-3-mm-237051.html</t>
  </si>
  <si>
    <t>https://www.conrad.de/de/vierkantmuttern-m3-din-562-stahl-100-st-toolcraft-109026-109026.html</t>
  </si>
  <si>
    <t>Verschraubung Deckel</t>
  </si>
  <si>
    <t>Gegenverschraubung Deckel</t>
  </si>
  <si>
    <t>Rillenkugellager DIN 625 SKF - 61807 35x47x7mm</t>
  </si>
  <si>
    <t>Lager  zum Grippermount</t>
  </si>
  <si>
    <t>Befestigung Lagerdeckel</t>
  </si>
  <si>
    <t>Zylinderkopfschraube Innensechskant M3 20mm</t>
  </si>
  <si>
    <t>Befestigung Servo</t>
  </si>
  <si>
    <t>https://www.conrad.de/de/sechskantmuttern-m3-stahl-verzinkt-100-st-toolcraft-815624-815624.html</t>
  </si>
  <si>
    <t>Gegenstück zur Befestigung Lagdereckel</t>
  </si>
  <si>
    <t>Rillenkugellager DIN 625 SKF - 61902 15x28x7mm</t>
  </si>
  <si>
    <t>Lager für Wrist</t>
  </si>
  <si>
    <t>http://www.kugellager-express.de/rillenkugellager-6902-61902-15x28x7-mm.html</t>
  </si>
  <si>
    <t xml:space="preserve">Achse Zwischenwelle </t>
  </si>
  <si>
    <t>http://www.cncshop.at/index.php?a=10133</t>
  </si>
  <si>
    <t>http://www.kugellager-express.de/edelstahl-miniatur-kugellager-ss-mr106-6x10x3-mm.html</t>
  </si>
  <si>
    <t>Rillenkugellager 6x10x3</t>
  </si>
  <si>
    <t>Lager Zwischenwelle</t>
  </si>
  <si>
    <t>https://www.conrad.de/de/silberstahl-welle-500-mm-6-mm-237086.html</t>
  </si>
  <si>
    <t>Motor</t>
  </si>
  <si>
    <t>Befestigung Motor</t>
  </si>
  <si>
    <t>https://www.conrad.de/de/unterlegscheiben-innen-durchmesser-32-mm-m3-din-125-stahl-verzinkt-100-st-toolcraft-814628-814628.html</t>
  </si>
  <si>
    <t>RiemenSpanner Schraube</t>
  </si>
  <si>
    <t>http://www.cncshop.at/index.php?a=10276</t>
  </si>
  <si>
    <t>Zylinderkopfschraube Innensechskant M2 6mm</t>
  </si>
  <si>
    <t>Sensor Befestigung</t>
  </si>
  <si>
    <t>Rotary Sensor</t>
  </si>
  <si>
    <t>http://www.digikey.de/product-detail/de/ams/AS5048B-TS_EK_AB/AS5048B-AB-1.0-ND/3188613</t>
  </si>
  <si>
    <t>Sensor</t>
  </si>
  <si>
    <t>Sensor befestigung</t>
  </si>
  <si>
    <t>Unterlegscheiben M2 Dicke 0,5mm</t>
  </si>
  <si>
    <t>https://www.conrad.de/de/unterlegscheiben-innen-durchmesser-22-mm-m2-din-125-stahl-verzinkt-100-st-toolcraft-a22-d125a2k-194696-521659.html</t>
  </si>
  <si>
    <t>Riemenspanner Kugellager</t>
  </si>
  <si>
    <t>Silberstahlwelle 6mm Durchmesser</t>
  </si>
  <si>
    <t>http://www.cncshop.at/index.php?a=10273</t>
  </si>
  <si>
    <t>Übersetzung HandgelenkNicker</t>
  </si>
  <si>
    <t>Drehmoment HandgelenkNicker Motor</t>
  </si>
  <si>
    <t>Dimensionierung HandgelenkNicker</t>
  </si>
  <si>
    <t>Drehmoment HandgelenkDreher Motor</t>
  </si>
  <si>
    <t>Lagerung Wrist</t>
  </si>
  <si>
    <t>Befestigung WristFlansch</t>
  </si>
  <si>
    <t>Befestigung wristFlansch</t>
  </si>
  <si>
    <t>RillenKugellager 6x19x6</t>
  </si>
  <si>
    <t>http://www.kugellager-express.de/miniatur-kugellager-626-626z-626rs-6x19x6-mm.html</t>
  </si>
  <si>
    <t>Lagerung Zwischenwelle</t>
  </si>
  <si>
    <t>Lagerung RiemenSpanner</t>
  </si>
  <si>
    <t>http://www.kugellager-express.de/miniatur-kugellager-623-623z-623rs-3x10x4-mm.html</t>
  </si>
  <si>
    <t>Rillenkugellager 3x10x4</t>
  </si>
  <si>
    <t>Silberstahlwelle 3mm Durchmesser</t>
  </si>
  <si>
    <t>Welle Zwischenwelle</t>
  </si>
  <si>
    <t>http://www.cncshop.at/index.php?a=10275</t>
  </si>
  <si>
    <t>Zylinderkopfschraube Innensechskant M3 12mm</t>
  </si>
  <si>
    <t>http://www.amazon.de/Zylinderkopfschrauben-Edelstahl-Zylinderschrauben-Inbusschrauben-Innensechskant/dp/B018XL5XNG/ref=sr_1_1?ie=UTF8&amp;qid=1459036461&amp;sr=8-1&amp;keywords=zylinderkopfschraube+Innensechskant+M3+12mm</t>
  </si>
  <si>
    <t>Zylinderkopfschraube Innensechskant M3 25mm</t>
  </si>
  <si>
    <t>http://www.cncshop.at/index.php?a=10135</t>
  </si>
  <si>
    <t>Muttern M3, Schlüsselweite 5.5 mm</t>
  </si>
  <si>
    <t>Vierkant Mutter M3 Breite 5.5mm</t>
  </si>
  <si>
    <t>Muttern M2</t>
  </si>
  <si>
    <t>Lagerung Ellenbogen</t>
  </si>
  <si>
    <t>Befestigung Sensordeckel</t>
  </si>
  <si>
    <t>Senkkopfschraube Innensechskant M3 10mm</t>
  </si>
  <si>
    <t>Befestigung Kabelkanaldeckel</t>
  </si>
  <si>
    <t>http://www.amazon.de/St%C3%BCck-Senkkopfschraube-Innensechskant-7991-Edelstahl/dp/B005HO2N2M</t>
  </si>
  <si>
    <t>Zylinderkopfschraube Innensechskant M3 40mm</t>
  </si>
  <si>
    <t>Zylinderkopfschraube Innensechskant M3 30mm</t>
  </si>
  <si>
    <t>Befestigung Gabel/Block lange Befestigung</t>
  </si>
  <si>
    <t>Befestigung Gabel/Block kurze Befestigung</t>
  </si>
  <si>
    <t xml:space="preserve">Befestigung Gabel/Block </t>
  </si>
  <si>
    <t>Riemenspanner Gabel/Block</t>
  </si>
  <si>
    <t>Zylinderkopfschraube Innensechskant M3 45mm</t>
  </si>
  <si>
    <t>Gewindeschneider M3</t>
  </si>
  <si>
    <t>Silberstahlwelle 8mm Durchmesser</t>
  </si>
  <si>
    <t>https://www.conrad.de/de/silberstahl-welle-500-mm-8-mm-237205.html</t>
  </si>
  <si>
    <t>Riemenscheibenachse</t>
  </si>
  <si>
    <t>http://www.cncshop.at/index.php?a=10071</t>
  </si>
  <si>
    <t>http://www.cncshop.at/index.php?a=10053</t>
  </si>
  <si>
    <t>Metallbohrer 8mm</t>
  </si>
  <si>
    <t>Metallbohrer 6mm</t>
  </si>
  <si>
    <t>Werkzeug</t>
  </si>
  <si>
    <t>Madenschraube M3 5mm</t>
  </si>
  <si>
    <t>Madenschraube M3 16mm</t>
  </si>
  <si>
    <t>Unterlegscheiben 8mm Innendurchmesser</t>
  </si>
  <si>
    <t>Riemenspanner Motor</t>
  </si>
  <si>
    <t>Befestigung Block/Basis</t>
  </si>
  <si>
    <t>Senkkopfschraube Innensechskant M3 25mm</t>
  </si>
  <si>
    <t xml:space="preserve">Verbindung Befestigung Basishälften </t>
  </si>
  <si>
    <t>Befestigung Motordeckel</t>
  </si>
  <si>
    <t>Rillenkugellager  4 x13 x 5 mm mit Flansch</t>
  </si>
  <si>
    <t>http://www.cncshop.at/index.php?a=10311</t>
  </si>
  <si>
    <t>Berechnung Zahnriemenscheibe T5</t>
  </si>
  <si>
    <t>http://de.nanotec.com/produkte/541-st6018-schrittmotor-nema-24/</t>
  </si>
  <si>
    <t>Zahnriemen T2,5 230mm 6mm Breite</t>
  </si>
  <si>
    <t>Zahnriemen T2,5 160mm 6mm Breite</t>
  </si>
  <si>
    <t>Zahnriemen T5 340mm 10mm Breite</t>
  </si>
  <si>
    <t>Zahnriemen T5 510mm 10mm Breite</t>
  </si>
  <si>
    <t>Zahnriemen T2,5 200mm 6mm Breite</t>
  </si>
  <si>
    <t>Servo</t>
  </si>
  <si>
    <t>http://www.ebay.de/itm/111955026833</t>
  </si>
  <si>
    <t>https://www.kugellager-express.de/flanschkugellager-f624-f-624-4x13x5-mm.html</t>
  </si>
  <si>
    <t>https://www.kugellager-express.de/miniatur-kugellager-624-624z-624rs-4x13x5-mm.html?XTCsid=jn6do78lmla6nb2l5bmaiarad4</t>
  </si>
  <si>
    <t xml:space="preserve">Rillenkugellager  4 x13 x 5 mm </t>
  </si>
  <si>
    <t>https://www.conrad.de/de/unterlegscheiben-innen-durchmesser-32-mm-m3-din-125-kunststoff-10-st-toolcraft-800281-800281.html</t>
  </si>
  <si>
    <t>Unterlegscheiben M3 Kunststoff 0,8mm, Außendurchmesser 7mm</t>
  </si>
  <si>
    <t>Unterlegscheiben M3 Dicke 0,5mm, Außendurchmesser 7mm</t>
  </si>
  <si>
    <t>Riemenspanner</t>
  </si>
  <si>
    <t>http://www.ebay.de/itm/Senkkopfschrauben-Innensechskant-DIN-7991-M3-Laengen-von-4-bis-45-mm-V2A-A2-/121104449387</t>
  </si>
  <si>
    <t>Zwischenachse</t>
  </si>
  <si>
    <t>http://www.cncshop.at/index.php?a=10326</t>
  </si>
  <si>
    <t>Zahnriemen T5 500mm 10mm Breite</t>
  </si>
  <si>
    <t>Zahnriemen T5 480mm 10mm Breite</t>
  </si>
  <si>
    <t>http://www.cncshop.at/index.php?a=10325</t>
  </si>
  <si>
    <t>MotorRiemenscheibe</t>
  </si>
  <si>
    <t>Motorachse Riemen (331mm)</t>
  </si>
  <si>
    <t>Motorbefestigung</t>
  </si>
  <si>
    <t>Block/Gabel Befestigung</t>
  </si>
  <si>
    <t>Gabel/Basis Befestigung</t>
  </si>
  <si>
    <t>Rillenkugellager 8x22x7</t>
  </si>
  <si>
    <t>https://www.kugellager-express.de/miniatur-kugellager-608-608z-608rs-8x22x7-mm.html?XTCsid=jn6do78lmla6nb2l5bmaiarad4</t>
  </si>
  <si>
    <t>Oberarm-Kugellager</t>
  </si>
  <si>
    <t>Hüftdrehgelenk</t>
  </si>
  <si>
    <t>https://www.conrad.de/de/abstandsbolzen-2-x-innengewinde-m3-messing-abstandsmass-20-mm-ii-ms-3-55-20-1-st-526533.html</t>
  </si>
  <si>
    <t>Distanzbolzen 2x Innen M3 20mm, Schlüsselweite 5,5mm</t>
  </si>
  <si>
    <t>https://www.conrad.de/de/reely-stahl-gewindestange-500-mm-m3-stahl-237094.html</t>
  </si>
  <si>
    <t>Gewindestange M3</t>
  </si>
  <si>
    <t>https://www.conrad.de/de/unterlegscheiben-innen-durchmesser-32-mm-m3-din-9021-stahl-verzinkt-100-st-toolcraft-32-d9021a2k-194723-521800.html</t>
  </si>
  <si>
    <t>Unterlegscheiben M3 Stahl  0,8mm, Außendurchmesser 9mm</t>
  </si>
  <si>
    <t>http://kugellagershop-duesseldorf.de/61818-2RS-/-6818-2RS</t>
  </si>
  <si>
    <t>Rillenkugellager DIN 625 SKF - SKF 61818 - 85x110x13</t>
  </si>
  <si>
    <t>Befestigung DrehlagerDeckel/Drehlager/Basis</t>
  </si>
  <si>
    <t>Befestigung HüftMotorBasis</t>
  </si>
  <si>
    <t>RiemenSpanner HüftMotor</t>
  </si>
  <si>
    <t>HüftMotor</t>
  </si>
  <si>
    <t>Hüftmotor Zahnriemen original 564mm</t>
  </si>
  <si>
    <t>http://www.cncshop.at/index.php?a=10331</t>
  </si>
  <si>
    <t>Zahnriemen T5 560mm 10mm Breite</t>
  </si>
  <si>
    <t>Status</t>
  </si>
  <si>
    <t>Total</t>
  </si>
  <si>
    <t>Still Open</t>
  </si>
  <si>
    <t>http://kugellagershop-duesseldorf.de/epages/1e704d71-b8d3-4e48-be33-4758de826e89.sf/de_DE/?ObjectPath=/Shops/1e704d71-b8d3-4e48-be33-4758de826e89/Products/618172RS</t>
  </si>
  <si>
    <t>Zylinderkopfschraube Innensechskant M2 12mm</t>
  </si>
  <si>
    <t>Tutorial</t>
  </si>
  <si>
    <t>http://robottini.altervista.org/dongbu-herkulex-arduino-library-2</t>
  </si>
  <si>
    <t>Arduino library</t>
  </si>
  <si>
    <t>http://robottini.altervista.org/wp-content/uploads/2012/12/Herkulex.zip</t>
  </si>
  <si>
    <t>HerkuleX Servo DRS-0101</t>
  </si>
  <si>
    <t>Elektronikbedarf</t>
  </si>
  <si>
    <t>Buchsenleisten RM127 20-polig</t>
  </si>
  <si>
    <t>http://www.3dmensionals.de/3d-filamente/zortrax</t>
  </si>
  <si>
    <t>Zortrax ABS Filament rot</t>
  </si>
  <si>
    <t>http://www.3dmensionals.de/original-zortrax-z-abs-filament-1-75mm-rot-red</t>
  </si>
  <si>
    <t>-</t>
  </si>
  <si>
    <t>Steckerleiste RM127</t>
  </si>
  <si>
    <t>Rohr 4mmx3.1mm (=M3)</t>
  </si>
  <si>
    <t>https://www.conrad.de/de/pb-fastener-10er-set-abstandsbolzen-5-mm-stahl-verzinkt-m3-10-st-521624.html</t>
  </si>
  <si>
    <t>Distanzbolzen M3 5mm, Schlüsselweite 5,5mm</t>
  </si>
  <si>
    <t xml:space="preserve">Welle Riemenspanner </t>
  </si>
  <si>
    <t>Zortrax Ultrat Filament rot</t>
  </si>
  <si>
    <t>on stock</t>
  </si>
  <si>
    <t>Article</t>
  </si>
  <si>
    <t>Used in Component</t>
  </si>
  <si>
    <t>Dealer</t>
  </si>
  <si>
    <t>Number</t>
  </si>
  <si>
    <t>http://www.ebay.de/itm/191777095007?var=490801405798</t>
  </si>
  <si>
    <t>http://www.ebay.de/itm/191777095007?var=490801405809</t>
  </si>
  <si>
    <t>http://www.ebay.de/itm/191777095007?var=490801405876</t>
  </si>
  <si>
    <t>http://www.ebay.de/itm/401011184909?var=670540129220</t>
  </si>
  <si>
    <t>http://www.ebay.de/itm/120518872335</t>
  </si>
  <si>
    <t>NEMA 24 - 60x60x87 - 3.1Nm - 8mm Achse - 4.2A</t>
  </si>
  <si>
    <t xml:space="preserve">NEMA 24 - 60x60x57 - 1.9Nm - 6,35mm Achse - 2.8A - 2.ST6018M2008 </t>
  </si>
  <si>
    <t>Stepper Motor Driver 4A bipolar</t>
  </si>
  <si>
    <t xml:space="preserve">Servokabel dick </t>
  </si>
  <si>
    <t>https://www.conrad.de/de/steuerleitung-liycy-4-x-025-mm-grau-kabeltronik-20402500-meterware-486447.html</t>
  </si>
  <si>
    <t xml:space="preserve">Servokabel dünn </t>
  </si>
  <si>
    <t>https://www.conrad.de/de/steuerleitung-liycy-4-x-014-mm-schwarz-kabeltronik-96042609-meterware-486563.html</t>
  </si>
  <si>
    <t>http://eu.stepperonline.com/switching-power-supply-350w-24v-146a-for-cnc-router-kits-115v230v-s35024-p-177.html</t>
  </si>
  <si>
    <t>PowerSupply 24V 350W 14A</t>
  </si>
  <si>
    <t>http://www.amazon.de/EXACT-30101-Handgewindebohrer-Satz-HSS/dp/B003A5V7NQ/ref=sr_1_1?ie=UTF8&amp;qid=1461079955&amp;sr=8-1&amp;keywords=gewindeschneider+M3</t>
  </si>
  <si>
    <t>Metallbohrer 2.5mm (als M3 Kernlochborer)</t>
  </si>
  <si>
    <t>Metallbohrer 3mm</t>
  </si>
  <si>
    <t>https://www.conrad.de/de/hss-metall-spiralbohrer-8-mm-cd-juwel-gesamtlaenge-117-mm-rollgewalzt-din-338-zylinderschaft-1-st-825026.html</t>
  </si>
  <si>
    <t>https://www.conrad.de/de/hss-metall-spiralbohrer-6-mm-cd-juwel-1108060023-gesamtlaenge-93-mm-rollgewalzt-din-338-zylinderschaft-1-st-824976.html</t>
  </si>
  <si>
    <t>https://www.conrad.de/de/hss-metall-spiralbohrer-3-mm-cd-juwel-gesamtlaenge-61-mm-rollgewalzt-din-338-zylinderschaft-5-st-824887.html</t>
  </si>
  <si>
    <t>https://www.conrad.de/de/hss-metall-spiralbohrer-25-mm-heller-27416-6-gesamtlaenge-57-mm-rollgewalzt-din-338-zylinderschaft-2-st-802540.html</t>
  </si>
  <si>
    <t>500ml Aceton</t>
  </si>
  <si>
    <t>Baumarkt</t>
  </si>
  <si>
    <t>https://www.conrad.de/de/stiftleiste-standard-anzahl-reihen-1-polzahl-je-reihe-20-w-p-products-707-1-20-1-20-00-1-st-719593.html</t>
  </si>
  <si>
    <t>https://www.conrad.de/de/cart/confirmation.html</t>
  </si>
  <si>
    <t>http://www.pibot.com/pibot-stepper-driver-rev2-2.html</t>
  </si>
  <si>
    <t>NEMA 23 - 57x57x56 - 1,26Nm - 6,35mm Achse - 2.8A</t>
  </si>
  <si>
    <t>http://www.ebay.de/itm/310530719926?var=610168956880</t>
  </si>
  <si>
    <t>Zylinderkopfschraube Innensechskant M3 16mm</t>
  </si>
  <si>
    <t>http://www.ebay.de/itm/262038499806</t>
  </si>
  <si>
    <t>http://www.ebay.de/itm/262038536473</t>
  </si>
  <si>
    <t>http://www.ebay.de/itm/131783082611</t>
  </si>
  <si>
    <t>https://www.conrad.de/de/elektronik-u-feinmechanik-innen-sechskantschraubendreher-wiha-picofinish-schluesselweite-metrisch-25-mm-klingenlaenge-60-mm-824062.html</t>
  </si>
  <si>
    <t>Innensechskant schraubendreher</t>
  </si>
  <si>
    <t>Unterlegscheiben M3  0,8mm, Außendurchmesser 9mm</t>
  </si>
  <si>
    <t>https://www.conrad.de/de/unterlegscheiben-innen-durchmesser-32-mm-m3-din-9021-kunststoff-100-st-toolcraft-32-d9021-poly-194730-521735.html</t>
  </si>
  <si>
    <t>Handmontage</t>
  </si>
  <si>
    <t>Handgelenk</t>
  </si>
  <si>
    <t>Ellbogen</t>
  </si>
  <si>
    <t>Schulter</t>
  </si>
  <si>
    <t>Hüfte</t>
  </si>
  <si>
    <t>#VPE</t>
  </si>
  <si>
    <t>VPE</t>
  </si>
  <si>
    <t>Preis</t>
  </si>
  <si>
    <t>benötigt</t>
  </si>
  <si>
    <t>Summe</t>
  </si>
  <si>
    <t>Rest</t>
  </si>
  <si>
    <t>Habs</t>
  </si>
  <si>
    <t>Bestellt</t>
  </si>
  <si>
    <t>retourniert</t>
  </si>
  <si>
    <t>http://www.cncshop.at/index.php?a=10117</t>
  </si>
  <si>
    <t>http://www.cncshop.at/index.php?a=10051</t>
  </si>
  <si>
    <t>Unterlegscheiben M3 Kunststoff 0,8mm, Außendurchmesser 9mm</t>
  </si>
  <si>
    <t>en</t>
  </si>
  <si>
    <t>Micro-stepping Setting</t>
  </si>
  <si>
    <t>This picture shows how you can change the micro-stepping settings of the driver.</t>
  </si>
  <si>
    <t>Output Limit current Adjust</t>
  </si>
  <si>
    <t>You can approximate the current limit by the position of the marked point on the trimmer. DO NOT EXCEED YOUR MOTOR’S CURRENT RATING.</t>
  </si>
  <si>
    <t>OR the current limit can be adjusted by measuring VREF and turning the trimmer. Connect the [+] of the voltmeter to VREF and the [-] lead to GND and read the value.</t>
  </si>
  <si>
    <t>Current Limit = VREF ÷ 0.6801</t>
  </si>
  <si>
    <t>So for example the Max current is: 2.81V ÷ 0.6801 = 4.1317A</t>
  </si>
  <si>
    <t>PiBot Stepper Driver</t>
  </si>
  <si>
    <t>http://www.cncshop.at/index.php?a=10123</t>
  </si>
  <si>
    <t>http://www.cncshop.at/index.php?a=10125</t>
  </si>
  <si>
    <t>http://www.cncshop.at/index.php?a=10132</t>
  </si>
  <si>
    <t>http://www.cncshop.at/index.php?a=10124</t>
  </si>
  <si>
    <t>http://www.cncshop.at/index.php?a=10129</t>
  </si>
  <si>
    <t>Zahnriemen Zwischenwelle WristRot (Solllänge ohne Spanner 229mm)</t>
  </si>
  <si>
    <t>http://www.cncshop.at/index.php?a=10272</t>
  </si>
  <si>
    <t>Zahnriemen T2,5 145mm 6mm Breite</t>
  </si>
  <si>
    <t>Zahnriemen T2,5 120mm 6mm Breite</t>
  </si>
  <si>
    <t>http://www.cncshop.at/index.php?a=10271</t>
  </si>
  <si>
    <t>http://www.cncshop.at/index.php?a=10274</t>
  </si>
  <si>
    <t>Zahnriemen T2,5 177,5mm 6mm Breite</t>
  </si>
  <si>
    <t>Zahnriemenscheibe klein Zwischenwelle (Ersatz1 für mit Spanner)</t>
  </si>
  <si>
    <t>Zahnrad klein zwischenwelle</t>
  </si>
  <si>
    <t>http://www.cncshop.at/index.php?a=10052</t>
  </si>
  <si>
    <t>Zwischenachse Ersatz, gibt dann Riemenlänge von 492+3*0,75*PI = 499</t>
  </si>
  <si>
    <t>HüftMotor Zahnriemenrad</t>
  </si>
  <si>
    <t>http://www.cncshop.at/index.php?a=10327&amp;</t>
  </si>
  <si>
    <t>http://www.cncshop.at/index.php?a=10120&amp;</t>
  </si>
  <si>
    <t>http://www.cncshop.at/index.php?a=10055&amp;</t>
  </si>
  <si>
    <t>GabelBasis Verschraubung</t>
  </si>
  <si>
    <t>Gabel Verschraubung</t>
  </si>
  <si>
    <t>Gehäuse Verschraubung am Handgelenk</t>
  </si>
  <si>
    <t>Gehäuse Verschraubung im Kern</t>
  </si>
  <si>
    <t>http://www.cncshop.at/index.php?a=10277</t>
  </si>
  <si>
    <t>Zahnriemen T2,5 245mm 6mm Breite</t>
  </si>
  <si>
    <t>Zahnriemen Motor/ZwischenWelle (Länge ohne Spanner 175</t>
  </si>
  <si>
    <t>Zahnriemenscheibe T2,5, 22 Zähne (d=17,51)</t>
  </si>
  <si>
    <t>Zahnriemenscheibe T2,5, 24 Zähne (d=19,1)</t>
  </si>
  <si>
    <t>Zahnriemenscheibe T2,5, 20 Zähne (d=15,92)</t>
  </si>
  <si>
    <t>Zahnriemenscheibe T2,5, 16 Zähne (d=12,73)</t>
  </si>
  <si>
    <t>Zahnriemenscheibe T2,5, 12 Zähne (d=9,55)</t>
  </si>
  <si>
    <t>Zahnriemenscheibe T2,5, 30 Zähne (d=23,87)</t>
  </si>
  <si>
    <t>Zahnriemenscheibe T2,5, 40 Zähne (d=31,83)</t>
  </si>
  <si>
    <t>Zahnriemenscheibe T2,5, 60 Zähne (d=47,75)</t>
  </si>
  <si>
    <t>Zahnriemenscheibe T2,5, 44 Zähne (d=35,01)</t>
  </si>
  <si>
    <t>noch zu bestellen!</t>
  </si>
  <si>
    <t>Artikel</t>
  </si>
  <si>
    <t xml:space="preserve">Unterarm2 - Zahnriemen Zwischenwelle WristRot (Solllänge bei mittlerem Spanner 245) </t>
  </si>
  <si>
    <t>http://www.cncshop.at/index.php?a=10119</t>
  </si>
  <si>
    <t xml:space="preserve"> Zahnriemenscheibe T2,5, 15 Zähne (d=11,94)</t>
  </si>
  <si>
    <t>Zahnriemenscheibe T2,5, 18 Zähne (d=14,32)</t>
  </si>
  <si>
    <t>http://www.cncshop.at/index.php?a=10056</t>
  </si>
  <si>
    <t>Zahnriemenscheibe T5, 18 Zähne (d=28,65)</t>
  </si>
  <si>
    <t>Zahnriemen groß (Echtlänge 514mm, bei Zahnriemenscheibe T5/17Z)</t>
  </si>
  <si>
    <t>zahnriemen Motor (332mm Echtlänge mit Spanner, 324 ohne Spanner) bei T5/16Z Ritzel</t>
  </si>
  <si>
    <t>zahnriemen Motor (332mm Echtlänge mit Spanner, 324 ohne Spanner) bei T516Z Ritzel</t>
  </si>
  <si>
    <t>Ersatzzahnrad für Motor  (332mm + 3*75%*PI Länge = 341 Echtlänge)</t>
  </si>
  <si>
    <t>http://www.cncshop.at/index.php?a=10058</t>
  </si>
  <si>
    <t>Zahnriemenscheibe T5, 20 Zähne (d=31,83)</t>
  </si>
  <si>
    <t>http://www.cncshop.at/index.php?a=10059</t>
  </si>
  <si>
    <t>Zahnriemenscheibe T5, 22 Zähne (d=35,01)</t>
  </si>
  <si>
    <t>http://www.cncshop.at/index.php?a=10310</t>
  </si>
  <si>
    <t>Zahnriemen T5 330mm 10mm Breite</t>
  </si>
  <si>
    <t>Zahnriemenscheibe T5, 16 Zähne (d=25,46)</t>
  </si>
  <si>
    <t>Zahnriemenscheibe T5, 14 Zähne (d=22,48)</t>
  </si>
  <si>
    <t>Zahnriemenscheibe T5, 12 Zähne (d=19,10)</t>
  </si>
  <si>
    <t>http://www.cncshop.at/index.php?a=10279</t>
  </si>
  <si>
    <t>Zahnriemen T2,5 285mm 6mm Breite</t>
  </si>
  <si>
    <t>http://www.cncshop.at/index.php?a=10067</t>
  </si>
  <si>
    <t>Zahnriemenscheibe T2,5, 36 Zähne (d=57,30)</t>
  </si>
  <si>
    <t>Zwischenwelle Zahnriemenscheibe Motor/Zwischenwelle</t>
  </si>
  <si>
    <t>Zwischenwelle Zahnriemenscheibe Motor/Ellbogenflansch</t>
  </si>
  <si>
    <t>Zahnriemenscheibe T5, 10 Zähne (d=15,92)</t>
  </si>
  <si>
    <t>Zahnrad für Zwischenwelle (514mm + (28,65-25,46)*0,5*PI=504mm bei Z16 = 509mm)</t>
  </si>
  <si>
    <t>zahnriemen Motor (333mm Echtlänge mit Spanner, 324 ohne Spanner) bei T5/16Z Ritzel</t>
  </si>
  <si>
    <t>Zahnrad Motor</t>
  </si>
  <si>
    <t>Zahnriemenscheibe T5, 48 Zähne (d=76,39)</t>
  </si>
  <si>
    <t>Riemen Zwischachse/Oberarm (488mm bei mittlerem Riemenspanner und T5/14Z, bei T5/16Z 494mm, bei T5/18Z 500mm)</t>
  </si>
  <si>
    <t>Riemen Motor/Zwischenachse (337mm ohne Spanner, Motor kann um 9 mm verschoben werden, d.h. Länge bis 355, bei T5/16Z )</t>
  </si>
  <si>
    <t>http://www.cncshop.at/index.php?a=10306&amp;</t>
  </si>
  <si>
    <t>Zahnriemen T5 295mm 10mm Breite</t>
  </si>
  <si>
    <t>Zahnriemen ZwischenWelle/WristFlansch (Länge 121 bei Z22 Zähne Rad)</t>
  </si>
  <si>
    <t>Kugelkopf M3 2 mm Duraluminium</t>
  </si>
  <si>
    <t>http://www.omc-stepperonline.com/nema-17-bipolar-step-motor-35v-1a-13ncm184ozin-17hs081004s-p-101.html</t>
  </si>
  <si>
    <t>NEMA 17 - 42x42x21 - 0,13Nm - 5mm Achse - 1.2A</t>
  </si>
  <si>
    <t>https://www.kugellager-express.de/flanschkugellager-f692-f-692-2x6x3-mm.html</t>
  </si>
  <si>
    <t>Rillenkugellager 2x6x3 mit Flansch</t>
  </si>
  <si>
    <t>Lager für Greifer</t>
  </si>
  <si>
    <t>Rillenkugellager für Zahnräder</t>
  </si>
  <si>
    <t>https://www.kugellager-express.de/request_port.php?module=ProductDetails&amp;id=1094{1}1440</t>
  </si>
  <si>
    <t>Rillenkugellager 3x6x2,5</t>
  </si>
  <si>
    <t xml:space="preserve">Achsen für Greifer und Zahnräder </t>
  </si>
  <si>
    <t>Servo 12 kg/cm ergibt Greifkraft von 12N bei Greiferlänge von 100mm</t>
  </si>
  <si>
    <t>Rillenkugellager 3x7x3</t>
  </si>
  <si>
    <t>https://www.kugellager-express.de/product_info.php?info=p464{1}1440_miniatur-kugellager---683---683z---683rs---3x7x3-mm.html&amp;no_boost=1</t>
  </si>
  <si>
    <t xml:space="preserve">Herkulex Servo DRS - 0101 </t>
  </si>
  <si>
    <t>Korpusverschraubung</t>
  </si>
  <si>
    <t>https://www.kugellager-express.de/miniatur-kugellager-693-693z-693rs-3x8x4-mm.html</t>
  </si>
  <si>
    <t>Rillenkugellager 3x8x3</t>
  </si>
  <si>
    <t>http://www.exp-tech.de/stepper-motor-nema-17-200-steps-rev-12v-350ma</t>
  </si>
  <si>
    <t>Adafruit Nema 17 20Ncm</t>
  </si>
  <si>
    <t>42x42x31</t>
  </si>
  <si>
    <t>NEMA 17 - 42x42x33 - 0,2Nm - 5mm Achse - 0,35A 12V</t>
  </si>
  <si>
    <t>NEMA 17 - 42x42x34 - 0,26Nm - 5mm Achse - 0.4A 12V</t>
  </si>
  <si>
    <t>http://www.omc-stepperonline.com/nema-17-bipolar-stepper-12v-04a-40ncm567ozin-17hs150404s-p-14.html</t>
  </si>
  <si>
    <t>NEMA 17 - 42x42x39 - 0,40Nm - 5mm Achse - 0,40A 12V</t>
  </si>
  <si>
    <t>Ref Voltage PiBot [V]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</si>
</sst>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0.0"/>
    <numFmt numFmtId="165" formatCode="_-* #,##0.0\ _€_-;\-* #,##0.0\ _€_-;_-* &quot;-&quot;??\ _€_-;_-@_-"/>
    <numFmt numFmtId="166" formatCode="_-* #,##0\ _€_-;\-* #,##0\ _€_-;_-* &quot;-&quot;??\ _€_-;_-@_-"/>
    <numFmt numFmtId="167" formatCode="_-* #,##0.00\ [$€-407]_-;\-* #,##0.00\ [$€-407]_-;_-* &quot;-&quot;??\ [$€-407]_-;_-@_-"/>
    <numFmt numFmtId="168" formatCode="0.000\ \V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color theme="1"/>
      <name val="Arial Unicode MS"/>
      <family val="2"/>
    </font>
    <font>
      <b/>
      <sz val="13.5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90">
    <xf numFmtId="0" fontId="0" fillId="0" borderId="0" xfId="0"/>
    <xf numFmtId="0" fontId="0" fillId="0" borderId="0" xfId="0" applyAlignment="1">
      <alignment horizontal="right"/>
    </xf>
    <xf numFmtId="2" fontId="0" fillId="0" borderId="0" xfId="0" applyNumberFormat="1"/>
    <xf numFmtId="9" fontId="0" fillId="0" borderId="0" xfId="0" applyNumberFormat="1"/>
    <xf numFmtId="164" fontId="0" fillId="0" borderId="0" xfId="0" applyNumberFormat="1"/>
    <xf numFmtId="1" fontId="0" fillId="0" borderId="0" xfId="0" applyNumberFormat="1"/>
    <xf numFmtId="0" fontId="1" fillId="0" borderId="0" xfId="0" applyFont="1"/>
    <xf numFmtId="1" fontId="1" fillId="0" borderId="0" xfId="0" applyNumberFormat="1" applyFont="1"/>
    <xf numFmtId="0" fontId="0" fillId="0" borderId="0" xfId="0" applyFont="1"/>
    <xf numFmtId="0" fontId="2" fillId="0" borderId="0" xfId="1"/>
    <xf numFmtId="0" fontId="0" fillId="0" borderId="0" xfId="0" applyAlignment="1">
      <alignment horizontal="center" vertical="center" wrapText="1"/>
    </xf>
    <xf numFmtId="0" fontId="2" fillId="0" borderId="0" xfId="1" applyAlignment="1">
      <alignment horizontal="center" vertical="center" wrapText="1"/>
    </xf>
    <xf numFmtId="43" fontId="0" fillId="0" borderId="0" xfId="2" applyFont="1" applyAlignment="1">
      <alignment horizontal="center" vertical="center" wrapText="1"/>
    </xf>
    <xf numFmtId="43" fontId="0" fillId="0" borderId="0" xfId="2" applyFont="1"/>
    <xf numFmtId="0" fontId="0" fillId="0" borderId="0" xfId="0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65" fontId="0" fillId="0" borderId="0" xfId="2" applyNumberFormat="1" applyFont="1"/>
    <xf numFmtId="166" fontId="0" fillId="0" borderId="0" xfId="2" applyNumberFormat="1" applyFont="1"/>
    <xf numFmtId="2" fontId="0" fillId="0" borderId="0" xfId="0" applyNumberFormat="1" applyAlignment="1"/>
    <xf numFmtId="2" fontId="0" fillId="0" borderId="0" xfId="0" applyNumberFormat="1" applyAlignment="1">
      <alignment horizontal="right"/>
    </xf>
    <xf numFmtId="0" fontId="0" fillId="0" borderId="0" xfId="0" applyAlignment="1">
      <alignment horizontal="center" vertical="center" wrapText="1"/>
    </xf>
    <xf numFmtId="167" fontId="0" fillId="0" borderId="0" xfId="0" applyNumberFormat="1"/>
    <xf numFmtId="44" fontId="0" fillId="0" borderId="0" xfId="3" applyFont="1"/>
    <xf numFmtId="0" fontId="0" fillId="0" borderId="0" xfId="0" applyAlignment="1">
      <alignment horizontal="center" vertical="center" wrapText="1"/>
    </xf>
    <xf numFmtId="0" fontId="2" fillId="0" borderId="0" xfId="1" applyAlignment="1">
      <alignment horizontal="center" vertical="center"/>
    </xf>
    <xf numFmtId="0" fontId="2" fillId="0" borderId="0" xfId="1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/>
    <xf numFmtId="0" fontId="2" fillId="0" borderId="0" xfId="1" applyAlignme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166" fontId="0" fillId="0" borderId="0" xfId="0" applyNumberFormat="1"/>
    <xf numFmtId="167" fontId="5" fillId="0" borderId="0" xfId="0" applyNumberFormat="1" applyFont="1"/>
    <xf numFmtId="167" fontId="4" fillId="0" borderId="0" xfId="3" applyNumberFormat="1" applyFont="1" applyAlignment="1">
      <alignment horizontal="right"/>
    </xf>
    <xf numFmtId="167" fontId="0" fillId="0" borderId="0" xfId="0" applyNumberFormat="1" applyAlignment="1">
      <alignment horizontal="right"/>
    </xf>
    <xf numFmtId="166" fontId="0" fillId="0" borderId="0" xfId="2" applyNumberFormat="1" applyFont="1" applyAlignment="1">
      <alignment horizontal="right"/>
    </xf>
    <xf numFmtId="166" fontId="0" fillId="0" borderId="0" xfId="0" applyNumberFormat="1" applyAlignment="1">
      <alignment horizontal="right"/>
    </xf>
    <xf numFmtId="167" fontId="6" fillId="0" borderId="0" xfId="0" applyNumberFormat="1" applyFont="1" applyAlignment="1">
      <alignment horizontal="right"/>
    </xf>
    <xf numFmtId="0" fontId="1" fillId="0" borderId="0" xfId="0" applyFont="1" applyAlignment="1"/>
    <xf numFmtId="0" fontId="1" fillId="0" borderId="0" xfId="0" applyFont="1" applyAlignment="1">
      <alignment horizontal="right"/>
    </xf>
    <xf numFmtId="0" fontId="7" fillId="0" borderId="0" xfId="0" applyFont="1" applyAlignment="1">
      <alignment vertical="center"/>
    </xf>
    <xf numFmtId="0" fontId="0" fillId="0" borderId="1" xfId="0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0" fillId="0" borderId="2" xfId="0" applyBorder="1"/>
    <xf numFmtId="0" fontId="8" fillId="0" borderId="0" xfId="0" applyFont="1" applyAlignment="1">
      <alignment vertical="center"/>
    </xf>
    <xf numFmtId="0" fontId="0" fillId="0" borderId="0" xfId="0" applyAlignment="1">
      <alignment horizontal="left" vertical="center" indent="1"/>
    </xf>
    <xf numFmtId="0" fontId="9" fillId="0" borderId="0" xfId="0" applyFont="1" applyAlignment="1">
      <alignment vertical="center"/>
    </xf>
    <xf numFmtId="0" fontId="0" fillId="0" borderId="3" xfId="0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0" xfId="0" applyBorder="1"/>
    <xf numFmtId="0" fontId="1" fillId="0" borderId="0" xfId="0" applyFont="1" applyBorder="1" applyAlignment="1">
      <alignment vertical="center" wrapText="1"/>
    </xf>
    <xf numFmtId="0" fontId="10" fillId="0" borderId="0" xfId="0" applyFont="1"/>
    <xf numFmtId="166" fontId="2" fillId="0" borderId="0" xfId="1" applyNumberFormat="1"/>
    <xf numFmtId="0" fontId="0" fillId="0" borderId="0" xfId="0" applyFill="1"/>
    <xf numFmtId="166" fontId="0" fillId="0" borderId="0" xfId="0" applyNumberFormat="1" applyFill="1"/>
    <xf numFmtId="0" fontId="0" fillId="0" borderId="0" xfId="0" applyFill="1" applyAlignment="1">
      <alignment horizontal="left" vertical="center" wrapText="1"/>
    </xf>
    <xf numFmtId="0" fontId="2" fillId="0" borderId="0" xfId="1" applyFill="1"/>
    <xf numFmtId="167" fontId="0" fillId="0" borderId="0" xfId="0" applyNumberFormat="1" applyFill="1"/>
    <xf numFmtId="166" fontId="0" fillId="0" borderId="0" xfId="2" applyNumberFormat="1" applyFont="1" applyFill="1" applyAlignment="1">
      <alignment horizontal="right"/>
    </xf>
    <xf numFmtId="166" fontId="0" fillId="0" borderId="0" xfId="0" applyNumberFormat="1" applyFill="1" applyAlignment="1">
      <alignment horizontal="right"/>
    </xf>
    <xf numFmtId="167" fontId="4" fillId="0" borderId="0" xfId="3" applyNumberFormat="1" applyFont="1" applyFill="1" applyAlignment="1">
      <alignment horizontal="right"/>
    </xf>
    <xf numFmtId="0" fontId="0" fillId="2" borderId="0" xfId="0" applyFill="1"/>
    <xf numFmtId="166" fontId="0" fillId="2" borderId="0" xfId="0" applyNumberFormat="1" applyFill="1"/>
    <xf numFmtId="0" fontId="0" fillId="2" borderId="0" xfId="0" applyFill="1" applyAlignment="1">
      <alignment horizontal="left" vertical="center" wrapText="1"/>
    </xf>
    <xf numFmtId="0" fontId="1" fillId="2" borderId="0" xfId="0" applyFont="1" applyFill="1"/>
    <xf numFmtId="167" fontId="0" fillId="2" borderId="0" xfId="0" applyNumberFormat="1" applyFill="1"/>
    <xf numFmtId="166" fontId="0" fillId="2" borderId="0" xfId="2" applyNumberFormat="1" applyFont="1" applyFill="1" applyAlignment="1">
      <alignment horizontal="right"/>
    </xf>
    <xf numFmtId="166" fontId="0" fillId="2" borderId="0" xfId="0" applyNumberFormat="1" applyFill="1" applyAlignment="1">
      <alignment horizontal="right"/>
    </xf>
    <xf numFmtId="167" fontId="4" fillId="2" borderId="0" xfId="3" applyNumberFormat="1" applyFont="1" applyFill="1" applyAlignment="1">
      <alignment horizontal="right"/>
    </xf>
    <xf numFmtId="0" fontId="1" fillId="0" borderId="0" xfId="0" applyFont="1" applyFill="1"/>
    <xf numFmtId="0" fontId="6" fillId="0" borderId="0" xfId="0" applyFont="1" applyAlignment="1">
      <alignment vertical="center"/>
    </xf>
    <xf numFmtId="0" fontId="0" fillId="0" borderId="0" xfId="0" applyAlignment="1">
      <alignment horizontal="center" vertical="center" wrapText="1"/>
    </xf>
    <xf numFmtId="0" fontId="0" fillId="3" borderId="0" xfId="0" applyFill="1"/>
    <xf numFmtId="166" fontId="0" fillId="3" borderId="0" xfId="0" applyNumberFormat="1" applyFill="1"/>
    <xf numFmtId="0" fontId="0" fillId="3" borderId="0" xfId="0" applyFill="1" applyAlignment="1">
      <alignment horizontal="left" vertical="center" wrapText="1"/>
    </xf>
    <xf numFmtId="0" fontId="1" fillId="3" borderId="0" xfId="0" applyFont="1" applyFill="1"/>
    <xf numFmtId="167" fontId="0" fillId="3" borderId="0" xfId="0" applyNumberFormat="1" applyFill="1"/>
    <xf numFmtId="166" fontId="0" fillId="3" borderId="0" xfId="2" applyNumberFormat="1" applyFont="1" applyFill="1" applyAlignment="1">
      <alignment horizontal="right"/>
    </xf>
    <xf numFmtId="166" fontId="0" fillId="3" borderId="0" xfId="0" applyNumberFormat="1" applyFill="1" applyAlignment="1">
      <alignment horizontal="right"/>
    </xf>
    <xf numFmtId="167" fontId="4" fillId="3" borderId="0" xfId="3" applyNumberFormat="1" applyFont="1" applyFill="1" applyAlignment="1">
      <alignment horizontal="right"/>
    </xf>
    <xf numFmtId="166" fontId="0" fillId="0" borderId="0" xfId="0" applyNumberFormat="1" applyFont="1"/>
    <xf numFmtId="0" fontId="0" fillId="0" borderId="0" xfId="0" applyFont="1" applyAlignment="1">
      <alignment horizontal="left" vertical="center" wrapText="1"/>
    </xf>
    <xf numFmtId="0" fontId="11" fillId="0" borderId="0" xfId="1" applyFont="1"/>
    <xf numFmtId="167" fontId="0" fillId="0" borderId="0" xfId="0" applyNumberFormat="1" applyFont="1"/>
    <xf numFmtId="166" fontId="0" fillId="0" borderId="0" xfId="0" applyNumberFormat="1" applyFont="1" applyAlignment="1">
      <alignment horizontal="right"/>
    </xf>
    <xf numFmtId="0" fontId="0" fillId="0" borderId="0" xfId="0" applyAlignment="1">
      <alignment horizontal="center" vertical="center" wrapText="1"/>
    </xf>
    <xf numFmtId="168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4">
    <cellStyle name="Hyperlink" xfId="1" builtinId="8"/>
    <cellStyle name="Komma" xfId="2" builtinId="3"/>
    <cellStyle name="Standard" xfId="0" builtinId="0"/>
    <cellStyle name="Währung" xfId="3" builtinId="4"/>
  </cellStyles>
  <dxfs count="23"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gif"/><Relationship Id="rId2" Type="http://schemas.openxmlformats.org/officeDocument/2006/relationships/image" Target="../media/image2.gif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5" Type="http://schemas.openxmlformats.org/officeDocument/2006/relationships/image" Target="../media/image8.jpeg"/><Relationship Id="rId4" Type="http://schemas.openxmlformats.org/officeDocument/2006/relationships/image" Target="../media/image7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.jpeg"/><Relationship Id="rId2" Type="http://schemas.openxmlformats.org/officeDocument/2006/relationships/image" Target="../media/image13.jpeg"/><Relationship Id="rId1" Type="http://schemas.openxmlformats.org/officeDocument/2006/relationships/image" Target="../media/image12.jpeg"/><Relationship Id="rId4" Type="http://schemas.openxmlformats.org/officeDocument/2006/relationships/image" Target="../media/image15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22860</xdr:colOff>
      <xdr:row>0</xdr:row>
      <xdr:rowOff>15240</xdr:rowOff>
    </xdr:from>
    <xdr:to>
      <xdr:col>5</xdr:col>
      <xdr:colOff>51954</xdr:colOff>
      <xdr:row>7</xdr:row>
      <xdr:rowOff>82383</xdr:rowOff>
    </xdr:to>
    <xdr:pic>
      <xdr:nvPicPr>
        <xdr:cNvPr id="2" name="Grafik 1" descr="Fenster schließen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665" b="24151"/>
        <a:stretch/>
      </xdr:blipFill>
      <xdr:spPr bwMode="auto">
        <a:xfrm>
          <a:off x="815340" y="15240"/>
          <a:ext cx="3199014" cy="13473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70135</xdr:rowOff>
    </xdr:from>
    <xdr:to>
      <xdr:col>7</xdr:col>
      <xdr:colOff>121920</xdr:colOff>
      <xdr:row>34</xdr:row>
      <xdr:rowOff>7620</xdr:rowOff>
    </xdr:to>
    <xdr:pic>
      <xdr:nvPicPr>
        <xdr:cNvPr id="3" name="Grafik 2" descr="Synchronriemenscheiben/T2.5:Verwandte bildanzeige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45" t="10590" r="18028" b="37847"/>
        <a:stretch/>
      </xdr:blipFill>
      <xdr:spPr bwMode="auto">
        <a:xfrm>
          <a:off x="0" y="3361975"/>
          <a:ext cx="5669280" cy="28635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139149</xdr:colOff>
      <xdr:row>42</xdr:row>
      <xdr:rowOff>46274</xdr:rowOff>
    </xdr:from>
    <xdr:to>
      <xdr:col>5</xdr:col>
      <xdr:colOff>397565</xdr:colOff>
      <xdr:row>56</xdr:row>
      <xdr:rowOff>13251</xdr:rowOff>
    </xdr:to>
    <xdr:pic>
      <xdr:nvPicPr>
        <xdr:cNvPr id="4" name="Grafik 3" descr="Synchronriemenscheiben/Ausführung T5:Verwandte bildanzeige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r="23877" b="41795"/>
        <a:stretch/>
      </xdr:blipFill>
      <xdr:spPr bwMode="auto">
        <a:xfrm>
          <a:off x="139149" y="7838552"/>
          <a:ext cx="4234068" cy="25644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10885</xdr:colOff>
      <xdr:row>0</xdr:row>
      <xdr:rowOff>21772</xdr:rowOff>
    </xdr:from>
    <xdr:to>
      <xdr:col>8</xdr:col>
      <xdr:colOff>762000</xdr:colOff>
      <xdr:row>26</xdr:row>
      <xdr:rowOff>174172</xdr:rowOff>
    </xdr:to>
    <xdr:pic>
      <xdr:nvPicPr>
        <xdr:cNvPr id="3" name="Grafik 2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6792" t="21843" r="24756" b="16198"/>
        <a:stretch/>
      </xdr:blipFill>
      <xdr:spPr>
        <a:xfrm>
          <a:off x="10885" y="21772"/>
          <a:ext cx="7108372" cy="496388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27</xdr:row>
      <xdr:rowOff>54427</xdr:rowOff>
    </xdr:from>
    <xdr:to>
      <xdr:col>8</xdr:col>
      <xdr:colOff>555171</xdr:colOff>
      <xdr:row>52</xdr:row>
      <xdr:rowOff>21772</xdr:rowOff>
    </xdr:to>
    <xdr:pic>
      <xdr:nvPicPr>
        <xdr:cNvPr id="4" name="Grafik 3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2127" t="18861" r="40630" b="22614"/>
        <a:stretch/>
      </xdr:blipFill>
      <xdr:spPr>
        <a:xfrm>
          <a:off x="0" y="5050970"/>
          <a:ext cx="6912428" cy="4593773"/>
        </a:xfrm>
        <a:prstGeom prst="rect">
          <a:avLst/>
        </a:prstGeom>
      </xdr:spPr>
    </xdr:pic>
    <xdr:clientData/>
  </xdr:twoCellAnchor>
  <xdr:twoCellAnchor editAs="oneCell">
    <xdr:from>
      <xdr:col>0</xdr:col>
      <xdr:colOff>54428</xdr:colOff>
      <xdr:row>51</xdr:row>
      <xdr:rowOff>80827</xdr:rowOff>
    </xdr:from>
    <xdr:to>
      <xdr:col>10</xdr:col>
      <xdr:colOff>304800</xdr:colOff>
      <xdr:row>68</xdr:row>
      <xdr:rowOff>76198</xdr:rowOff>
    </xdr:to>
    <xdr:pic>
      <xdr:nvPicPr>
        <xdr:cNvPr id="5" name="Grafik 4"/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6250" t="26534" r="6779" b="11873"/>
        <a:stretch/>
      </xdr:blipFill>
      <xdr:spPr>
        <a:xfrm>
          <a:off x="54428" y="9518741"/>
          <a:ext cx="8196943" cy="314134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68</xdr:row>
      <xdr:rowOff>119744</xdr:rowOff>
    </xdr:from>
    <xdr:to>
      <xdr:col>9</xdr:col>
      <xdr:colOff>468086</xdr:colOff>
      <xdr:row>96</xdr:row>
      <xdr:rowOff>10888</xdr:rowOff>
    </xdr:to>
    <xdr:pic>
      <xdr:nvPicPr>
        <xdr:cNvPr id="6" name="Grafik 5"/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12127" t="19138" r="35794" b="16235"/>
        <a:stretch/>
      </xdr:blipFill>
      <xdr:spPr>
        <a:xfrm>
          <a:off x="0" y="12703630"/>
          <a:ext cx="7620000" cy="507274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98</xdr:row>
      <xdr:rowOff>0</xdr:rowOff>
    </xdr:from>
    <xdr:to>
      <xdr:col>2</xdr:col>
      <xdr:colOff>320040</xdr:colOff>
      <xdr:row>103</xdr:row>
      <xdr:rowOff>7620</xdr:rowOff>
    </xdr:to>
    <xdr:pic>
      <xdr:nvPicPr>
        <xdr:cNvPr id="7" name="Grafik 6" descr="Kugelkopf M3 2 mm Duraluminium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922240"/>
          <a:ext cx="1905000" cy="937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647700</xdr:colOff>
      <xdr:row>0</xdr:row>
      <xdr:rowOff>38100</xdr:rowOff>
    </xdr:from>
    <xdr:to>
      <xdr:col>11</xdr:col>
      <xdr:colOff>571500</xdr:colOff>
      <xdr:row>28</xdr:row>
      <xdr:rowOff>152400</xdr:rowOff>
    </xdr:to>
    <xdr:pic>
      <xdr:nvPicPr>
        <xdr:cNvPr id="2" name="Grafik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2580" y="38100"/>
          <a:ext cx="3886200" cy="52349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289560</xdr:colOff>
      <xdr:row>34</xdr:row>
      <xdr:rowOff>65352</xdr:rowOff>
    </xdr:to>
    <xdr:pic>
      <xdr:nvPicPr>
        <xdr:cNvPr id="2" name="Grafik 1" descr="http://g01.a.alicdn.com/kf/HTB1jZSHGFXXXXaiXFXXq6xXFXXXP/221585428/HTB1jZSHGFXXXXaiXFXXq6xXFXXXP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836920" cy="62832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</xdr:row>
      <xdr:rowOff>0</xdr:rowOff>
    </xdr:from>
    <xdr:to>
      <xdr:col>2</xdr:col>
      <xdr:colOff>655320</xdr:colOff>
      <xdr:row>30</xdr:row>
      <xdr:rowOff>3586</xdr:rowOff>
    </xdr:to>
    <xdr:pic>
      <xdr:nvPicPr>
        <xdr:cNvPr id="2" name="Grafik 1" descr="http://robottini.altervista.org/wp-content/uploads/2012/12/pinout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7280"/>
          <a:ext cx="2240280" cy="43927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24</xdr:row>
      <xdr:rowOff>45720</xdr:rowOff>
    </xdr:from>
    <xdr:to>
      <xdr:col>7</xdr:col>
      <xdr:colOff>255784</xdr:colOff>
      <xdr:row>39</xdr:row>
      <xdr:rowOff>129540</xdr:rowOff>
    </xdr:to>
    <xdr:pic>
      <xdr:nvPicPr>
        <xdr:cNvPr id="4" name="Grafik 3" descr="mirco-stepping-setti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80560"/>
          <a:ext cx="5803144" cy="2941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91440</xdr:colOff>
      <xdr:row>2</xdr:row>
      <xdr:rowOff>68580</xdr:rowOff>
    </xdr:from>
    <xdr:to>
      <xdr:col>6</xdr:col>
      <xdr:colOff>53340</xdr:colOff>
      <xdr:row>21</xdr:row>
      <xdr:rowOff>39908</xdr:rowOff>
    </xdr:to>
    <xdr:pic>
      <xdr:nvPicPr>
        <xdr:cNvPr id="5" name="Grafik 4" descr="input-and-output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40" y="579120"/>
          <a:ext cx="4716780" cy="34460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51</xdr:row>
      <xdr:rowOff>0</xdr:rowOff>
    </xdr:from>
    <xdr:to>
      <xdr:col>6</xdr:col>
      <xdr:colOff>563880</xdr:colOff>
      <xdr:row>65</xdr:row>
      <xdr:rowOff>127870</xdr:rowOff>
    </xdr:to>
    <xdr:pic>
      <xdr:nvPicPr>
        <xdr:cNvPr id="6" name="Grafik 5" descr="output-limit-current-adjust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32620"/>
          <a:ext cx="5318760" cy="26958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66</xdr:row>
      <xdr:rowOff>182879</xdr:rowOff>
    </xdr:from>
    <xdr:to>
      <xdr:col>6</xdr:col>
      <xdr:colOff>563880</xdr:colOff>
      <xdr:row>81</xdr:row>
      <xdr:rowOff>69762</xdr:rowOff>
    </xdr:to>
    <xdr:pic>
      <xdr:nvPicPr>
        <xdr:cNvPr id="7" name="Grafik 6" descr="lenth-and-width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466319"/>
          <a:ext cx="5318760" cy="27443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omc-stepperonline.com/09-nema-14-bipolar-stepper-motor-5ncm7ozin-14hm080504s-p-85.html" TargetMode="External"/><Relationship Id="rId13" Type="http://schemas.openxmlformats.org/officeDocument/2006/relationships/hyperlink" Target="http://www.omc-stepperonline.com/nema-14-bipolar-stepper-54v-08a-18ncm255ozin-14hs130804s-p-93.html" TargetMode="External"/><Relationship Id="rId18" Type="http://schemas.openxmlformats.org/officeDocument/2006/relationships/hyperlink" Target="http://www.omc-stepperonline.com/nema-24-cnc-stepper-motor-12nm170ozin-24hs222006s-p-26.html" TargetMode="External"/><Relationship Id="rId3" Type="http://schemas.openxmlformats.org/officeDocument/2006/relationships/hyperlink" Target="http://www.omc-stepperonline.com/nema-23-cnc-stepper-motor-283nm400-ozin-40a-23hs334008s-p-70.html" TargetMode="External"/><Relationship Id="rId21" Type="http://schemas.openxmlformats.org/officeDocument/2006/relationships/hyperlink" Target="http://www.omc-stepperonline.com/09-nema-17-bipolar-stepper-12a-11ncm156ozin-17hm081204s-p-99.html" TargetMode="External"/><Relationship Id="rId7" Type="http://schemas.openxmlformats.org/officeDocument/2006/relationships/hyperlink" Target="http://www.omc-stepperonline.com/09-nema-16-bipolar-stepper-06a-16ncm227ozin-16hm100604s-p-97.html" TargetMode="External"/><Relationship Id="rId12" Type="http://schemas.openxmlformats.org/officeDocument/2006/relationships/hyperlink" Target="http://eu.stepperonline.com/nema-14-bipolar-stepper-75v-05a-23ncm326ozin-14hs170504s-p-94.html" TargetMode="External"/><Relationship Id="rId17" Type="http://schemas.openxmlformats.org/officeDocument/2006/relationships/hyperlink" Target="http://eu.stepperonline.com/nema-17-stepper-motor-34mm-12v-04a-26ncm37ozin-17hs130404s-p-166.html" TargetMode="External"/><Relationship Id="rId25" Type="http://schemas.openxmlformats.org/officeDocument/2006/relationships/printerSettings" Target="../printerSettings/printerSettings1.bin"/><Relationship Id="rId2" Type="http://schemas.openxmlformats.org/officeDocument/2006/relationships/hyperlink" Target="http://www.omc-stepperonline.com/3d-printer-nema-17-stepper-motor-2a-45ncm64ozin-17hs162004s-p-16.html" TargetMode="External"/><Relationship Id="rId16" Type="http://schemas.openxmlformats.org/officeDocument/2006/relationships/hyperlink" Target="http://eu.stepperonline.com/nema-17-stepper-motor-34mm-12v-04a-26ncm37ozin-17hs130404s-p-166.html" TargetMode="External"/><Relationship Id="rId20" Type="http://schemas.openxmlformats.org/officeDocument/2006/relationships/hyperlink" Target="http://www.omc-stepperonline.com/nema-24-cnc-stepper-motor-12nm170ozin-24hs222006s-p-26.html" TargetMode="External"/><Relationship Id="rId1" Type="http://schemas.openxmlformats.org/officeDocument/2006/relationships/hyperlink" Target="http://www.omc-stepperonline.com/nema-17-bipolar-stepper-motor-65ncm92ozin-21a-17hs242104s-p-21.html" TargetMode="External"/><Relationship Id="rId6" Type="http://schemas.openxmlformats.org/officeDocument/2006/relationships/hyperlink" Target="http://www.omc-stepperonline.com/nema-23-cnc-stepper-motor-28a-19nm269ozin-23hs302804s-p-25.html" TargetMode="External"/><Relationship Id="rId11" Type="http://schemas.openxmlformats.org/officeDocument/2006/relationships/hyperlink" Target="http://eu.stepperonline.com/nema-23-cnc-stepper-motor-28a-126nm1785ozin-23hs222804s-p-108.html" TargetMode="External"/><Relationship Id="rId24" Type="http://schemas.openxmlformats.org/officeDocument/2006/relationships/hyperlink" Target="http://www.omc-stepperonline.com/nema-17-bipolar-stepper-12v-04a-40ncm567ozin-17hs150404s-p-14.html" TargetMode="External"/><Relationship Id="rId5" Type="http://schemas.openxmlformats.org/officeDocument/2006/relationships/hyperlink" Target="http://eu.stepperonline.com/nema-24-dual-shaft-cnc-stepper-motor-31nm439-ozin-24hs343008d-p-275.html" TargetMode="External"/><Relationship Id="rId15" Type="http://schemas.openxmlformats.org/officeDocument/2006/relationships/hyperlink" Target="http://www.omc-stepperonline.com/9deg-nema-17-unipolar-stepper-motor-12v-031a-16ncm227ozin-17hm130316s-p-262.html" TargetMode="External"/><Relationship Id="rId23" Type="http://schemas.openxmlformats.org/officeDocument/2006/relationships/hyperlink" Target="http://www.omc-stepperonline.com/nema-17-bipolar-stepper-12v-04a-40ncm567ozin-17hs150404s-p-14.html" TargetMode="External"/><Relationship Id="rId10" Type="http://schemas.openxmlformats.org/officeDocument/2006/relationships/hyperlink" Target="http://eu.stepperonline.com/9deg-nema-23-bipolar-121v-038a-09nm1275ozin-23hm200384s-p-24.html" TargetMode="External"/><Relationship Id="rId19" Type="http://schemas.openxmlformats.org/officeDocument/2006/relationships/hyperlink" Target="http://www.omc-stepperonline.com/nema-24-cnc-stepper-motor-12nm170ozin-24hs222006s-p-26.html" TargetMode="External"/><Relationship Id="rId4" Type="http://schemas.openxmlformats.org/officeDocument/2006/relationships/hyperlink" Target="http://eu.stepperonline.com/nema-23-cnc-stepper-motor-28a-126nm1785ozin-23hs222804s-p-108.html" TargetMode="External"/><Relationship Id="rId9" Type="http://schemas.openxmlformats.org/officeDocument/2006/relationships/hyperlink" Target="http://eu.stepperonline.com/nema-24-dual-shaft-cnc-stepper-motor-31nm439-ozin-24hs343008d-p-275.html" TargetMode="External"/><Relationship Id="rId14" Type="http://schemas.openxmlformats.org/officeDocument/2006/relationships/hyperlink" Target="http://www.omc-stepperonline.com/nema-14-bipolar-stepper-12v-04a-14ncm20ozin-14hs100404s-p-90.html" TargetMode="External"/><Relationship Id="rId22" Type="http://schemas.openxmlformats.org/officeDocument/2006/relationships/hyperlink" Target="https://www.adafruit.com/product/324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omc-stepperonline.com/nema-16-bipolar-stepper-12v-04a-18deg-21ncm-16hs130404s-p-62.html" TargetMode="External"/><Relationship Id="rId21" Type="http://schemas.openxmlformats.org/officeDocument/2006/relationships/hyperlink" Target="http://www.omc-stepperonline.com/09-nema-16-bipolar-stepper-06a-16ncm227ozin-16hm100604s-p-97.html" TargetMode="External"/><Relationship Id="rId34" Type="http://schemas.openxmlformats.org/officeDocument/2006/relationships/hyperlink" Target="http://www.omc-stepperonline.com/9deg-nema-17-bipolar-stepper-motor-09a-36ncm51ozin-17hm150904s-p-267.html" TargetMode="External"/><Relationship Id="rId42" Type="http://schemas.openxmlformats.org/officeDocument/2006/relationships/hyperlink" Target="http://www.omc-stepperonline.com/nema-17-bipolar-step-motor-29v-07a-18ncm255ozin-17hs100704s-p-260.html" TargetMode="External"/><Relationship Id="rId47" Type="http://schemas.openxmlformats.org/officeDocument/2006/relationships/hyperlink" Target="http://www.omc-stepperonline.com/nema-17-stepper-motor-34mm-12v-04a-26ncm37ozin-17hs130404s-p-166.html" TargetMode="External"/><Relationship Id="rId50" Type="http://schemas.openxmlformats.org/officeDocument/2006/relationships/hyperlink" Target="http://www.omc-stepperonline.com/nema-17-bipolar-stepper-54v-085a-36ncm51ozin-17hs150854s-p-103.html" TargetMode="External"/><Relationship Id="rId55" Type="http://schemas.openxmlformats.org/officeDocument/2006/relationships/hyperlink" Target="http://www.omc-stepperonline.com/nema-17-unipolar-stepper-12v-04a-32ncm453ozin-17hs190406s-p-67.html" TargetMode="External"/><Relationship Id="rId63" Type="http://schemas.openxmlformats.org/officeDocument/2006/relationships/hyperlink" Target="http://www.omc-stepperonline.com/9deg-nema-23-bipolar-121v-038a-09nm1275ozin-23hm200384s-p-24.html" TargetMode="External"/><Relationship Id="rId68" Type="http://schemas.openxmlformats.org/officeDocument/2006/relationships/hyperlink" Target="http://www.omc-stepperonline.com/nema-23-cnc-stepper-motor-28a-055nm78ozin-23hs162804s-p-107.html" TargetMode="External"/><Relationship Id="rId76" Type="http://schemas.openxmlformats.org/officeDocument/2006/relationships/hyperlink" Target="http://www.omc-stepperonline.com/nema-23-cnc-stepper-motor-28a-126nm1785ozin-23hs222804s-p-108.html" TargetMode="External"/><Relationship Id="rId84" Type="http://schemas.openxmlformats.org/officeDocument/2006/relationships/hyperlink" Target="http://www.omc-stepperonline.com/high-torque-nema-23-cnc-stepper-motor-113mm-3nm425ozin-23hs454204s-p-127.html" TargetMode="External"/><Relationship Id="rId89" Type="http://schemas.openxmlformats.org/officeDocument/2006/relationships/hyperlink" Target="http://www.omc-stepperonline.com/dual-shaft-nema-34-cnc-stepper-motor-22nm312ozin-2a-34hs262006d-p-276.html" TargetMode="External"/><Relationship Id="rId97" Type="http://schemas.openxmlformats.org/officeDocument/2006/relationships/hyperlink" Target="http://www.omc-stepperonline.com/nema-42-cnc-stepper-motor-60a-29nm4107ozin-42hs796004s-p-175.html" TargetMode="External"/><Relationship Id="rId7" Type="http://schemas.openxmlformats.org/officeDocument/2006/relationships/hyperlink" Target="http://www.omc-stepperonline.com/nema-11-bipolar-38v-067a-6ncm-mini-stepper-motor-11hs120674s-p-54.html" TargetMode="External"/><Relationship Id="rId71" Type="http://schemas.openxmlformats.org/officeDocument/2006/relationships/hyperlink" Target="http://www.omc-stepperonline.com/nema-23-bipolar-stepper-motor-20a-09nm1275ozin-23hs202004s-p-271.html" TargetMode="External"/><Relationship Id="rId92" Type="http://schemas.openxmlformats.org/officeDocument/2006/relationships/hyperlink" Target="http://www.omc-stepperonline.com/nema-34-cnc-stepper-motor-5nm708ozin-30a-34hs383008s-p-32.html" TargetMode="External"/><Relationship Id="rId2" Type="http://schemas.openxmlformats.org/officeDocument/2006/relationships/hyperlink" Target="http://www.omc-stepperonline.com/nema-8-unipolar-18deg-18ncm255ozin-stepper-motor-8hs120506s-p-257.html" TargetMode="External"/><Relationship Id="rId16" Type="http://schemas.openxmlformats.org/officeDocument/2006/relationships/hyperlink" Target="http://www.omc-stepperonline.com/nema-14-bipolar-stepper-35v-1a-125ncm177ozin-14hs111004s-p-91.html" TargetMode="External"/><Relationship Id="rId29" Type="http://schemas.openxmlformats.org/officeDocument/2006/relationships/hyperlink" Target="http://www.omc-stepperonline.com/9deg-nema-17-unipolar-stepper-motor-12v-031a-16ncm227ozin-17hm130316s-p-262.html" TargetMode="External"/><Relationship Id="rId11" Type="http://schemas.openxmlformats.org/officeDocument/2006/relationships/hyperlink" Target="http://www.omc-stepperonline.com/9deg-thin-stepper-motor-125mm-05a-7ncm10ozin-14hr050504s-p-88.html" TargetMode="External"/><Relationship Id="rId24" Type="http://schemas.openxmlformats.org/officeDocument/2006/relationships/hyperlink" Target="http://www.omc-stepperonline.com/nema-16-unipolar-stepper-motor-8ncm113ozin-05a-16hs080506s-p-60.html" TargetMode="External"/><Relationship Id="rId32" Type="http://schemas.openxmlformats.org/officeDocument/2006/relationships/hyperlink" Target="http://www.omc-stepperonline.com/9deg-nema-17-unipolar-12v-04a-26ncm-double-shaft-17hm150406d-p-119.html" TargetMode="External"/><Relationship Id="rId37" Type="http://schemas.openxmlformats.org/officeDocument/2006/relationships/hyperlink" Target="http://www.omc-stepperonline.com/9deg-nema-17-bipolar-stepper-44ncm623ozin-17hm191684s-p-12.html" TargetMode="External"/><Relationship Id="rId40" Type="http://schemas.openxmlformats.org/officeDocument/2006/relationships/hyperlink" Target="http://www.omc-stepperonline.com/3phase-nema-17-stepper-motor-375deg-64v-06a-17ht150603s-p-22.html" TargetMode="External"/><Relationship Id="rId45" Type="http://schemas.openxmlformats.org/officeDocument/2006/relationships/hyperlink" Target="http://www.omc-stepperonline.com/nema-17-bipolar-stepper-28v-133a-22ncm31ozin-17hs131334s-p-13.html" TargetMode="External"/><Relationship Id="rId53" Type="http://schemas.openxmlformats.org/officeDocument/2006/relationships/hyperlink" Target="http://www.omc-stepperonline.com/nema-17-bipolar-stepper-motor-028a-36ncm51ozin-17hs160284s-p-80.html" TargetMode="External"/><Relationship Id="rId58" Type="http://schemas.openxmlformats.org/officeDocument/2006/relationships/hyperlink" Target="http://www.omc-stepperonline.com/3d-printer-motor-nema-17-168a-45ncm64ozin-17hs191684s-p-17.html" TargetMode="External"/><Relationship Id="rId66" Type="http://schemas.openxmlformats.org/officeDocument/2006/relationships/hyperlink" Target="http://www.omc-stepperonline.com/nema-23-cnc-stepper-motor-088a-06nm85ozin-23hs160884s-p-105.html" TargetMode="External"/><Relationship Id="rId74" Type="http://schemas.openxmlformats.org/officeDocument/2006/relationships/hyperlink" Target="http://www.omc-stepperonline.com/dual-shaft-nema-23-cnc-stepper-motor-56mm-126nm-23hs223008d-p-162.html" TargetMode="External"/><Relationship Id="rId79" Type="http://schemas.openxmlformats.org/officeDocument/2006/relationships/hyperlink" Target="http://www.omc-stepperonline.com/nema-23-cnc-stepper-motor-28a-19nm269ozin-23hs302804s-p-25.html" TargetMode="External"/><Relationship Id="rId87" Type="http://schemas.openxmlformats.org/officeDocument/2006/relationships/hyperlink" Target="http://www.omc-stepperonline.com/nema-24-dual-shaft-cnc-stepper-motor-31nm439-ozin-24hs343008d-p-275.html" TargetMode="External"/><Relationship Id="rId5" Type="http://schemas.openxmlformats.org/officeDocument/2006/relationships/hyperlink" Target="http://www.omc-stepperonline.com/nema-8-bipolar-18deg-06a-miniature-stepper-motor-8hs130604s-p-82.html" TargetMode="External"/><Relationship Id="rId61" Type="http://schemas.openxmlformats.org/officeDocument/2006/relationships/hyperlink" Target="http://www.omc-stepperonline.com/nema-17-unipolar-stepper-motor-65ncm92ozin12a-17hs241206s-p-20.html" TargetMode="External"/><Relationship Id="rId82" Type="http://schemas.openxmlformats.org/officeDocument/2006/relationships/hyperlink" Target="http://www.omc-stepperonline.com/nema-23-cnc-stepper-motor-24nm340ozin-18a-23hs411804s-p-126.html" TargetMode="External"/><Relationship Id="rId90" Type="http://schemas.openxmlformats.org/officeDocument/2006/relationships/hyperlink" Target="http://www.omc-stepperonline.com/nema-34-stepper-motor-68mm-34nm4815ozin-4a-34hs274004s-p-129.html" TargetMode="External"/><Relationship Id="rId95" Type="http://schemas.openxmlformats.org/officeDocument/2006/relationships/hyperlink" Target="http://www.omc-stepperonline.com/3-phase-12deg-nema-34-stepper-motor-97mm-45nm-34ht382003s-p-130.html" TargetMode="External"/><Relationship Id="rId19" Type="http://schemas.openxmlformats.org/officeDocument/2006/relationships/hyperlink" Target="http://www.omc-stepperonline.com/nema-14-bipolar-stepper-75v-05a-23ncm326ozin-14hs170504s-p-94.html" TargetMode="External"/><Relationship Id="rId14" Type="http://schemas.openxmlformats.org/officeDocument/2006/relationships/hyperlink" Target="http://www.omc-stepperonline.com/nema-14-bipolar-stepper-motor-9deg-04a-11ncm-14hm110404s-p-86.html" TargetMode="External"/><Relationship Id="rId22" Type="http://schemas.openxmlformats.org/officeDocument/2006/relationships/hyperlink" Target="http://www.omc-stepperonline.com/09-nema-16-bipolar-stepper-04a-18ncm255ozin-16hm130404s-p-64.html" TargetMode="External"/><Relationship Id="rId27" Type="http://schemas.openxmlformats.org/officeDocument/2006/relationships/hyperlink" Target="http://www.omc-stepperonline.com/nema-16-bipolar-stepper-motor-065a-18ncm26ozin-16hs130654s-p-63.html" TargetMode="External"/><Relationship Id="rId30" Type="http://schemas.openxmlformats.org/officeDocument/2006/relationships/hyperlink" Target="http://www.omc-stepperonline.com/9deg-nema-17-unipolar-dual-shaft-stepper-12v-031a-16ncm-17hm130316d-p-261.html" TargetMode="External"/><Relationship Id="rId35" Type="http://schemas.openxmlformats.org/officeDocument/2006/relationships/hyperlink" Target="http://www.omc-stepperonline.com/09deg-nema-17-unipolar-stepper-12v-04a-32ncm-17hm190406s-p-120.html" TargetMode="External"/><Relationship Id="rId43" Type="http://schemas.openxmlformats.org/officeDocument/2006/relationships/hyperlink" Target="http://www.omc-stepperonline.com/nema-17-unipolar-stepper-031a-158ncm224ozin-17hs130316s-p-65.html" TargetMode="External"/><Relationship Id="rId48" Type="http://schemas.openxmlformats.org/officeDocument/2006/relationships/hyperlink" Target="http://www.omc-stepperonline.com/double-shaft-nema-17-stepper-34mm-12v-04a-26ncm-17hs130404d-p-149.html" TargetMode="External"/><Relationship Id="rId56" Type="http://schemas.openxmlformats.org/officeDocument/2006/relationships/hyperlink" Target="http://www.omc-stepperonline.com/nema-17-bipolar-stepper-motor-44ncm623ozin-085a-17hs190854s-p-268.html" TargetMode="External"/><Relationship Id="rId64" Type="http://schemas.openxmlformats.org/officeDocument/2006/relationships/hyperlink" Target="http://www.omc-stepperonline.com/9deg-nema-23-stepper-bipolar-28a-126nm1785ozin-23hm222804s-p-292.html" TargetMode="External"/><Relationship Id="rId69" Type="http://schemas.openxmlformats.org/officeDocument/2006/relationships/hyperlink" Target="http://www.omc-stepperonline.com/dual-shaft-nema-23-stepper-motor-28a-055nm78ozin-23hs162804d-p-269.html" TargetMode="External"/><Relationship Id="rId77" Type="http://schemas.openxmlformats.org/officeDocument/2006/relationships/hyperlink" Target="http://www.omc-stepperonline.com/nema-23-unipolar-stepper-motor-1a-135nm191ozin-23hs301006s-p-273.html" TargetMode="External"/><Relationship Id="rId8" Type="http://schemas.openxmlformats.org/officeDocument/2006/relationships/hyperlink" Target="http://www.omc-stepperonline.com/nema-11-dual-shaft-18deg-unipolar-stepper-motor-11hs120956d-p-58.html" TargetMode="External"/><Relationship Id="rId51" Type="http://schemas.openxmlformats.org/officeDocument/2006/relationships/hyperlink" Target="http://www.omc-stepperonline.com/nema-17-bipolar-stepper-28v-168a-36ncm51ozin-17hs151684s-p-15.html" TargetMode="External"/><Relationship Id="rId72" Type="http://schemas.openxmlformats.org/officeDocument/2006/relationships/hyperlink" Target="http://www.omc-stepperonline.com/nema-23-unipolar-stepper-motor-56mm-1a-90ncm-23hs221006s-p-125.html" TargetMode="External"/><Relationship Id="rId80" Type="http://schemas.openxmlformats.org/officeDocument/2006/relationships/hyperlink" Target="http://www.omc-stepperonline.com/nema-23-cnc-stepper-motor-283nm400-ozin-40a-23hs334008s-p-70.html" TargetMode="External"/><Relationship Id="rId85" Type="http://schemas.openxmlformats.org/officeDocument/2006/relationships/hyperlink" Target="http://www.omc-stepperonline.com/3-phase-12deg-nema-23-stepper-motor-79mm-12nm-23ht315206d-p-128.html" TargetMode="External"/><Relationship Id="rId93" Type="http://schemas.openxmlformats.org/officeDocument/2006/relationships/hyperlink" Target="http://www.omc-stepperonline.com/dual-shaft-nema-34-cnc-stepper-motor-85nm1204ozin-34hs465004d-p-277.html" TargetMode="External"/><Relationship Id="rId98" Type="http://schemas.openxmlformats.org/officeDocument/2006/relationships/hyperlink" Target="http://www.omc-stepperonline.com/high-torque-nema-42-cnc-stepper-motor-30nm4248ozin-p-74.html" TargetMode="External"/><Relationship Id="rId3" Type="http://schemas.openxmlformats.org/officeDocument/2006/relationships/hyperlink" Target="http://www.omc-stepperonline.com/nema-8-bipolar-18deg-06a-miniature-stepper-motor-8hs130604s-p-82.html" TargetMode="External"/><Relationship Id="rId12" Type="http://schemas.openxmlformats.org/officeDocument/2006/relationships/hyperlink" Target="http://www.omc-stepperonline.com/9deg-round-stepper-motor-065a-12ncm17ozin-14hr080654s-p-87.html" TargetMode="External"/><Relationship Id="rId17" Type="http://schemas.openxmlformats.org/officeDocument/2006/relationships/hyperlink" Target="http://www.omc-stepperonline.com/nema-14-unipolar-stepper-04a-10ncm1416ozin-14hs130406s-p-92.html" TargetMode="External"/><Relationship Id="rId25" Type="http://schemas.openxmlformats.org/officeDocument/2006/relationships/hyperlink" Target="http://www.omc-stepperonline.com/nema-16-bipolar-stepper-motor-87ncm12ozin-06a-16hs080604s-p-61.html" TargetMode="External"/><Relationship Id="rId33" Type="http://schemas.openxmlformats.org/officeDocument/2006/relationships/hyperlink" Target="http://www.omc-stepperonline.com/9deg-nema-17-unipolar-stepper-motor-6v-08a-26ncm368ozin-17hm150806s-p-266.html" TargetMode="External"/><Relationship Id="rId38" Type="http://schemas.openxmlformats.org/officeDocument/2006/relationships/hyperlink" Target="http://www.omc-stepperonline.com/09deg-nema-17-bipolar-stepper-motor-2a-46ncm-17hm192004s-p-122.html" TargetMode="External"/><Relationship Id="rId46" Type="http://schemas.openxmlformats.org/officeDocument/2006/relationships/hyperlink" Target="http://www.omc-stepperonline.com/double-shaft-nema-17-stepper-133a-22ncm31ozin-17hs131334d-p-165.html" TargetMode="External"/><Relationship Id="rId59" Type="http://schemas.openxmlformats.org/officeDocument/2006/relationships/hyperlink" Target="http://www.omc-stepperonline.com/3d-printer-nema-17-stepper-motor-59ncm84ozin-2a-17hs192004s-p-18.html" TargetMode="External"/><Relationship Id="rId67" Type="http://schemas.openxmlformats.org/officeDocument/2006/relationships/hyperlink" Target="http://www.omc-stepperonline.com/nema-23-unipolar-stepper-motor-1a-039nm55ozin-23hs161006s-p-106.html" TargetMode="External"/><Relationship Id="rId20" Type="http://schemas.openxmlformats.org/officeDocument/2006/relationships/hyperlink" Target="http://www.omc-stepperonline.com/nema-14-high-torque-stepper-15a-40ncm567ozin-14hs201504s-p-59.html" TargetMode="External"/><Relationship Id="rId41" Type="http://schemas.openxmlformats.org/officeDocument/2006/relationships/hyperlink" Target="http://www.omc-stepperonline.com/nema-17-bipolar-step-motor-35v-1a-13ncm184ozin-17hs081004s-p-101.html" TargetMode="External"/><Relationship Id="rId54" Type="http://schemas.openxmlformats.org/officeDocument/2006/relationships/hyperlink" Target="http://www.omc-stepperonline.com/3d-printer-nema-17-stepper-motor-2a-45ncm64ozin-17hs162004s-p-16.html" TargetMode="External"/><Relationship Id="rId62" Type="http://schemas.openxmlformats.org/officeDocument/2006/relationships/hyperlink" Target="http://www.omc-stepperonline.com/nema-17-bipolar-stepper-motor-65ncm92ozin-21a-17hs242104s-p-21.html" TargetMode="External"/><Relationship Id="rId70" Type="http://schemas.openxmlformats.org/officeDocument/2006/relationships/hyperlink" Target="http://www.omc-stepperonline.com/nema-23-cnc-stepper-motor-44mm-06nm85ozin-23hs171008s-p-270.html" TargetMode="External"/><Relationship Id="rId75" Type="http://schemas.openxmlformats.org/officeDocument/2006/relationships/hyperlink" Target="http://www.omc-stepperonline.com/nema-23-stepper-motor-54v-15a-116nm1643ozin-23hs221504s-p-68.html" TargetMode="External"/><Relationship Id="rId83" Type="http://schemas.openxmlformats.org/officeDocument/2006/relationships/hyperlink" Target="http://www.omc-stepperonline.com/dual-shaft-nema-23-cnc-stepper-motor-114mm-25nm-23hs453008d-p-163.html" TargetMode="External"/><Relationship Id="rId88" Type="http://schemas.openxmlformats.org/officeDocument/2006/relationships/hyperlink" Target="http://www.omc-stepperonline.com/nema-24-cnc-stepper-motor-40a-23nm326ozin-24hs344004d-p-29.html" TargetMode="External"/><Relationship Id="rId91" Type="http://schemas.openxmlformats.org/officeDocument/2006/relationships/hyperlink" Target="http://www.omc-stepperonline.com/nema-34-cnc-stepper-motor-45nm637ozin-55a-34hs315504s-p-72.html" TargetMode="External"/><Relationship Id="rId96" Type="http://schemas.openxmlformats.org/officeDocument/2006/relationships/hyperlink" Target="http://www.omc-stepperonline.com/nema-42-cnc-stepper-motor-60a-22nm3115ozin-42hs596004s-p-174.html" TargetMode="External"/><Relationship Id="rId1" Type="http://schemas.openxmlformats.org/officeDocument/2006/relationships/hyperlink" Target="http://www.omc-stepperonline.com/nema-820x28mm-18deg-02a-smallest-stepper-motor-8hs110204s-p-81.html" TargetMode="External"/><Relationship Id="rId6" Type="http://schemas.openxmlformats.org/officeDocument/2006/relationships/hyperlink" Target="http://www.omc-stepperonline.com/nema-8-bipolar-12v-3ncm425ozin-stepper-motor-8hs150304s-p-52.html" TargetMode="External"/><Relationship Id="rId15" Type="http://schemas.openxmlformats.org/officeDocument/2006/relationships/hyperlink" Target="http://www.omc-stepperonline.com/nema-14-bipolar-stepper-12v-04a-14ncm20ozin-14hs100404s-p-90.html" TargetMode="External"/><Relationship Id="rId23" Type="http://schemas.openxmlformats.org/officeDocument/2006/relationships/hyperlink" Target="http://www.omc-stepperonline.com/nema-16-bipolar-stepper-motor-9deg-12v-03a-25ncm-16hm170304s-p-51.html" TargetMode="External"/><Relationship Id="rId28" Type="http://schemas.openxmlformats.org/officeDocument/2006/relationships/hyperlink" Target="http://www.omc-stepperonline.com/09-nema-17-bipolar-stepper-12a-11ncm156ozin-17hm081204s-p-99.html" TargetMode="External"/><Relationship Id="rId36" Type="http://schemas.openxmlformats.org/officeDocument/2006/relationships/hyperlink" Target="http://www.omc-stepperonline.com/9deg-nema-17-unipolar-12v-04a-32ncm-double-shaft-17hm190406d-p-121.html" TargetMode="External"/><Relationship Id="rId49" Type="http://schemas.openxmlformats.org/officeDocument/2006/relationships/hyperlink" Target="http://www.omc-stepperonline.com/nema-17-unipolar-stepper-12v-04a-26ncm37ozin-17hs150406s-p-66.html" TargetMode="External"/><Relationship Id="rId57" Type="http://schemas.openxmlformats.org/officeDocument/2006/relationships/hyperlink" Target="http://www.omc-stepperonline.com/dual-shaft-nema-17-stepper-168a-45ncm64ozin-17hs191684d-p-123.html" TargetMode="External"/><Relationship Id="rId10" Type="http://schemas.openxmlformats.org/officeDocument/2006/relationships/hyperlink" Target="http://www.omc-stepperonline.com/nema-11-bipolar-stepper-motor-067a-12ncm17ozin-11hs200674s-p-56.html" TargetMode="External"/><Relationship Id="rId31" Type="http://schemas.openxmlformats.org/officeDocument/2006/relationships/hyperlink" Target="http://www.omc-stepperonline.com/9deg-nema-17-unipolar-step-motor-12v-04a-26ncm-17hm150406s-p-100.html" TargetMode="External"/><Relationship Id="rId44" Type="http://schemas.openxmlformats.org/officeDocument/2006/relationships/hyperlink" Target="http://www.omc-stepperonline.com/nema-17-unipolar-step-motor-095a-16ncm227ozin-17hs130956s-p-102.html" TargetMode="External"/><Relationship Id="rId52" Type="http://schemas.openxmlformats.org/officeDocument/2006/relationships/hyperlink" Target="http://www.omc-stepperonline.com/nema-17-bipolar-stepper-12v-04a-40ncm567ozin-17hs150404s-p-14.html" TargetMode="External"/><Relationship Id="rId60" Type="http://schemas.openxmlformats.org/officeDocument/2006/relationships/hyperlink" Target="http://www.omc-stepperonline.com/nema-17-60ncm85ozin-064a-bipolar-stepper-motor-17hs240644s-p-19.html" TargetMode="External"/><Relationship Id="rId65" Type="http://schemas.openxmlformats.org/officeDocument/2006/relationships/hyperlink" Target="http://www.omc-stepperonline.com/round-size-nema-23-stepper-motor-52mm-28a-70ncm-23hr202804s-p-124.html" TargetMode="External"/><Relationship Id="rId73" Type="http://schemas.openxmlformats.org/officeDocument/2006/relationships/hyperlink" Target="http://www.omc-stepperonline.com/nema-23-dual-shaft-unipolar-stepper-10a-90ncm1275ozin-23hs221006d-p-272.html" TargetMode="External"/><Relationship Id="rId78" Type="http://schemas.openxmlformats.org/officeDocument/2006/relationships/hyperlink" Target="http://www.omc-stepperonline.com/dual-shaft-nema-23-cnc-stepper-motor-76mm-19nm-23hs303006d-p-164.html" TargetMode="External"/><Relationship Id="rId81" Type="http://schemas.openxmlformats.org/officeDocument/2006/relationships/hyperlink" Target="http://www.omc-stepperonline.com/nema-23-dual-shaft-stepper-motor-283nm400-ozin-40a-23hs334008d-p-274.html" TargetMode="External"/><Relationship Id="rId86" Type="http://schemas.openxmlformats.org/officeDocument/2006/relationships/hyperlink" Target="http://www.omc-stepperonline.com/nema-24-cnc-stepper-motor-12nm170ozin-24hs222006s-p-26.html" TargetMode="External"/><Relationship Id="rId94" Type="http://schemas.openxmlformats.org/officeDocument/2006/relationships/hyperlink" Target="http://www.omc-stepperonline.com/high-torquespeed-nema-34-cnc-stepper-motor-13ncm1841ozin-34hs595004s-p-57.html" TargetMode="External"/><Relationship Id="rId4" Type="http://schemas.openxmlformats.org/officeDocument/2006/relationships/hyperlink" Target="http://www.omc-stepperonline.com/nema-8-bipolar-12v-3ncm425ozin-stepper-motor-8hs150304s-p-52.html" TargetMode="External"/><Relationship Id="rId9" Type="http://schemas.openxmlformats.org/officeDocument/2006/relationships/hyperlink" Target="http://www.omc-stepperonline.com/nema-11-bipolar-stepper-motor-067a-95ncm14ozin-11hs180674s-p-83.html" TargetMode="External"/><Relationship Id="rId13" Type="http://schemas.openxmlformats.org/officeDocument/2006/relationships/hyperlink" Target="http://www.omc-stepperonline.com/09-nema-14-bipolar-stepper-motor-5ncm7ozin-14hm080504s-p-85.html" TargetMode="External"/><Relationship Id="rId18" Type="http://schemas.openxmlformats.org/officeDocument/2006/relationships/hyperlink" Target="http://www.omc-stepperonline.com/nema-14-bipolar-stepper-54v-08a-18ncm255ozin-14hs130804s-p-93.html" TargetMode="External"/><Relationship Id="rId39" Type="http://schemas.openxmlformats.org/officeDocument/2006/relationships/hyperlink" Target="http://www.omc-stepperonline.com/3phase-nema-17-stepper-motor-375deg-21v-10a-17ht151003s-p-23.html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hyperlink" Target="http://www.mouser.de/ProductDetail/ams/AS5048B-TS_EK_AB/?qs=sGAEpiMZZMvc81WFyF5EdoQL2wnmmwE79zX4h9RmJyQ%3d" TargetMode="External"/><Relationship Id="rId1" Type="http://schemas.openxmlformats.org/officeDocument/2006/relationships/hyperlink" Target="http://www.mouser.com/ds/2/588/AS5048-EK-AB_Operation-Manual_Rev.1.3-820438.pdf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://de.nanotec.com/produkte/541-st6018-schrittmotor-nema-24/" TargetMode="External"/><Relationship Id="rId7" Type="http://schemas.openxmlformats.org/officeDocument/2006/relationships/printerSettings" Target="../printerSettings/printerSettings4.bin"/><Relationship Id="rId2" Type="http://schemas.openxmlformats.org/officeDocument/2006/relationships/hyperlink" Target="http://www.mouser.de/ProductDetail/ams/AS5048B-TS_EK_AB/?qs=sGAEpiMZZMvc81WFyF5EdoQL2wnmmwE79zX4h9RmJyQ%3d" TargetMode="External"/><Relationship Id="rId1" Type="http://schemas.openxmlformats.org/officeDocument/2006/relationships/hyperlink" Target="http://www.kugellager-express.de/edelstahl-miniatur-kugellager-ss-mr106-6x10x3-mm.html" TargetMode="External"/><Relationship Id="rId6" Type="http://schemas.openxmlformats.org/officeDocument/2006/relationships/hyperlink" Target="http://www.omc-stepperonline.com/nema-17-bipolar-step-motor-35v-1a-13ncm184ozin-17hs081004s-p-101.html" TargetMode="External"/><Relationship Id="rId5" Type="http://schemas.openxmlformats.org/officeDocument/2006/relationships/hyperlink" Target="http://www.cncshop.at/index.php?a=10279" TargetMode="External"/><Relationship Id="rId4" Type="http://schemas.openxmlformats.org/officeDocument/2006/relationships/hyperlink" Target="http://www.cncshop.at/index.php?a=10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D111"/>
  <sheetViews>
    <sheetView tabSelected="1" topLeftCell="A5" zoomScale="80" zoomScaleNormal="80" workbookViewId="0">
      <selection activeCell="C23" sqref="C23"/>
    </sheetView>
  </sheetViews>
  <sheetFormatPr baseColWidth="10" defaultColWidth="8.88671875" defaultRowHeight="14.4" x14ac:dyDescent="0.3"/>
  <cols>
    <col min="1" max="1" width="11" customWidth="1"/>
    <col min="2" max="2" width="38.77734375" customWidth="1"/>
    <col min="3" max="3" width="13.33203125" bestFit="1" customWidth="1"/>
    <col min="5" max="5" width="63.33203125" customWidth="1"/>
    <col min="11" max="11" width="7.44140625" bestFit="1" customWidth="1"/>
    <col min="13" max="13" width="9.77734375" bestFit="1" customWidth="1"/>
    <col min="14" max="14" width="10.21875" bestFit="1" customWidth="1"/>
    <col min="15" max="15" width="9.5546875" bestFit="1" customWidth="1"/>
  </cols>
  <sheetData>
    <row r="3" spans="1:4" x14ac:dyDescent="0.3">
      <c r="A3" t="s">
        <v>3</v>
      </c>
      <c r="C3">
        <v>400</v>
      </c>
      <c r="D3" t="s">
        <v>31</v>
      </c>
    </row>
    <row r="4" spans="1:4" x14ac:dyDescent="0.3">
      <c r="A4" t="s">
        <v>4</v>
      </c>
      <c r="C4">
        <v>270</v>
      </c>
      <c r="D4" t="s">
        <v>31</v>
      </c>
    </row>
    <row r="5" spans="1:4" x14ac:dyDescent="0.3">
      <c r="A5" t="s">
        <v>8</v>
      </c>
      <c r="C5">
        <v>100</v>
      </c>
      <c r="D5" t="s">
        <v>31</v>
      </c>
    </row>
    <row r="6" spans="1:4" x14ac:dyDescent="0.3">
      <c r="A6" t="s">
        <v>5</v>
      </c>
      <c r="C6">
        <v>0.8</v>
      </c>
      <c r="D6" t="s">
        <v>6</v>
      </c>
    </row>
    <row r="7" spans="1:4" x14ac:dyDescent="0.3">
      <c r="A7" t="s">
        <v>10</v>
      </c>
      <c r="C7">
        <f>N72+0.2</f>
        <v>0.97</v>
      </c>
      <c r="D7" t="s">
        <v>6</v>
      </c>
    </row>
    <row r="8" spans="1:4" x14ac:dyDescent="0.3">
      <c r="A8" t="s">
        <v>11</v>
      </c>
      <c r="C8">
        <f>N73+N74 +0.4</f>
        <v>0.9</v>
      </c>
      <c r="D8" t="s">
        <v>6</v>
      </c>
    </row>
    <row r="9" spans="1:4" x14ac:dyDescent="0.3">
      <c r="A9" t="s">
        <v>12</v>
      </c>
      <c r="C9">
        <f>N74+0.1</f>
        <v>0.38</v>
      </c>
      <c r="D9" t="s">
        <v>6</v>
      </c>
    </row>
    <row r="10" spans="1:4" x14ac:dyDescent="0.3">
      <c r="A10" t="s">
        <v>20</v>
      </c>
      <c r="C10" s="5">
        <f>C14/C12</f>
        <v>7.5</v>
      </c>
      <c r="D10" t="s">
        <v>16</v>
      </c>
    </row>
    <row r="11" spans="1:4" x14ac:dyDescent="0.3">
      <c r="B11" t="s">
        <v>30</v>
      </c>
      <c r="C11" s="8">
        <v>5</v>
      </c>
      <c r="D11" t="s">
        <v>31</v>
      </c>
    </row>
    <row r="12" spans="1:4" x14ac:dyDescent="0.3">
      <c r="B12" t="s">
        <v>32</v>
      </c>
      <c r="C12" s="6">
        <v>12</v>
      </c>
      <c r="D12" t="s">
        <v>29</v>
      </c>
    </row>
    <row r="13" spans="1:4" x14ac:dyDescent="0.3">
      <c r="B13" t="s">
        <v>37</v>
      </c>
      <c r="C13" s="4">
        <f>C12*C11/PI()</f>
        <v>19.098593171027442</v>
      </c>
      <c r="D13" t="s">
        <v>31</v>
      </c>
    </row>
    <row r="14" spans="1:4" x14ac:dyDescent="0.3">
      <c r="B14" t="s">
        <v>33</v>
      </c>
      <c r="C14" s="7">
        <v>90</v>
      </c>
      <c r="D14" t="s">
        <v>29</v>
      </c>
    </row>
    <row r="15" spans="1:4" x14ac:dyDescent="0.3">
      <c r="B15" t="s">
        <v>38</v>
      </c>
      <c r="C15" s="4">
        <f>C14*C11/PI()</f>
        <v>143.23944878270581</v>
      </c>
      <c r="D15" t="s">
        <v>31</v>
      </c>
    </row>
    <row r="16" spans="1:4" x14ac:dyDescent="0.3">
      <c r="A16" t="s">
        <v>14</v>
      </c>
      <c r="C16" s="5">
        <f>C20/C18*(C24/C22)</f>
        <v>15.238095238095237</v>
      </c>
      <c r="D16" t="s">
        <v>16</v>
      </c>
    </row>
    <row r="17" spans="1:4" x14ac:dyDescent="0.3">
      <c r="B17" t="s">
        <v>30</v>
      </c>
      <c r="C17">
        <v>5</v>
      </c>
      <c r="D17" t="s">
        <v>31</v>
      </c>
    </row>
    <row r="18" spans="1:4" x14ac:dyDescent="0.3">
      <c r="B18" t="s">
        <v>32</v>
      </c>
      <c r="C18" s="6">
        <v>18</v>
      </c>
      <c r="D18" t="s">
        <v>29</v>
      </c>
    </row>
    <row r="19" spans="1:4" x14ac:dyDescent="0.3">
      <c r="B19" t="s">
        <v>37</v>
      </c>
      <c r="C19" s="4">
        <f>C18*C17/PI()</f>
        <v>28.647889756541161</v>
      </c>
      <c r="D19" t="s">
        <v>31</v>
      </c>
    </row>
    <row r="20" spans="1:4" x14ac:dyDescent="0.3">
      <c r="B20" t="s">
        <v>33</v>
      </c>
      <c r="C20" s="7">
        <v>48</v>
      </c>
      <c r="D20" t="s">
        <v>29</v>
      </c>
    </row>
    <row r="21" spans="1:4" x14ac:dyDescent="0.3">
      <c r="B21" t="s">
        <v>38</v>
      </c>
      <c r="C21" s="4">
        <f>C20*C17/PI()</f>
        <v>76.394372684109769</v>
      </c>
      <c r="D21" t="s">
        <v>31</v>
      </c>
    </row>
    <row r="22" spans="1:4" x14ac:dyDescent="0.3">
      <c r="B22" t="s">
        <v>35</v>
      </c>
      <c r="C22" s="6">
        <v>14</v>
      </c>
      <c r="D22" t="s">
        <v>29</v>
      </c>
    </row>
    <row r="23" spans="1:4" x14ac:dyDescent="0.3">
      <c r="B23" t="s">
        <v>39</v>
      </c>
      <c r="C23" s="4">
        <f>C22*C17/PI()</f>
        <v>22.281692032865347</v>
      </c>
      <c r="D23" t="s">
        <v>31</v>
      </c>
    </row>
    <row r="24" spans="1:4" x14ac:dyDescent="0.3">
      <c r="B24" t="s">
        <v>36</v>
      </c>
      <c r="C24" s="7">
        <v>80</v>
      </c>
      <c r="D24" t="s">
        <v>29</v>
      </c>
    </row>
    <row r="25" spans="1:4" x14ac:dyDescent="0.3">
      <c r="B25" t="s">
        <v>40</v>
      </c>
      <c r="C25" s="4">
        <f>C24*C17/PI()</f>
        <v>127.32395447351627</v>
      </c>
      <c r="D25" t="s">
        <v>31</v>
      </c>
    </row>
    <row r="26" spans="1:4" x14ac:dyDescent="0.3">
      <c r="A26" t="s">
        <v>15</v>
      </c>
      <c r="C26" s="5">
        <f>C30/C28*(C34/C32)</f>
        <v>10</v>
      </c>
      <c r="D26" t="s">
        <v>16</v>
      </c>
    </row>
    <row r="27" spans="1:4" x14ac:dyDescent="0.3">
      <c r="B27" t="s">
        <v>30</v>
      </c>
      <c r="C27">
        <v>5</v>
      </c>
      <c r="D27" t="s">
        <v>31</v>
      </c>
    </row>
    <row r="28" spans="1:4" x14ac:dyDescent="0.3">
      <c r="B28" t="s">
        <v>32</v>
      </c>
      <c r="C28" s="6">
        <v>16</v>
      </c>
      <c r="D28" t="s">
        <v>29</v>
      </c>
    </row>
    <row r="29" spans="1:4" x14ac:dyDescent="0.3">
      <c r="B29" t="s">
        <v>37</v>
      </c>
      <c r="C29" s="4">
        <f>C28*C27/PI()</f>
        <v>25.464790894703256</v>
      </c>
      <c r="D29" t="s">
        <v>31</v>
      </c>
    </row>
    <row r="30" spans="1:4" x14ac:dyDescent="0.3">
      <c r="B30" t="s">
        <v>33</v>
      </c>
      <c r="C30" s="7">
        <v>48</v>
      </c>
      <c r="D30" t="s">
        <v>29</v>
      </c>
    </row>
    <row r="31" spans="1:4" x14ac:dyDescent="0.3">
      <c r="B31" t="s">
        <v>34</v>
      </c>
      <c r="C31" s="4">
        <f>C30*C27/PI()</f>
        <v>76.394372684109769</v>
      </c>
      <c r="D31" t="s">
        <v>31</v>
      </c>
    </row>
    <row r="32" spans="1:4" x14ac:dyDescent="0.3">
      <c r="B32" t="s">
        <v>35</v>
      </c>
      <c r="C32" s="6">
        <v>18</v>
      </c>
      <c r="D32" t="s">
        <v>29</v>
      </c>
    </row>
    <row r="33" spans="1:4" x14ac:dyDescent="0.3">
      <c r="B33" t="s">
        <v>39</v>
      </c>
      <c r="C33" s="4">
        <f>C32*C27/PI()</f>
        <v>28.647889756541161</v>
      </c>
      <c r="D33" t="s">
        <v>31</v>
      </c>
    </row>
    <row r="34" spans="1:4" x14ac:dyDescent="0.3">
      <c r="B34" t="s">
        <v>36</v>
      </c>
      <c r="C34" s="7">
        <v>60</v>
      </c>
      <c r="D34" t="s">
        <v>29</v>
      </c>
    </row>
    <row r="35" spans="1:4" x14ac:dyDescent="0.3">
      <c r="B35" t="s">
        <v>40</v>
      </c>
      <c r="C35" s="4">
        <f>C34*C27/PI()</f>
        <v>95.4929658551372</v>
      </c>
      <c r="D35" t="s">
        <v>31</v>
      </c>
    </row>
    <row r="36" spans="1:4" x14ac:dyDescent="0.3">
      <c r="A36" t="s">
        <v>245</v>
      </c>
      <c r="C36" s="4">
        <f>C40/C38*(C44/C42)</f>
        <v>6.4166666666666661</v>
      </c>
      <c r="D36" t="s">
        <v>16</v>
      </c>
    </row>
    <row r="37" spans="1:4" x14ac:dyDescent="0.3">
      <c r="B37" t="s">
        <v>30</v>
      </c>
      <c r="C37">
        <v>2.5</v>
      </c>
      <c r="D37" t="s">
        <v>31</v>
      </c>
    </row>
    <row r="38" spans="1:4" x14ac:dyDescent="0.3">
      <c r="B38" t="s">
        <v>32</v>
      </c>
      <c r="C38" s="6">
        <v>12</v>
      </c>
      <c r="D38" t="s">
        <v>29</v>
      </c>
    </row>
    <row r="39" spans="1:4" x14ac:dyDescent="0.3">
      <c r="B39" t="s">
        <v>37</v>
      </c>
      <c r="C39" s="4">
        <f>C38*C37/PI()</f>
        <v>9.5492965855137211</v>
      </c>
      <c r="D39" t="s">
        <v>31</v>
      </c>
    </row>
    <row r="40" spans="1:4" x14ac:dyDescent="0.3">
      <c r="B40" t="s">
        <v>33</v>
      </c>
      <c r="C40" s="7">
        <v>22</v>
      </c>
      <c r="D40" t="s">
        <v>29</v>
      </c>
    </row>
    <row r="41" spans="1:4" x14ac:dyDescent="0.3">
      <c r="B41" t="s">
        <v>38</v>
      </c>
      <c r="C41" s="4">
        <f>C40*C37/PI()</f>
        <v>17.507043740108486</v>
      </c>
      <c r="D41" t="s">
        <v>31</v>
      </c>
    </row>
    <row r="42" spans="1:4" x14ac:dyDescent="0.3">
      <c r="B42" t="s">
        <v>35</v>
      </c>
      <c r="C42" s="6">
        <v>16</v>
      </c>
      <c r="D42" t="s">
        <v>29</v>
      </c>
    </row>
    <row r="43" spans="1:4" x14ac:dyDescent="0.3">
      <c r="B43" t="s">
        <v>39</v>
      </c>
      <c r="C43" s="4">
        <f>C42*C37/PI()</f>
        <v>12.732395447351628</v>
      </c>
      <c r="D43" t="s">
        <v>31</v>
      </c>
    </row>
    <row r="44" spans="1:4" x14ac:dyDescent="0.3">
      <c r="B44" t="s">
        <v>36</v>
      </c>
      <c r="C44" s="7">
        <v>56</v>
      </c>
      <c r="D44" t="s">
        <v>29</v>
      </c>
    </row>
    <row r="45" spans="1:4" x14ac:dyDescent="0.3">
      <c r="B45" t="s">
        <v>40</v>
      </c>
      <c r="C45" s="4">
        <f>C44*C37/PI()</f>
        <v>44.563384065730695</v>
      </c>
      <c r="D45" t="s">
        <v>31</v>
      </c>
    </row>
    <row r="46" spans="1:4" x14ac:dyDescent="0.3">
      <c r="A46" t="s">
        <v>304</v>
      </c>
      <c r="C46" s="4">
        <f>C50/C48</f>
        <v>4.666666666666667</v>
      </c>
      <c r="D46" t="s">
        <v>16</v>
      </c>
    </row>
    <row r="47" spans="1:4" x14ac:dyDescent="0.3">
      <c r="B47" t="s">
        <v>30</v>
      </c>
      <c r="C47">
        <v>2.5</v>
      </c>
      <c r="D47" t="s">
        <v>31</v>
      </c>
    </row>
    <row r="48" spans="1:4" x14ac:dyDescent="0.3">
      <c r="B48" t="s">
        <v>35</v>
      </c>
      <c r="C48" s="6">
        <v>12</v>
      </c>
      <c r="D48" t="s">
        <v>29</v>
      </c>
    </row>
    <row r="49" spans="1:4" x14ac:dyDescent="0.3">
      <c r="B49" t="s">
        <v>39</v>
      </c>
      <c r="C49" s="4">
        <f>C48*C47/PI()</f>
        <v>9.5492965855137211</v>
      </c>
      <c r="D49" t="s">
        <v>31</v>
      </c>
    </row>
    <row r="50" spans="1:4" x14ac:dyDescent="0.3">
      <c r="B50" t="s">
        <v>36</v>
      </c>
      <c r="C50" s="7">
        <v>56</v>
      </c>
      <c r="D50" t="s">
        <v>29</v>
      </c>
    </row>
    <row r="51" spans="1:4" x14ac:dyDescent="0.3">
      <c r="B51" t="s">
        <v>40</v>
      </c>
      <c r="C51" s="4">
        <f>C50*C47/PI()</f>
        <v>44.563384065730695</v>
      </c>
      <c r="D51" t="s">
        <v>31</v>
      </c>
    </row>
    <row r="53" spans="1:4" x14ac:dyDescent="0.3">
      <c r="A53" t="s">
        <v>18</v>
      </c>
      <c r="C53" s="3">
        <v>0.3</v>
      </c>
    </row>
    <row r="54" spans="1:4" x14ac:dyDescent="0.3">
      <c r="A54" t="s">
        <v>25</v>
      </c>
      <c r="C54">
        <v>9.81</v>
      </c>
      <c r="D54" t="s">
        <v>24</v>
      </c>
    </row>
    <row r="55" spans="1:4" x14ac:dyDescent="0.3">
      <c r="A55" t="s">
        <v>23</v>
      </c>
      <c r="C55">
        <f>C54/2</f>
        <v>4.9050000000000002</v>
      </c>
      <c r="D55" t="s">
        <v>24</v>
      </c>
    </row>
    <row r="57" spans="1:4" x14ac:dyDescent="0.3">
      <c r="A57" t="s">
        <v>7</v>
      </c>
      <c r="C57" s="2">
        <f>(C3+C4+C5)/2</f>
        <v>385</v>
      </c>
      <c r="D57" t="s">
        <v>31</v>
      </c>
    </row>
    <row r="58" spans="1:4" x14ac:dyDescent="0.3">
      <c r="A58" t="s">
        <v>9</v>
      </c>
      <c r="C58" s="4">
        <f>((C3+C4+C5)*(C7+C8+C9)*(C55))/1000</f>
        <v>8.4979125</v>
      </c>
      <c r="D58" t="s">
        <v>13</v>
      </c>
    </row>
    <row r="59" spans="1:4" x14ac:dyDescent="0.3">
      <c r="A59" t="s">
        <v>27</v>
      </c>
      <c r="C59" s="4">
        <f>((C3+C4+C5)*(C7+C8+C9)*(C54+C55))/1000</f>
        <v>25.493737499999998</v>
      </c>
      <c r="D59" t="s">
        <v>13</v>
      </c>
    </row>
    <row r="60" spans="1:4" x14ac:dyDescent="0.3">
      <c r="A60" t="s">
        <v>28</v>
      </c>
      <c r="C60" s="2">
        <f>((C4+C5)*(C8+C9+C6)*(C54+C55))/1000</f>
        <v>11.324664</v>
      </c>
      <c r="D60" t="s">
        <v>13</v>
      </c>
    </row>
    <row r="61" spans="1:4" x14ac:dyDescent="0.3">
      <c r="A61" t="s">
        <v>244</v>
      </c>
      <c r="C61" s="2">
        <f>((C5)*(C9+C6)*(C55))/1000</f>
        <v>0.57879000000000003</v>
      </c>
      <c r="D61" t="s">
        <v>13</v>
      </c>
    </row>
    <row r="62" spans="1:4" x14ac:dyDescent="0.3">
      <c r="A62" t="s">
        <v>246</v>
      </c>
      <c r="C62" s="2">
        <f>((C5)*(C9+C6)*(C55))/1000</f>
        <v>0.57879000000000003</v>
      </c>
      <c r="D62" t="s">
        <v>13</v>
      </c>
    </row>
    <row r="63" spans="1:4" x14ac:dyDescent="0.3">
      <c r="A63" t="s">
        <v>17</v>
      </c>
      <c r="C63" s="2">
        <f>C58/C10</f>
        <v>1.1330549999999999</v>
      </c>
      <c r="D63" t="s">
        <v>13</v>
      </c>
    </row>
    <row r="64" spans="1:4" x14ac:dyDescent="0.3">
      <c r="A64" t="s">
        <v>26</v>
      </c>
      <c r="C64" s="2">
        <f>C59/C16</f>
        <v>1.6730265234374999</v>
      </c>
      <c r="D64" t="s">
        <v>13</v>
      </c>
    </row>
    <row r="65" spans="1:30" x14ac:dyDescent="0.3">
      <c r="A65" t="s">
        <v>26</v>
      </c>
      <c r="C65" s="2">
        <f>C60/C26</f>
        <v>1.1324664</v>
      </c>
      <c r="D65" t="s">
        <v>13</v>
      </c>
    </row>
    <row r="66" spans="1:30" x14ac:dyDescent="0.3">
      <c r="A66" t="s">
        <v>307</v>
      </c>
      <c r="C66" s="2">
        <f>C62/C46</f>
        <v>0.12402642857142857</v>
      </c>
      <c r="D66" t="s">
        <v>13</v>
      </c>
    </row>
    <row r="67" spans="1:30" x14ac:dyDescent="0.3">
      <c r="A67" t="s">
        <v>305</v>
      </c>
      <c r="C67" s="2">
        <f>C61/C46</f>
        <v>0.12402642857142857</v>
      </c>
      <c r="D67" t="s">
        <v>13</v>
      </c>
    </row>
    <row r="68" spans="1:30" ht="43.2" x14ac:dyDescent="0.3">
      <c r="C68" s="2"/>
      <c r="E68" s="10" t="s">
        <v>43</v>
      </c>
      <c r="F68" s="10" t="s">
        <v>44</v>
      </c>
      <c r="G68" s="10" t="s">
        <v>45</v>
      </c>
      <c r="H68" s="10" t="s">
        <v>46</v>
      </c>
      <c r="I68" s="10"/>
      <c r="J68" s="14" t="s">
        <v>230</v>
      </c>
      <c r="K68" s="10" t="s">
        <v>47</v>
      </c>
      <c r="L68" s="10" t="s">
        <v>48</v>
      </c>
      <c r="M68" s="10" t="s">
        <v>49</v>
      </c>
      <c r="N68" s="10" t="s">
        <v>50</v>
      </c>
      <c r="O68" s="10" t="s">
        <v>51</v>
      </c>
      <c r="Q68" s="87" t="s">
        <v>590</v>
      </c>
    </row>
    <row r="69" spans="1:30" ht="28.8" x14ac:dyDescent="0.3">
      <c r="C69" s="2"/>
      <c r="E69" s="10" t="s">
        <v>52</v>
      </c>
      <c r="F69" s="10" t="s">
        <v>53</v>
      </c>
      <c r="G69" s="10" t="s">
        <v>54</v>
      </c>
      <c r="H69" s="10" t="s">
        <v>55</v>
      </c>
      <c r="I69" s="10" t="s">
        <v>31</v>
      </c>
      <c r="J69" s="14"/>
      <c r="K69" s="10" t="s">
        <v>221</v>
      </c>
      <c r="L69" s="10" t="s">
        <v>56</v>
      </c>
      <c r="M69" s="10" t="s">
        <v>57</v>
      </c>
      <c r="N69" s="10" t="s">
        <v>58</v>
      </c>
    </row>
    <row r="70" spans="1:30" x14ac:dyDescent="0.3">
      <c r="A70" t="s">
        <v>19</v>
      </c>
      <c r="C70" s="2">
        <f>C63*(1+C53)</f>
        <v>1.4729714999999999</v>
      </c>
      <c r="D70" t="s">
        <v>13</v>
      </c>
      <c r="E70" s="11" t="s">
        <v>159</v>
      </c>
      <c r="F70" s="10">
        <v>0.9</v>
      </c>
      <c r="G70" s="10" t="s">
        <v>60</v>
      </c>
      <c r="H70" s="10" t="s">
        <v>157</v>
      </c>
      <c r="I70" s="10" t="s">
        <v>160</v>
      </c>
      <c r="J70" s="14">
        <v>6.35</v>
      </c>
      <c r="K70" s="15">
        <v>126</v>
      </c>
      <c r="L70" s="10">
        <v>2.8</v>
      </c>
      <c r="M70" s="10" t="s">
        <v>63</v>
      </c>
      <c r="N70" s="10">
        <v>0.7</v>
      </c>
      <c r="O70" s="17">
        <f>K70/N70</f>
        <v>180</v>
      </c>
      <c r="Q70" s="88">
        <f t="shared" ref="Q70:Q73" si="0">0.6801*L70</f>
        <v>1.90428</v>
      </c>
    </row>
    <row r="71" spans="1:30" x14ac:dyDescent="0.3">
      <c r="A71" t="s">
        <v>21</v>
      </c>
      <c r="C71" s="2">
        <f>C64*(1+C53)</f>
        <v>2.17493448046875</v>
      </c>
      <c r="D71" t="s">
        <v>13</v>
      </c>
      <c r="E71" s="11" t="s">
        <v>229</v>
      </c>
      <c r="F71" s="21">
        <v>1.8</v>
      </c>
      <c r="G71" s="21" t="s">
        <v>60</v>
      </c>
      <c r="H71" s="21" t="s">
        <v>194</v>
      </c>
      <c r="I71" s="21" t="s">
        <v>199</v>
      </c>
      <c r="J71" s="21">
        <v>8</v>
      </c>
      <c r="K71" s="21">
        <v>310</v>
      </c>
      <c r="L71" s="21">
        <v>3.5</v>
      </c>
      <c r="M71" s="21" t="s">
        <v>76</v>
      </c>
      <c r="N71" s="21">
        <v>1.34</v>
      </c>
      <c r="O71" s="17">
        <f t="shared" ref="O71:O72" si="1">K71/N71</f>
        <v>231.34328358208953</v>
      </c>
      <c r="Q71" s="88">
        <f t="shared" si="0"/>
        <v>2.38035</v>
      </c>
    </row>
    <row r="72" spans="1:30" ht="17.399999999999999" customHeight="1" x14ac:dyDescent="0.3">
      <c r="A72" t="s">
        <v>22</v>
      </c>
      <c r="C72" s="2">
        <f>C65*(1+C53)</f>
        <v>1.47220632</v>
      </c>
      <c r="D72" t="s">
        <v>13</v>
      </c>
      <c r="E72" s="11" t="s">
        <v>437</v>
      </c>
      <c r="F72" s="31">
        <v>1.8</v>
      </c>
      <c r="G72" s="31" t="s">
        <v>75</v>
      </c>
      <c r="H72" s="31" t="s">
        <v>194</v>
      </c>
      <c r="I72" s="31" t="s">
        <v>195</v>
      </c>
      <c r="J72" s="31">
        <v>6.35</v>
      </c>
      <c r="K72" s="31">
        <v>190</v>
      </c>
      <c r="L72" s="31">
        <v>2</v>
      </c>
      <c r="M72" s="31" t="s">
        <v>63</v>
      </c>
      <c r="N72" s="31">
        <v>0.77</v>
      </c>
      <c r="O72" s="18">
        <f t="shared" si="1"/>
        <v>246.75324675324674</v>
      </c>
      <c r="Q72" s="88">
        <f t="shared" si="0"/>
        <v>1.3602000000000001</v>
      </c>
      <c r="R72" s="10"/>
      <c r="S72" s="10"/>
      <c r="X72" s="10"/>
      <c r="Y72" s="10"/>
      <c r="Z72" s="10"/>
      <c r="AA72" s="10"/>
      <c r="AB72" s="10"/>
      <c r="AC72" s="10"/>
      <c r="AD72" s="10"/>
    </row>
    <row r="73" spans="1:30" x14ac:dyDescent="0.3">
      <c r="A73" t="s">
        <v>41</v>
      </c>
      <c r="C73" s="2">
        <f>C66*(1+C53)</f>
        <v>0.16123435714285714</v>
      </c>
      <c r="D73" t="s">
        <v>13</v>
      </c>
      <c r="E73" s="11" t="s">
        <v>138</v>
      </c>
      <c r="F73" s="31">
        <v>1.8</v>
      </c>
      <c r="G73" s="31" t="s">
        <v>60</v>
      </c>
      <c r="H73" s="31" t="s">
        <v>109</v>
      </c>
      <c r="I73" s="31" t="s">
        <v>113</v>
      </c>
      <c r="J73" s="31">
        <v>5</v>
      </c>
      <c r="K73" s="31">
        <v>26</v>
      </c>
      <c r="L73" s="31">
        <v>0.4</v>
      </c>
      <c r="M73" s="31" t="s">
        <v>63</v>
      </c>
      <c r="N73" s="31">
        <v>0.22</v>
      </c>
      <c r="O73" s="18">
        <f>K73/N73</f>
        <v>118.18181818181819</v>
      </c>
      <c r="P73" s="11"/>
      <c r="Q73" s="88">
        <f t="shared" si="0"/>
        <v>0.27204</v>
      </c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</row>
    <row r="74" spans="1:30" x14ac:dyDescent="0.3">
      <c r="A74" t="s">
        <v>306</v>
      </c>
      <c r="C74" s="2">
        <f>C67*(1+C53)</f>
        <v>0.16123435714285714</v>
      </c>
      <c r="D74" t="s">
        <v>13</v>
      </c>
      <c r="E74" s="11" t="s">
        <v>143</v>
      </c>
      <c r="F74" s="87">
        <v>1.8</v>
      </c>
      <c r="G74" s="87" t="s">
        <v>60</v>
      </c>
      <c r="H74" s="87" t="s">
        <v>109</v>
      </c>
      <c r="I74" s="87" t="s">
        <v>116</v>
      </c>
      <c r="J74" s="87">
        <v>5</v>
      </c>
      <c r="K74" s="87">
        <v>40</v>
      </c>
      <c r="L74" s="87">
        <v>0.4</v>
      </c>
      <c r="M74" s="87" t="s">
        <v>63</v>
      </c>
      <c r="N74" s="87">
        <v>0.28000000000000003</v>
      </c>
      <c r="O74" s="18">
        <f>K74/N74</f>
        <v>142.85714285714283</v>
      </c>
      <c r="P74" s="11"/>
      <c r="Q74" s="88">
        <f>0.6801*L74</f>
        <v>0.27204</v>
      </c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</row>
    <row r="75" spans="1:30" x14ac:dyDescent="0.3">
      <c r="C75" s="2"/>
      <c r="E75" s="26"/>
      <c r="F75" s="31"/>
      <c r="G75" s="31"/>
      <c r="H75" s="31"/>
      <c r="I75" s="31"/>
      <c r="J75" s="31"/>
      <c r="K75" s="31"/>
      <c r="L75" s="31"/>
      <c r="M75" s="31"/>
      <c r="N75" s="31"/>
      <c r="O75" s="18"/>
      <c r="P75" s="11"/>
      <c r="Q75" s="31"/>
      <c r="R75" s="31"/>
      <c r="S75" s="31"/>
      <c r="T75" s="31"/>
      <c r="U75" s="31"/>
      <c r="V75" s="31"/>
      <c r="W75" s="31"/>
      <c r="X75" s="31"/>
      <c r="Y75" s="31"/>
      <c r="Z75" s="31"/>
      <c r="AA75" s="31"/>
      <c r="AB75" s="31"/>
      <c r="AC75" s="31"/>
      <c r="AD75" s="31"/>
    </row>
    <row r="76" spans="1:30" x14ac:dyDescent="0.3">
      <c r="E76" s="11" t="s">
        <v>229</v>
      </c>
      <c r="F76" s="14">
        <v>1.8</v>
      </c>
      <c r="G76" s="14" t="s">
        <v>60</v>
      </c>
      <c r="H76" s="14" t="s">
        <v>194</v>
      </c>
      <c r="I76" s="14" t="s">
        <v>199</v>
      </c>
      <c r="J76" s="14">
        <v>8</v>
      </c>
      <c r="K76" s="14">
        <v>310</v>
      </c>
      <c r="L76" s="14">
        <v>3.5</v>
      </c>
      <c r="M76" s="14" t="s">
        <v>76</v>
      </c>
      <c r="N76" s="14">
        <v>1.34</v>
      </c>
      <c r="O76" s="17">
        <f t="shared" ref="O76:O84" si="2">K76/N76</f>
        <v>231.34328358208953</v>
      </c>
    </row>
    <row r="77" spans="1:30" x14ac:dyDescent="0.3">
      <c r="E77" s="11" t="s">
        <v>193</v>
      </c>
      <c r="F77" s="31">
        <v>1.8</v>
      </c>
      <c r="G77" s="31" t="s">
        <v>75</v>
      </c>
      <c r="H77" s="31" t="s">
        <v>194</v>
      </c>
      <c r="I77" s="31" t="s">
        <v>195</v>
      </c>
      <c r="J77" s="31">
        <v>6.35</v>
      </c>
      <c r="K77" s="31">
        <v>120</v>
      </c>
      <c r="L77" s="31">
        <v>2</v>
      </c>
      <c r="M77" s="31" t="s">
        <v>63</v>
      </c>
      <c r="N77" s="31">
        <v>0.77</v>
      </c>
      <c r="O77" s="18">
        <f t="shared" ref="O77" si="3">K77/N77</f>
        <v>155.84415584415584</v>
      </c>
      <c r="P77" s="11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</row>
    <row r="78" spans="1:30" x14ac:dyDescent="0.3">
      <c r="E78" s="11" t="s">
        <v>193</v>
      </c>
      <c r="F78" s="31">
        <v>1.8</v>
      </c>
      <c r="G78" s="31" t="s">
        <v>75</v>
      </c>
      <c r="H78" s="31" t="s">
        <v>194</v>
      </c>
      <c r="I78" s="31" t="s">
        <v>195</v>
      </c>
      <c r="J78" s="31">
        <v>6.35</v>
      </c>
      <c r="K78" s="31">
        <v>120</v>
      </c>
      <c r="L78" s="31">
        <v>2</v>
      </c>
      <c r="M78" s="31" t="s">
        <v>63</v>
      </c>
      <c r="N78" s="31">
        <v>0.77</v>
      </c>
      <c r="O78" s="18">
        <f t="shared" ref="O78" si="4">K78/N78</f>
        <v>155.84415584415584</v>
      </c>
      <c r="P78" s="11"/>
      <c r="Q78" s="31"/>
      <c r="R78" s="31"/>
      <c r="S78" s="31"/>
      <c r="T78" s="31"/>
      <c r="U78" s="31"/>
      <c r="V78" s="31"/>
      <c r="W78" s="31"/>
      <c r="X78" s="31"/>
      <c r="Y78" s="31"/>
      <c r="Z78" s="31"/>
      <c r="AA78" s="31"/>
      <c r="AB78" s="31"/>
      <c r="AC78" s="31"/>
      <c r="AD78" s="31"/>
    </row>
    <row r="79" spans="1:30" x14ac:dyDescent="0.3">
      <c r="E79" s="11" t="s">
        <v>182</v>
      </c>
      <c r="F79" s="10">
        <v>1.8</v>
      </c>
      <c r="G79" s="10" t="s">
        <v>183</v>
      </c>
      <c r="H79" s="10" t="s">
        <v>157</v>
      </c>
      <c r="I79" s="10" t="s">
        <v>184</v>
      </c>
      <c r="J79" s="14">
        <v>6.35</v>
      </c>
      <c r="K79" s="10">
        <v>200</v>
      </c>
      <c r="L79" s="10">
        <v>2.83</v>
      </c>
      <c r="M79" s="10" t="s">
        <v>63</v>
      </c>
      <c r="N79" s="10">
        <v>1.1299999999999999</v>
      </c>
      <c r="O79" s="17">
        <f t="shared" si="2"/>
        <v>176.9911504424779</v>
      </c>
      <c r="P79" s="10"/>
      <c r="Q79" s="10"/>
      <c r="R79" s="10"/>
      <c r="S79" s="10"/>
      <c r="T79" s="10"/>
    </row>
    <row r="80" spans="1:30" x14ac:dyDescent="0.3">
      <c r="E80" s="11" t="s">
        <v>181</v>
      </c>
      <c r="F80" s="14">
        <v>1.8</v>
      </c>
      <c r="G80" s="14" t="s">
        <v>60</v>
      </c>
      <c r="H80" s="14" t="s">
        <v>157</v>
      </c>
      <c r="I80" s="14" t="s">
        <v>179</v>
      </c>
      <c r="J80" s="14">
        <v>6.35</v>
      </c>
      <c r="K80" s="15">
        <v>189</v>
      </c>
      <c r="L80" s="14">
        <v>2.8</v>
      </c>
      <c r="M80" s="14" t="s">
        <v>63</v>
      </c>
      <c r="N80" s="14">
        <v>1</v>
      </c>
      <c r="O80" s="17">
        <f t="shared" si="2"/>
        <v>189</v>
      </c>
      <c r="P80" s="14"/>
      <c r="Q80" s="14"/>
      <c r="R80" s="14"/>
      <c r="S80" s="14"/>
      <c r="T80" s="14"/>
    </row>
    <row r="81" spans="1:20" x14ac:dyDescent="0.3">
      <c r="E81" s="11" t="s">
        <v>159</v>
      </c>
      <c r="F81" s="24">
        <v>0.9</v>
      </c>
      <c r="G81" s="24" t="s">
        <v>60</v>
      </c>
      <c r="H81" s="24" t="s">
        <v>157</v>
      </c>
      <c r="I81" s="24" t="s">
        <v>160</v>
      </c>
      <c r="J81" s="24">
        <v>6.35</v>
      </c>
      <c r="K81" s="15">
        <v>126</v>
      </c>
      <c r="L81" s="24">
        <v>2.8</v>
      </c>
      <c r="M81" s="24" t="s">
        <v>63</v>
      </c>
      <c r="N81" s="24">
        <v>0.7</v>
      </c>
      <c r="O81" s="17">
        <f>K81/N81</f>
        <v>180</v>
      </c>
      <c r="P81" s="10"/>
      <c r="Q81" s="10"/>
      <c r="R81" s="10"/>
      <c r="S81" s="10"/>
      <c r="T81" s="10"/>
    </row>
    <row r="82" spans="1:20" x14ac:dyDescent="0.3">
      <c r="E82" s="11" t="s">
        <v>156</v>
      </c>
      <c r="F82" s="14">
        <v>0.9</v>
      </c>
      <c r="G82" s="14" t="s">
        <v>60</v>
      </c>
      <c r="H82" s="14" t="s">
        <v>157</v>
      </c>
      <c r="I82" s="14" t="s">
        <v>158</v>
      </c>
      <c r="J82" s="13">
        <v>6.35</v>
      </c>
      <c r="K82" s="15">
        <v>90</v>
      </c>
      <c r="L82" s="14">
        <v>0.38</v>
      </c>
      <c r="M82" s="14" t="s">
        <v>63</v>
      </c>
      <c r="N82" s="14">
        <v>0.6</v>
      </c>
      <c r="O82" s="17">
        <f>K82/N82</f>
        <v>150</v>
      </c>
      <c r="P82" s="14"/>
      <c r="Q82" s="14"/>
      <c r="R82" s="14"/>
      <c r="S82" s="14"/>
      <c r="T82" s="14"/>
    </row>
    <row r="83" spans="1:20" x14ac:dyDescent="0.3">
      <c r="E83" s="11" t="s">
        <v>155</v>
      </c>
      <c r="F83" s="10">
        <v>1.8</v>
      </c>
      <c r="G83" s="10" t="s">
        <v>60</v>
      </c>
      <c r="H83" s="10" t="s">
        <v>109</v>
      </c>
      <c r="I83" s="10" t="s">
        <v>153</v>
      </c>
      <c r="J83" s="14">
        <v>5</v>
      </c>
      <c r="K83" s="15">
        <v>65</v>
      </c>
      <c r="L83" s="10">
        <v>2.1</v>
      </c>
      <c r="M83" s="10" t="s">
        <v>63</v>
      </c>
      <c r="N83" s="10">
        <v>0.45</v>
      </c>
      <c r="O83" s="17">
        <f t="shared" si="2"/>
        <v>144.44444444444443</v>
      </c>
    </row>
    <row r="84" spans="1:20" x14ac:dyDescent="0.3">
      <c r="E84" s="11" t="s">
        <v>145</v>
      </c>
      <c r="F84" s="10">
        <v>1.8</v>
      </c>
      <c r="G84" s="10" t="s">
        <v>60</v>
      </c>
      <c r="H84" s="10" t="s">
        <v>109</v>
      </c>
      <c r="I84" s="10" t="s">
        <v>119</v>
      </c>
      <c r="J84" s="14">
        <v>5</v>
      </c>
      <c r="K84" s="15">
        <v>45</v>
      </c>
      <c r="L84" s="10">
        <v>2</v>
      </c>
      <c r="M84" s="10" t="s">
        <v>63</v>
      </c>
      <c r="N84" s="10">
        <v>0.31</v>
      </c>
      <c r="O84" s="17">
        <f t="shared" si="2"/>
        <v>145.16129032258064</v>
      </c>
    </row>
    <row r="85" spans="1:20" x14ac:dyDescent="0.3">
      <c r="E85" s="11" t="s">
        <v>92</v>
      </c>
      <c r="F85" s="27">
        <v>1.8</v>
      </c>
      <c r="G85" s="27" t="s">
        <v>60</v>
      </c>
      <c r="H85" s="27" t="s">
        <v>80</v>
      </c>
      <c r="I85" s="27" t="s">
        <v>93</v>
      </c>
      <c r="J85" s="27">
        <v>5</v>
      </c>
      <c r="K85" s="27">
        <v>23</v>
      </c>
      <c r="L85" s="27">
        <v>0.5</v>
      </c>
      <c r="M85" s="27" t="s">
        <v>63</v>
      </c>
      <c r="N85" s="27">
        <v>0.22</v>
      </c>
      <c r="O85" s="17">
        <f>K85/N85</f>
        <v>104.54545454545455</v>
      </c>
    </row>
    <row r="86" spans="1:20" x14ac:dyDescent="0.3">
      <c r="E86" s="11" t="s">
        <v>143</v>
      </c>
      <c r="F86" s="87">
        <v>1.8</v>
      </c>
      <c r="G86" s="87" t="s">
        <v>60</v>
      </c>
      <c r="H86" s="87" t="s">
        <v>109</v>
      </c>
      <c r="I86" s="87" t="s">
        <v>116</v>
      </c>
      <c r="J86" s="87">
        <v>5</v>
      </c>
      <c r="K86" s="87">
        <v>40</v>
      </c>
      <c r="L86" s="87">
        <v>0.4</v>
      </c>
      <c r="M86" s="87" t="s">
        <v>63</v>
      </c>
      <c r="N86" s="87">
        <v>0.28000000000000003</v>
      </c>
      <c r="O86" s="18">
        <f t="shared" ref="O86" si="5">K86/N86</f>
        <v>142.85714285714283</v>
      </c>
    </row>
    <row r="87" spans="1:20" x14ac:dyDescent="0.3">
      <c r="E87" s="11" t="s">
        <v>138</v>
      </c>
      <c r="F87" s="31">
        <v>1.8</v>
      </c>
      <c r="G87" s="31" t="s">
        <v>60</v>
      </c>
      <c r="H87" s="31" t="s">
        <v>109</v>
      </c>
      <c r="I87" s="31" t="s">
        <v>134</v>
      </c>
      <c r="J87" s="31">
        <v>5</v>
      </c>
      <c r="K87" s="31">
        <v>26</v>
      </c>
      <c r="L87" s="31">
        <v>0.4</v>
      </c>
      <c r="M87" s="31" t="s">
        <v>63</v>
      </c>
      <c r="N87" s="31">
        <v>0.22</v>
      </c>
      <c r="O87" s="18">
        <f>K87/N87</f>
        <v>118.18181818181819</v>
      </c>
    </row>
    <row r="88" spans="1:20" ht="28.8" x14ac:dyDescent="0.3">
      <c r="E88" s="11" t="s">
        <v>111</v>
      </c>
      <c r="F88" s="27">
        <v>0.9</v>
      </c>
      <c r="G88" s="27" t="s">
        <v>112</v>
      </c>
      <c r="H88" s="27" t="s">
        <v>109</v>
      </c>
      <c r="I88" s="27" t="s">
        <v>113</v>
      </c>
      <c r="K88" s="27">
        <v>23</v>
      </c>
      <c r="L88" s="27">
        <v>0.31</v>
      </c>
      <c r="M88" s="27" t="s">
        <v>63</v>
      </c>
      <c r="N88" s="27">
        <v>0.28000000000000003</v>
      </c>
      <c r="O88" s="18">
        <f t="shared" ref="O88" si="6">K88/N88</f>
        <v>82.142857142857139</v>
      </c>
    </row>
    <row r="89" spans="1:20" x14ac:dyDescent="0.3">
      <c r="E89" s="11" t="s">
        <v>91</v>
      </c>
      <c r="F89" s="27">
        <v>1.8</v>
      </c>
      <c r="G89" s="27" t="s">
        <v>60</v>
      </c>
      <c r="H89" s="27" t="s">
        <v>80</v>
      </c>
      <c r="I89" s="27" t="s">
        <v>90</v>
      </c>
      <c r="J89" s="27">
        <v>5</v>
      </c>
      <c r="K89" s="27">
        <v>18</v>
      </c>
      <c r="L89" s="27">
        <v>0.8</v>
      </c>
      <c r="M89" s="27" t="s">
        <v>63</v>
      </c>
      <c r="N89" s="27">
        <v>0.17</v>
      </c>
      <c r="O89" s="17">
        <f>K89/N89</f>
        <v>105.88235294117646</v>
      </c>
    </row>
    <row r="90" spans="1:20" x14ac:dyDescent="0.3">
      <c r="E90" s="11" t="s">
        <v>96</v>
      </c>
      <c r="F90" s="16">
        <v>0.9</v>
      </c>
      <c r="G90" s="16" t="s">
        <v>60</v>
      </c>
      <c r="H90" s="16" t="s">
        <v>97</v>
      </c>
      <c r="I90" s="16" t="s">
        <v>98</v>
      </c>
      <c r="J90" s="16">
        <v>5</v>
      </c>
      <c r="K90" s="16">
        <v>16</v>
      </c>
      <c r="L90" s="16">
        <v>0.6</v>
      </c>
      <c r="M90" s="16" t="s">
        <v>63</v>
      </c>
      <c r="N90" s="16">
        <v>0.12</v>
      </c>
      <c r="O90" s="17">
        <f>K90/N90</f>
        <v>133.33333333333334</v>
      </c>
    </row>
    <row r="91" spans="1:20" x14ac:dyDescent="0.3">
      <c r="E91" s="11" t="s">
        <v>86</v>
      </c>
      <c r="F91" s="27">
        <v>1.8</v>
      </c>
      <c r="G91" s="27" t="s">
        <v>60</v>
      </c>
      <c r="H91" s="27" t="s">
        <v>80</v>
      </c>
      <c r="I91" s="27" t="s">
        <v>87</v>
      </c>
      <c r="J91" s="27">
        <v>5</v>
      </c>
      <c r="K91" s="27">
        <v>14</v>
      </c>
      <c r="L91" s="27">
        <v>0.4</v>
      </c>
      <c r="M91" s="27" t="s">
        <v>63</v>
      </c>
      <c r="N91" s="27">
        <v>0.12</v>
      </c>
      <c r="O91" s="18">
        <f t="shared" ref="O91" si="7">K91/N91</f>
        <v>116.66666666666667</v>
      </c>
    </row>
    <row r="92" spans="1:20" x14ac:dyDescent="0.3">
      <c r="E92" s="11" t="s">
        <v>82</v>
      </c>
      <c r="F92" s="16">
        <v>0.9</v>
      </c>
      <c r="G92" s="16" t="s">
        <v>60</v>
      </c>
      <c r="H92" s="16" t="s">
        <v>80</v>
      </c>
      <c r="I92" s="16" t="s">
        <v>83</v>
      </c>
      <c r="J92" s="16">
        <v>5</v>
      </c>
      <c r="K92" s="16">
        <v>5</v>
      </c>
      <c r="L92" s="16">
        <v>0.5</v>
      </c>
      <c r="M92" s="16" t="s">
        <v>63</v>
      </c>
      <c r="N92" s="16">
        <v>0.09</v>
      </c>
      <c r="O92" s="17">
        <f>K92/N92</f>
        <v>55.555555555555557</v>
      </c>
    </row>
    <row r="93" spans="1:20" x14ac:dyDescent="0.3">
      <c r="E93" s="11" t="s">
        <v>108</v>
      </c>
      <c r="F93" s="28">
        <v>0.9</v>
      </c>
      <c r="G93" s="28" t="s">
        <v>60</v>
      </c>
      <c r="H93" s="28" t="s">
        <v>109</v>
      </c>
      <c r="I93" s="28" t="s">
        <v>110</v>
      </c>
      <c r="J93" s="28">
        <v>5</v>
      </c>
      <c r="K93" s="28">
        <v>11</v>
      </c>
      <c r="L93" s="28">
        <v>1.2</v>
      </c>
      <c r="M93" s="28" t="s">
        <v>63</v>
      </c>
      <c r="N93" s="28">
        <v>0.15</v>
      </c>
      <c r="O93" s="18">
        <f t="shared" ref="O93" si="8">K93/N93</f>
        <v>73.333333333333343</v>
      </c>
    </row>
    <row r="94" spans="1:20" x14ac:dyDescent="0.3">
      <c r="D94" s="11"/>
      <c r="E94" s="11" t="s">
        <v>584</v>
      </c>
      <c r="F94" s="73">
        <v>1.8</v>
      </c>
      <c r="G94" s="73" t="s">
        <v>60</v>
      </c>
      <c r="H94" s="73" t="s">
        <v>109</v>
      </c>
      <c r="I94" s="73" t="s">
        <v>585</v>
      </c>
      <c r="J94" s="73">
        <v>5</v>
      </c>
      <c r="K94" s="73">
        <v>20</v>
      </c>
      <c r="L94" s="73">
        <v>0.35</v>
      </c>
      <c r="M94" s="73" t="s">
        <v>63</v>
      </c>
      <c r="N94" s="73"/>
      <c r="O94" s="18"/>
    </row>
    <row r="95" spans="1:20" x14ac:dyDescent="0.3">
      <c r="A95" t="s">
        <v>249</v>
      </c>
    </row>
    <row r="96" spans="1:20" x14ac:dyDescent="0.3">
      <c r="A96" t="s">
        <v>252</v>
      </c>
      <c r="C96" s="19">
        <f>1</f>
        <v>1</v>
      </c>
      <c r="D96" t="s">
        <v>259</v>
      </c>
    </row>
    <row r="97" spans="1:5" x14ac:dyDescent="0.3">
      <c r="A97" t="s">
        <v>257</v>
      </c>
      <c r="C97" s="19">
        <f>(C15/1000/2)</f>
        <v>7.1619724391352904E-2</v>
      </c>
      <c r="D97" t="s">
        <v>258</v>
      </c>
    </row>
    <row r="98" spans="1:5" x14ac:dyDescent="0.3">
      <c r="A98" t="s">
        <v>253</v>
      </c>
      <c r="C98" s="19">
        <f>C58/C97</f>
        <v>118.6532421371061</v>
      </c>
      <c r="D98" t="s">
        <v>250</v>
      </c>
    </row>
    <row r="99" spans="1:5" x14ac:dyDescent="0.3">
      <c r="A99" t="s">
        <v>254</v>
      </c>
      <c r="C99" s="19">
        <f>(C96)*C98*2*PI()</f>
        <v>745.52030764508686</v>
      </c>
      <c r="D99" t="s">
        <v>251</v>
      </c>
    </row>
    <row r="101" spans="1:5" x14ac:dyDescent="0.3">
      <c r="A101" t="s">
        <v>255</v>
      </c>
    </row>
    <row r="102" spans="1:5" x14ac:dyDescent="0.3">
      <c r="A102" t="s">
        <v>252</v>
      </c>
      <c r="C102" s="20">
        <v>1</v>
      </c>
      <c r="D102" t="s">
        <v>259</v>
      </c>
    </row>
    <row r="103" spans="1:5" x14ac:dyDescent="0.3">
      <c r="A103" t="s">
        <v>257</v>
      </c>
      <c r="C103" s="20">
        <f>(C21/1000/2)</f>
        <v>3.8197186342054885E-2</v>
      </c>
      <c r="D103" t="s">
        <v>258</v>
      </c>
    </row>
    <row r="104" spans="1:5" x14ac:dyDescent="0.3">
      <c r="A104" t="s">
        <v>253</v>
      </c>
      <c r="C104" s="20">
        <f>C59/C103</f>
        <v>667.42448702122169</v>
      </c>
      <c r="D104" t="s">
        <v>250</v>
      </c>
      <c r="E104" s="20"/>
    </row>
    <row r="105" spans="1:5" x14ac:dyDescent="0.3">
      <c r="A105" t="s">
        <v>254</v>
      </c>
      <c r="C105" s="20">
        <f>(C102)*C104*2*PI()</f>
        <v>4193.5517305036128</v>
      </c>
      <c r="D105" t="s">
        <v>251</v>
      </c>
    </row>
    <row r="107" spans="1:5" x14ac:dyDescent="0.3">
      <c r="A107" t="s">
        <v>256</v>
      </c>
    </row>
    <row r="108" spans="1:5" x14ac:dyDescent="0.3">
      <c r="A108" t="s">
        <v>252</v>
      </c>
      <c r="C108" s="20">
        <f>60*C18/C20</f>
        <v>22.5</v>
      </c>
      <c r="D108" t="s">
        <v>259</v>
      </c>
    </row>
    <row r="109" spans="1:5" x14ac:dyDescent="0.3">
      <c r="A109" t="s">
        <v>257</v>
      </c>
      <c r="C109" s="20">
        <f>(C25/1000/2)</f>
        <v>6.3661977236758135E-2</v>
      </c>
      <c r="D109" t="s">
        <v>258</v>
      </c>
    </row>
    <row r="110" spans="1:5" x14ac:dyDescent="0.3">
      <c r="A110" t="s">
        <v>253</v>
      </c>
      <c r="C110" s="20">
        <f>C59/(C20/C18)/C109</f>
        <v>150.17050957977492</v>
      </c>
      <c r="D110" t="s">
        <v>250</v>
      </c>
    </row>
    <row r="111" spans="1:5" x14ac:dyDescent="0.3">
      <c r="A111" t="s">
        <v>254</v>
      </c>
      <c r="C111" s="20">
        <f>(C108/60)*C110*2*PI()</f>
        <v>353.83092726124238</v>
      </c>
      <c r="D111" t="s">
        <v>251</v>
      </c>
    </row>
  </sheetData>
  <hyperlinks>
    <hyperlink ref="E83" r:id="rId1" display="http://www.omc-stepperonline.com/nema-17-bipolar-stepper-motor-65ncm92ozin-21a-17hs242104s-p-21.html"/>
    <hyperlink ref="E84" r:id="rId2" display="http://www.omc-stepperonline.com/3d-printer-nema-17-stepper-motor-2a-45ncm64ozin-17hs162004s-p-16.html"/>
    <hyperlink ref="E79" r:id="rId3" display="http://www.omc-stepperonline.com/nema-23-cnc-stepper-motor-283nm400-ozin-40a-23hs334008s-p-70.html"/>
    <hyperlink ref="E70" r:id="rId4"/>
    <hyperlink ref="E76" r:id="rId5"/>
    <hyperlink ref="E80" r:id="rId6" display="http://www.omc-stepperonline.com/nema-23-cnc-stepper-motor-28a-19nm269ozin-23hs302804s-p-25.html"/>
    <hyperlink ref="E90" r:id="rId7" display="http://www.omc-stepperonline.com/09-nema-16-bipolar-stepper-06a-16ncm227ozin-16hm100604s-p-97.html"/>
    <hyperlink ref="E92" r:id="rId8" display="http://www.omc-stepperonline.com/09-nema-14-bipolar-stepper-motor-5ncm7ozin-14hm080504s-p-85.html"/>
    <hyperlink ref="E71" r:id="rId9"/>
    <hyperlink ref="E82" r:id="rId10"/>
    <hyperlink ref="E81" r:id="rId11"/>
    <hyperlink ref="E85" r:id="rId12"/>
    <hyperlink ref="E89" r:id="rId13" display="http://www.omc-stepperonline.com/nema-14-bipolar-stepper-54v-08a-18ncm255ozin-14hs130804s-p-93.html"/>
    <hyperlink ref="E91" r:id="rId14" display="http://www.omc-stepperonline.com/nema-14-bipolar-stepper-12v-04a-14ncm20ozin-14hs100404s-p-90.html"/>
    <hyperlink ref="E88" r:id="rId15" display="http://www.omc-stepperonline.com/9deg-nema-17-unipolar-stepper-motor-12v-031a-16ncm227ozin-17hm130316s-p-262.html"/>
    <hyperlink ref="E87" r:id="rId16"/>
    <hyperlink ref="E73" r:id="rId17"/>
    <hyperlink ref="E78" r:id="rId18" display="http://www.omc-stepperonline.com/nema-24-cnc-stepper-motor-12nm170ozin-24hs222006s-p-26.html"/>
    <hyperlink ref="E77" r:id="rId19" display="http://www.omc-stepperonline.com/nema-24-cnc-stepper-motor-12nm170ozin-24hs222006s-p-26.html"/>
    <hyperlink ref="E72" r:id="rId20"/>
    <hyperlink ref="E93" r:id="rId21" display="http://www.omc-stepperonline.com/09-nema-17-bipolar-stepper-12a-11ncm156ozin-17hm081204s-p-99.html"/>
    <hyperlink ref="E94" r:id="rId22"/>
    <hyperlink ref="E86" r:id="rId23" display="http://www.omc-stepperonline.com/nema-17-bipolar-stepper-12v-04a-40ncm567ozin-17hs150404s-p-14.html"/>
    <hyperlink ref="E74" r:id="rId24" display="http://www.omc-stepperonline.com/nema-17-bipolar-stepper-12v-04a-40ncm567ozin-17hs150404s-p-14.html"/>
  </hyperlinks>
  <pageMargins left="0.7" right="0.7" top="0.75" bottom="0.75" header="0.3" footer="0.3"/>
  <pageSetup paperSize="9" orientation="portrait" horizontalDpi="0" verticalDpi="0" r:id="rId2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0"/>
  <sheetViews>
    <sheetView topLeftCell="A16" zoomScale="115" zoomScaleNormal="115" workbookViewId="0">
      <selection activeCell="C60" sqref="C60"/>
    </sheetView>
  </sheetViews>
  <sheetFormatPr baseColWidth="10" defaultRowHeight="14.4" x14ac:dyDescent="0.3"/>
  <sheetData>
    <row r="1" spans="1:1" x14ac:dyDescent="0.3">
      <c r="A1" t="s">
        <v>242</v>
      </c>
    </row>
    <row r="10" spans="1:1" x14ac:dyDescent="0.3">
      <c r="A10" t="s">
        <v>243</v>
      </c>
    </row>
    <row r="11" spans="1:1" x14ac:dyDescent="0.3">
      <c r="A11" t="s">
        <v>1</v>
      </c>
    </row>
    <row r="12" spans="1:1" x14ac:dyDescent="0.3">
      <c r="A12" t="s">
        <v>2</v>
      </c>
    </row>
    <row r="13" spans="1:1" x14ac:dyDescent="0.3">
      <c r="A13" t="s">
        <v>232</v>
      </c>
    </row>
    <row r="14" spans="1:1" x14ac:dyDescent="0.3">
      <c r="A14" t="s">
        <v>267</v>
      </c>
    </row>
    <row r="15" spans="1:1" x14ac:dyDescent="0.3">
      <c r="A15" t="s">
        <v>247</v>
      </c>
    </row>
    <row r="16" spans="1:1" x14ac:dyDescent="0.3">
      <c r="A16" t="s">
        <v>248</v>
      </c>
    </row>
    <row r="35" spans="1:4" x14ac:dyDescent="0.3">
      <c r="A35" t="s">
        <v>263</v>
      </c>
    </row>
    <row r="36" spans="1:4" x14ac:dyDescent="0.3">
      <c r="A36" t="s">
        <v>260</v>
      </c>
      <c r="C36">
        <v>56</v>
      </c>
    </row>
    <row r="37" spans="1:4" x14ac:dyDescent="0.3">
      <c r="A37" t="s">
        <v>262</v>
      </c>
      <c r="C37" s="2">
        <f>C36*2.5/PI()</f>
        <v>44.563384065730695</v>
      </c>
      <c r="D37" t="s">
        <v>31</v>
      </c>
    </row>
    <row r="38" spans="1:4" x14ac:dyDescent="0.3">
      <c r="A38" t="s">
        <v>261</v>
      </c>
      <c r="C38" s="2">
        <f>C37*1.0012-0.56</f>
        <v>44.056860126609571</v>
      </c>
      <c r="D38" t="s">
        <v>31</v>
      </c>
    </row>
    <row r="39" spans="1:4" x14ac:dyDescent="0.3">
      <c r="A39" t="s">
        <v>264</v>
      </c>
      <c r="C39" s="2">
        <f>C38-2</f>
        <v>42.056860126609571</v>
      </c>
      <c r="D39" t="s">
        <v>31</v>
      </c>
    </row>
    <row r="40" spans="1:4" x14ac:dyDescent="0.3">
      <c r="A40" t="s">
        <v>265</v>
      </c>
      <c r="C40" s="2">
        <f>C39-2</f>
        <v>40.056860126609571</v>
      </c>
      <c r="D40" t="s">
        <v>31</v>
      </c>
    </row>
    <row r="58" spans="1:4" x14ac:dyDescent="0.3">
      <c r="A58" t="s">
        <v>358</v>
      </c>
    </row>
    <row r="59" spans="1:4" x14ac:dyDescent="0.3">
      <c r="A59" t="s">
        <v>260</v>
      </c>
      <c r="C59">
        <v>80</v>
      </c>
    </row>
    <row r="60" spans="1:4" x14ac:dyDescent="0.3">
      <c r="A60" t="s">
        <v>262</v>
      </c>
      <c r="C60" s="2">
        <f>C59*5/PI()</f>
        <v>127.32395447351627</v>
      </c>
      <c r="D60" t="s">
        <v>31</v>
      </c>
    </row>
    <row r="61" spans="1:4" x14ac:dyDescent="0.3">
      <c r="A61" t="s">
        <v>261</v>
      </c>
      <c r="C61" s="2">
        <f>C60*1.0012-0.56</f>
        <v>126.91674321888449</v>
      </c>
      <c r="D61" t="s">
        <v>31</v>
      </c>
    </row>
    <row r="62" spans="1:4" x14ac:dyDescent="0.3">
      <c r="A62" t="s">
        <v>264</v>
      </c>
      <c r="C62" s="2">
        <f>C61-2</f>
        <v>124.91674321888449</v>
      </c>
      <c r="D62" t="s">
        <v>31</v>
      </c>
    </row>
    <row r="63" spans="1:4" x14ac:dyDescent="0.3">
      <c r="A63" t="s">
        <v>265</v>
      </c>
      <c r="C63" s="2">
        <f>C62-2</f>
        <v>122.91674321888449</v>
      </c>
      <c r="D63" t="s">
        <v>31</v>
      </c>
    </row>
    <row r="67" spans="3:3" x14ac:dyDescent="0.3">
      <c r="C67" s="2"/>
    </row>
    <row r="68" spans="3:3" x14ac:dyDescent="0.3">
      <c r="C68" s="2"/>
    </row>
    <row r="69" spans="3:3" x14ac:dyDescent="0.3">
      <c r="C69" s="2"/>
    </row>
    <row r="70" spans="3:3" x14ac:dyDescent="0.3">
      <c r="C70" s="2"/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3"/>
  <sheetViews>
    <sheetView topLeftCell="A50" workbookViewId="0">
      <selection activeCell="J57" sqref="A57:J57"/>
    </sheetView>
  </sheetViews>
  <sheetFormatPr baseColWidth="10" defaultRowHeight="14.4" x14ac:dyDescent="0.3"/>
  <cols>
    <col min="2" max="2" width="11.77734375" bestFit="1" customWidth="1"/>
    <col min="6" max="6" width="16.88671875" style="13" bestFit="1" customWidth="1"/>
    <col min="9" max="9" width="11.77734375" style="13" bestFit="1" customWidth="1"/>
    <col min="10" max="10" width="11.5546875" style="18"/>
  </cols>
  <sheetData>
    <row r="1" spans="1:10" ht="17.399999999999999" customHeight="1" x14ac:dyDescent="0.3">
      <c r="A1" t="s">
        <v>42</v>
      </c>
    </row>
    <row r="3" spans="1:10" ht="14.4" customHeight="1" x14ac:dyDescent="0.3">
      <c r="A3" s="10"/>
      <c r="B3" s="10"/>
      <c r="C3" s="10"/>
      <c r="D3" s="89"/>
      <c r="E3" s="89"/>
      <c r="F3" s="10"/>
      <c r="G3" s="10"/>
      <c r="H3" s="10"/>
      <c r="I3" s="12"/>
    </row>
    <row r="4" spans="1:10" ht="14.4" customHeight="1" x14ac:dyDescent="0.3">
      <c r="A4" s="10" t="s">
        <v>43</v>
      </c>
      <c r="B4" s="10" t="s">
        <v>44</v>
      </c>
      <c r="C4" s="10" t="s">
        <v>45</v>
      </c>
      <c r="D4" s="89" t="s">
        <v>46</v>
      </c>
      <c r="E4" s="89"/>
      <c r="F4" s="10" t="s">
        <v>47</v>
      </c>
      <c r="G4" s="10" t="s">
        <v>48</v>
      </c>
      <c r="H4" s="10" t="s">
        <v>49</v>
      </c>
      <c r="I4" s="10" t="s">
        <v>51</v>
      </c>
    </row>
    <row r="5" spans="1:10" x14ac:dyDescent="0.3">
      <c r="A5" s="10" t="s">
        <v>52</v>
      </c>
      <c r="B5" s="10" t="s">
        <v>53</v>
      </c>
      <c r="C5" s="10" t="s">
        <v>54</v>
      </c>
      <c r="D5" s="10" t="s">
        <v>55</v>
      </c>
      <c r="E5" s="10" t="s">
        <v>31</v>
      </c>
      <c r="F5" s="10" t="s">
        <v>221</v>
      </c>
      <c r="G5" s="10" t="s">
        <v>56</v>
      </c>
      <c r="H5" s="10" t="s">
        <v>57</v>
      </c>
      <c r="I5" s="10" t="s">
        <v>58</v>
      </c>
    </row>
    <row r="6" spans="1:10" ht="28.8" x14ac:dyDescent="0.3">
      <c r="A6" s="11" t="s">
        <v>59</v>
      </c>
      <c r="B6" s="10">
        <v>1.8</v>
      </c>
      <c r="C6" s="10" t="s">
        <v>60</v>
      </c>
      <c r="D6" s="10" t="s">
        <v>61</v>
      </c>
      <c r="E6" s="10" t="s">
        <v>62</v>
      </c>
      <c r="F6" s="10">
        <v>1.6</v>
      </c>
      <c r="G6" s="10">
        <v>0.2</v>
      </c>
      <c r="H6" s="10" t="s">
        <v>63</v>
      </c>
      <c r="I6" s="10">
        <v>0.05</v>
      </c>
      <c r="J6" s="18">
        <f t="shared" ref="J6:J37" si="0">F6/I6</f>
        <v>32</v>
      </c>
    </row>
    <row r="7" spans="1:10" ht="28.8" x14ac:dyDescent="0.3">
      <c r="A7" s="11" t="s">
        <v>64</v>
      </c>
      <c r="B7" s="10">
        <v>1.8</v>
      </c>
      <c r="C7" s="10" t="s">
        <v>60</v>
      </c>
      <c r="D7" s="10" t="s">
        <v>61</v>
      </c>
      <c r="E7" s="10" t="s">
        <v>65</v>
      </c>
      <c r="F7" s="10">
        <v>1.8</v>
      </c>
      <c r="G7" s="10">
        <v>0.5</v>
      </c>
      <c r="H7" s="10" t="s">
        <v>63</v>
      </c>
      <c r="I7" s="10">
        <v>0.06</v>
      </c>
      <c r="J7" s="18">
        <f t="shared" si="0"/>
        <v>30.000000000000004</v>
      </c>
    </row>
    <row r="8" spans="1:10" ht="28.8" x14ac:dyDescent="0.3">
      <c r="A8" s="11" t="s">
        <v>66</v>
      </c>
      <c r="B8" s="10">
        <v>1.8</v>
      </c>
      <c r="C8" s="10" t="s">
        <v>60</v>
      </c>
      <c r="D8" s="10" t="s">
        <v>61</v>
      </c>
      <c r="E8" s="10" t="s">
        <v>67</v>
      </c>
      <c r="F8" s="10">
        <v>2</v>
      </c>
      <c r="G8" s="10">
        <v>0.6</v>
      </c>
      <c r="H8" s="10" t="s">
        <v>63</v>
      </c>
      <c r="I8" s="10">
        <v>7.0000000000000007E-2</v>
      </c>
      <c r="J8" s="18">
        <f t="shared" si="0"/>
        <v>28.571428571428569</v>
      </c>
    </row>
    <row r="9" spans="1:10" ht="28.8" x14ac:dyDescent="0.3">
      <c r="A9" s="11" t="s">
        <v>68</v>
      </c>
      <c r="B9" s="10">
        <v>1.8</v>
      </c>
      <c r="C9" s="10" t="s">
        <v>60</v>
      </c>
      <c r="D9" s="10" t="s">
        <v>61</v>
      </c>
      <c r="E9" s="10" t="s">
        <v>69</v>
      </c>
      <c r="F9" s="10">
        <v>3</v>
      </c>
      <c r="G9" s="10">
        <v>0.3</v>
      </c>
      <c r="H9" s="10" t="s">
        <v>63</v>
      </c>
      <c r="I9" s="10">
        <v>0.08</v>
      </c>
      <c r="J9" s="18">
        <f t="shared" si="0"/>
        <v>37.5</v>
      </c>
    </row>
    <row r="10" spans="1:10" ht="28.8" x14ac:dyDescent="0.3">
      <c r="A10" s="11" t="s">
        <v>70</v>
      </c>
      <c r="B10" s="10">
        <v>1.8</v>
      </c>
      <c r="C10" s="10" t="s">
        <v>60</v>
      </c>
      <c r="D10" s="10" t="s">
        <v>61</v>
      </c>
      <c r="E10" s="10" t="s">
        <v>69</v>
      </c>
      <c r="F10" s="10">
        <v>4</v>
      </c>
      <c r="G10" s="10">
        <v>0.6</v>
      </c>
      <c r="H10" s="10" t="s">
        <v>63</v>
      </c>
      <c r="I10" s="10">
        <v>0.08</v>
      </c>
      <c r="J10" s="18">
        <f t="shared" si="0"/>
        <v>50</v>
      </c>
    </row>
    <row r="11" spans="1:10" ht="28.8" x14ac:dyDescent="0.3">
      <c r="A11" s="11" t="s">
        <v>71</v>
      </c>
      <c r="B11" s="10">
        <v>1.8</v>
      </c>
      <c r="C11" s="10" t="s">
        <v>60</v>
      </c>
      <c r="D11" s="10" t="s">
        <v>61</v>
      </c>
      <c r="E11" s="10" t="s">
        <v>69</v>
      </c>
      <c r="F11" s="10">
        <v>4</v>
      </c>
      <c r="G11" s="10">
        <v>0.6</v>
      </c>
      <c r="H11" s="10" t="s">
        <v>63</v>
      </c>
      <c r="I11" s="10">
        <v>0.08</v>
      </c>
      <c r="J11" s="18">
        <f t="shared" si="0"/>
        <v>50</v>
      </c>
    </row>
    <row r="12" spans="1:10" ht="28.8" x14ac:dyDescent="0.3">
      <c r="A12" s="11" t="s">
        <v>72</v>
      </c>
      <c r="B12" s="10">
        <v>1.8</v>
      </c>
      <c r="C12" s="10" t="s">
        <v>60</v>
      </c>
      <c r="D12" s="10" t="s">
        <v>73</v>
      </c>
      <c r="E12" s="10" t="s">
        <v>222</v>
      </c>
      <c r="F12" s="10">
        <v>6</v>
      </c>
      <c r="G12" s="10">
        <v>0.67</v>
      </c>
      <c r="H12" s="10" t="s">
        <v>63</v>
      </c>
      <c r="I12" s="10">
        <v>0.11</v>
      </c>
      <c r="J12" s="18">
        <f t="shared" si="0"/>
        <v>54.545454545454547</v>
      </c>
    </row>
    <row r="13" spans="1:10" ht="28.8" x14ac:dyDescent="0.3">
      <c r="A13" s="11" t="s">
        <v>74</v>
      </c>
      <c r="B13" s="10">
        <v>1.8</v>
      </c>
      <c r="C13" s="10" t="s">
        <v>75</v>
      </c>
      <c r="D13" s="10" t="s">
        <v>73</v>
      </c>
      <c r="E13" s="10" t="s">
        <v>222</v>
      </c>
      <c r="F13" s="10">
        <v>4.3</v>
      </c>
      <c r="G13" s="10">
        <v>0.95</v>
      </c>
      <c r="H13" s="10" t="s">
        <v>76</v>
      </c>
      <c r="I13" s="10">
        <v>0.11</v>
      </c>
      <c r="J13" s="18">
        <f t="shared" si="0"/>
        <v>39.090909090909086</v>
      </c>
    </row>
    <row r="14" spans="1:10" ht="28.8" x14ac:dyDescent="0.3">
      <c r="A14" s="11" t="s">
        <v>77</v>
      </c>
      <c r="B14" s="10">
        <v>1.8</v>
      </c>
      <c r="C14" s="10" t="s">
        <v>60</v>
      </c>
      <c r="D14" s="10" t="s">
        <v>73</v>
      </c>
      <c r="E14" s="10" t="s">
        <v>223</v>
      </c>
      <c r="F14" s="10">
        <v>9.5</v>
      </c>
      <c r="G14" s="10">
        <v>0.67</v>
      </c>
      <c r="H14" s="10" t="s">
        <v>63</v>
      </c>
      <c r="I14" s="10">
        <v>0.14000000000000001</v>
      </c>
      <c r="J14" s="18">
        <f t="shared" si="0"/>
        <v>67.857142857142847</v>
      </c>
    </row>
    <row r="15" spans="1:10" ht="28.8" x14ac:dyDescent="0.3">
      <c r="A15" s="11" t="s">
        <v>78</v>
      </c>
      <c r="B15" s="10">
        <v>1.8</v>
      </c>
      <c r="C15" s="10" t="s">
        <v>60</v>
      </c>
      <c r="D15" s="10" t="s">
        <v>73</v>
      </c>
      <c r="E15" s="10" t="s">
        <v>224</v>
      </c>
      <c r="F15" s="10">
        <v>12</v>
      </c>
      <c r="G15" s="10">
        <v>0.67</v>
      </c>
      <c r="H15" s="10" t="s">
        <v>63</v>
      </c>
      <c r="I15" s="10">
        <v>0.2</v>
      </c>
      <c r="J15" s="18">
        <f t="shared" si="0"/>
        <v>60</v>
      </c>
    </row>
    <row r="16" spans="1:10" ht="28.8" x14ac:dyDescent="0.3">
      <c r="A16" s="11" t="s">
        <v>79</v>
      </c>
      <c r="B16" s="10">
        <v>0.9</v>
      </c>
      <c r="C16" s="10" t="s">
        <v>60</v>
      </c>
      <c r="D16" s="10" t="s">
        <v>80</v>
      </c>
      <c r="E16" s="10" t="s">
        <v>225</v>
      </c>
      <c r="F16" s="10">
        <v>7</v>
      </c>
      <c r="G16" s="10">
        <v>0.5</v>
      </c>
      <c r="H16" s="10" t="s">
        <v>63</v>
      </c>
      <c r="I16" s="10">
        <v>0.08</v>
      </c>
      <c r="J16" s="18">
        <f t="shared" si="0"/>
        <v>87.5</v>
      </c>
    </row>
    <row r="17" spans="1:10" ht="28.8" x14ac:dyDescent="0.3">
      <c r="A17" s="11" t="s">
        <v>81</v>
      </c>
      <c r="B17" s="10">
        <v>0.9</v>
      </c>
      <c r="C17" s="10" t="s">
        <v>60</v>
      </c>
      <c r="D17" s="10" t="s">
        <v>80</v>
      </c>
      <c r="E17" s="10" t="s">
        <v>226</v>
      </c>
      <c r="F17" s="10">
        <v>12</v>
      </c>
      <c r="G17" s="10">
        <v>0.65</v>
      </c>
      <c r="H17" s="10" t="s">
        <v>63</v>
      </c>
      <c r="I17" s="10">
        <v>0.13</v>
      </c>
      <c r="J17" s="18">
        <f t="shared" si="0"/>
        <v>92.307692307692307</v>
      </c>
    </row>
    <row r="18" spans="1:10" ht="28.8" x14ac:dyDescent="0.3">
      <c r="A18" s="11" t="s">
        <v>82</v>
      </c>
      <c r="B18" s="10">
        <v>0.9</v>
      </c>
      <c r="C18" s="10" t="s">
        <v>60</v>
      </c>
      <c r="D18" s="10" t="s">
        <v>80</v>
      </c>
      <c r="E18" s="10" t="s">
        <v>83</v>
      </c>
      <c r="F18" s="10">
        <v>5</v>
      </c>
      <c r="G18" s="10">
        <v>0.5</v>
      </c>
      <c r="H18" s="10" t="s">
        <v>63</v>
      </c>
      <c r="I18" s="10">
        <v>0.09</v>
      </c>
      <c r="J18" s="18">
        <f t="shared" si="0"/>
        <v>55.555555555555557</v>
      </c>
    </row>
    <row r="19" spans="1:10" ht="28.8" x14ac:dyDescent="0.3">
      <c r="A19" s="11" t="s">
        <v>84</v>
      </c>
      <c r="B19" s="10">
        <v>0.9</v>
      </c>
      <c r="C19" s="10" t="s">
        <v>60</v>
      </c>
      <c r="D19" s="10" t="s">
        <v>80</v>
      </c>
      <c r="E19" s="10" t="s">
        <v>85</v>
      </c>
      <c r="F19" s="10">
        <v>11</v>
      </c>
      <c r="G19" s="10">
        <v>0.4</v>
      </c>
      <c r="H19" s="10" t="s">
        <v>63</v>
      </c>
      <c r="I19" s="10">
        <v>0.12</v>
      </c>
      <c r="J19" s="18">
        <f t="shared" si="0"/>
        <v>91.666666666666671</v>
      </c>
    </row>
    <row r="20" spans="1:10" ht="28.8" x14ac:dyDescent="0.3">
      <c r="A20" s="11" t="s">
        <v>86</v>
      </c>
      <c r="B20" s="10">
        <v>1.8</v>
      </c>
      <c r="C20" s="10" t="s">
        <v>60</v>
      </c>
      <c r="D20" s="10" t="s">
        <v>80</v>
      </c>
      <c r="E20" s="10" t="s">
        <v>87</v>
      </c>
      <c r="F20" s="10">
        <v>14</v>
      </c>
      <c r="G20" s="10">
        <v>0.4</v>
      </c>
      <c r="H20" s="10" t="s">
        <v>63</v>
      </c>
      <c r="I20" s="10">
        <v>0.12</v>
      </c>
      <c r="J20" s="18">
        <f t="shared" si="0"/>
        <v>116.66666666666667</v>
      </c>
    </row>
    <row r="21" spans="1:10" ht="28.8" x14ac:dyDescent="0.3">
      <c r="A21" s="11" t="s">
        <v>88</v>
      </c>
      <c r="B21" s="10">
        <v>1.8</v>
      </c>
      <c r="C21" s="10" t="s">
        <v>60</v>
      </c>
      <c r="D21" s="10" t="s">
        <v>80</v>
      </c>
      <c r="E21" s="10" t="s">
        <v>85</v>
      </c>
      <c r="F21" s="10">
        <v>12.5</v>
      </c>
      <c r="G21" s="10">
        <v>1</v>
      </c>
      <c r="H21" s="10" t="s">
        <v>63</v>
      </c>
      <c r="I21" s="10">
        <v>0.12</v>
      </c>
      <c r="J21" s="18">
        <f t="shared" si="0"/>
        <v>104.16666666666667</v>
      </c>
    </row>
    <row r="22" spans="1:10" ht="28.8" x14ac:dyDescent="0.3">
      <c r="A22" s="11" t="s">
        <v>89</v>
      </c>
      <c r="B22" s="10">
        <v>1.8</v>
      </c>
      <c r="C22" s="10" t="s">
        <v>75</v>
      </c>
      <c r="D22" s="10" t="s">
        <v>80</v>
      </c>
      <c r="E22" s="10" t="s">
        <v>90</v>
      </c>
      <c r="F22" s="10">
        <v>10</v>
      </c>
      <c r="G22" s="10">
        <v>0.4</v>
      </c>
      <c r="H22" s="10" t="s">
        <v>63</v>
      </c>
      <c r="I22" s="10">
        <v>0.17</v>
      </c>
      <c r="J22" s="18">
        <f t="shared" si="0"/>
        <v>58.823529411764703</v>
      </c>
    </row>
    <row r="23" spans="1:10" ht="28.8" x14ac:dyDescent="0.3">
      <c r="A23" s="11" t="s">
        <v>91</v>
      </c>
      <c r="B23" s="10">
        <v>1.8</v>
      </c>
      <c r="C23" s="10" t="s">
        <v>60</v>
      </c>
      <c r="D23" s="10" t="s">
        <v>80</v>
      </c>
      <c r="E23" s="10" t="s">
        <v>90</v>
      </c>
      <c r="F23" s="10">
        <v>18</v>
      </c>
      <c r="G23" s="10">
        <v>0.8</v>
      </c>
      <c r="H23" s="10" t="s">
        <v>63</v>
      </c>
      <c r="I23" s="10">
        <v>0.17</v>
      </c>
      <c r="J23" s="18">
        <f t="shared" si="0"/>
        <v>105.88235294117646</v>
      </c>
    </row>
    <row r="24" spans="1:10" ht="28.8" x14ac:dyDescent="0.3">
      <c r="A24" s="11" t="s">
        <v>92</v>
      </c>
      <c r="B24" s="10">
        <v>1.8</v>
      </c>
      <c r="C24" s="10" t="s">
        <v>60</v>
      </c>
      <c r="D24" s="10" t="s">
        <v>80</v>
      </c>
      <c r="E24" s="10" t="s">
        <v>93</v>
      </c>
      <c r="F24" s="10">
        <v>23</v>
      </c>
      <c r="G24" s="10">
        <v>0.5</v>
      </c>
      <c r="H24" s="10" t="s">
        <v>63</v>
      </c>
      <c r="I24" s="10">
        <v>0.2</v>
      </c>
      <c r="J24" s="18">
        <f t="shared" si="0"/>
        <v>115</v>
      </c>
    </row>
    <row r="25" spans="1:10" ht="28.8" x14ac:dyDescent="0.3">
      <c r="A25" s="11" t="s">
        <v>94</v>
      </c>
      <c r="B25" s="10">
        <v>1.8</v>
      </c>
      <c r="C25" s="10" t="s">
        <v>60</v>
      </c>
      <c r="D25" s="10" t="s">
        <v>80</v>
      </c>
      <c r="E25" s="10" t="s">
        <v>95</v>
      </c>
      <c r="F25" s="10">
        <v>40</v>
      </c>
      <c r="G25" s="10">
        <v>1.5</v>
      </c>
      <c r="H25" s="10" t="s">
        <v>63</v>
      </c>
      <c r="I25" s="10">
        <v>0.35</v>
      </c>
      <c r="J25" s="18">
        <f t="shared" si="0"/>
        <v>114.28571428571429</v>
      </c>
    </row>
    <row r="26" spans="1:10" ht="28.8" x14ac:dyDescent="0.3">
      <c r="A26" s="11" t="s">
        <v>96</v>
      </c>
      <c r="B26" s="10">
        <v>0.9</v>
      </c>
      <c r="C26" s="10" t="s">
        <v>60</v>
      </c>
      <c r="D26" s="10" t="s">
        <v>97</v>
      </c>
      <c r="E26" s="10" t="s">
        <v>98</v>
      </c>
      <c r="F26" s="10">
        <v>16</v>
      </c>
      <c r="G26" s="10">
        <v>0.6</v>
      </c>
      <c r="H26" s="10" t="s">
        <v>63</v>
      </c>
      <c r="I26" s="10">
        <v>0.12</v>
      </c>
      <c r="J26" s="18">
        <f t="shared" si="0"/>
        <v>133.33333333333334</v>
      </c>
    </row>
    <row r="27" spans="1:10" ht="28.8" x14ac:dyDescent="0.3">
      <c r="A27" s="11" t="s">
        <v>99</v>
      </c>
      <c r="B27" s="10">
        <v>0.9</v>
      </c>
      <c r="C27" s="10" t="s">
        <v>60</v>
      </c>
      <c r="D27" s="10" t="s">
        <v>97</v>
      </c>
      <c r="E27" s="10" t="s">
        <v>100</v>
      </c>
      <c r="F27" s="10">
        <v>18</v>
      </c>
      <c r="G27" s="10">
        <v>0.4</v>
      </c>
      <c r="H27" s="10" t="s">
        <v>63</v>
      </c>
      <c r="I27" s="10">
        <v>0.18</v>
      </c>
      <c r="J27" s="18">
        <f t="shared" si="0"/>
        <v>100</v>
      </c>
    </row>
    <row r="28" spans="1:10" ht="28.8" x14ac:dyDescent="0.3">
      <c r="A28" s="11" t="s">
        <v>101</v>
      </c>
      <c r="B28" s="10">
        <v>0.9</v>
      </c>
      <c r="C28" s="10" t="s">
        <v>60</v>
      </c>
      <c r="D28" s="10" t="s">
        <v>97</v>
      </c>
      <c r="E28" s="10" t="s">
        <v>102</v>
      </c>
      <c r="F28" s="10">
        <v>25</v>
      </c>
      <c r="G28" s="10">
        <v>0.3</v>
      </c>
      <c r="H28" s="10" t="s">
        <v>63</v>
      </c>
      <c r="I28" s="10">
        <v>0.25</v>
      </c>
      <c r="J28" s="18">
        <f t="shared" si="0"/>
        <v>100</v>
      </c>
    </row>
    <row r="29" spans="1:10" ht="28.8" x14ac:dyDescent="0.3">
      <c r="A29" s="11" t="s">
        <v>103</v>
      </c>
      <c r="B29" s="10">
        <v>1.8</v>
      </c>
      <c r="C29" s="10" t="s">
        <v>75</v>
      </c>
      <c r="D29" s="10" t="s">
        <v>97</v>
      </c>
      <c r="E29" s="10" t="s">
        <v>104</v>
      </c>
      <c r="F29" s="10">
        <v>8</v>
      </c>
      <c r="G29" s="10">
        <v>0.5</v>
      </c>
      <c r="H29" s="10" t="s">
        <v>63</v>
      </c>
      <c r="I29" s="10">
        <v>0.12</v>
      </c>
      <c r="J29" s="18">
        <f t="shared" si="0"/>
        <v>66.666666666666671</v>
      </c>
    </row>
    <row r="30" spans="1:10" ht="28.8" x14ac:dyDescent="0.3">
      <c r="A30" s="11" t="s">
        <v>105</v>
      </c>
      <c r="B30" s="10">
        <v>1.8</v>
      </c>
      <c r="C30" s="10" t="s">
        <v>60</v>
      </c>
      <c r="D30" s="10" t="s">
        <v>97</v>
      </c>
      <c r="E30" s="10" t="s">
        <v>104</v>
      </c>
      <c r="F30" s="10">
        <v>8.6999999999999993</v>
      </c>
      <c r="G30" s="10">
        <v>0.6</v>
      </c>
      <c r="H30" s="10" t="s">
        <v>63</v>
      </c>
      <c r="I30" s="10">
        <v>0.12</v>
      </c>
      <c r="J30" s="18">
        <f t="shared" si="0"/>
        <v>72.5</v>
      </c>
    </row>
    <row r="31" spans="1:10" ht="28.8" x14ac:dyDescent="0.3">
      <c r="A31" s="11" t="s">
        <v>106</v>
      </c>
      <c r="B31" s="10">
        <v>1.8</v>
      </c>
      <c r="C31" s="10" t="s">
        <v>60</v>
      </c>
      <c r="D31" s="10" t="s">
        <v>97</v>
      </c>
      <c r="E31" s="10" t="s">
        <v>100</v>
      </c>
      <c r="F31" s="10">
        <v>21</v>
      </c>
      <c r="G31" s="10">
        <v>0.4</v>
      </c>
      <c r="H31" s="10" t="s">
        <v>63</v>
      </c>
      <c r="I31" s="10">
        <v>0.18</v>
      </c>
      <c r="J31" s="18">
        <f t="shared" si="0"/>
        <v>116.66666666666667</v>
      </c>
    </row>
    <row r="32" spans="1:10" ht="28.8" x14ac:dyDescent="0.3">
      <c r="A32" s="11" t="s">
        <v>107</v>
      </c>
      <c r="B32" s="10">
        <v>1.8</v>
      </c>
      <c r="C32" s="10" t="s">
        <v>60</v>
      </c>
      <c r="D32" s="10" t="s">
        <v>97</v>
      </c>
      <c r="E32" s="10" t="s">
        <v>100</v>
      </c>
      <c r="F32" s="10">
        <v>18</v>
      </c>
      <c r="G32" s="10">
        <v>0.65</v>
      </c>
      <c r="H32" s="10" t="s">
        <v>63</v>
      </c>
      <c r="I32" s="10">
        <v>0.18</v>
      </c>
      <c r="J32" s="18">
        <f t="shared" si="0"/>
        <v>100</v>
      </c>
    </row>
    <row r="33" spans="1:10" ht="28.8" x14ac:dyDescent="0.3">
      <c r="A33" s="11" t="s">
        <v>108</v>
      </c>
      <c r="B33" s="10">
        <v>0.9</v>
      </c>
      <c r="C33" s="10" t="s">
        <v>60</v>
      </c>
      <c r="D33" s="10" t="s">
        <v>109</v>
      </c>
      <c r="E33" s="10" t="s">
        <v>110</v>
      </c>
      <c r="F33" s="10">
        <v>11</v>
      </c>
      <c r="G33" s="10">
        <v>1.2</v>
      </c>
      <c r="H33" s="10" t="s">
        <v>63</v>
      </c>
      <c r="I33" s="10">
        <v>0.15</v>
      </c>
      <c r="J33" s="18">
        <f t="shared" si="0"/>
        <v>73.333333333333343</v>
      </c>
    </row>
    <row r="34" spans="1:10" ht="28.8" x14ac:dyDescent="0.3">
      <c r="A34" s="11" t="s">
        <v>111</v>
      </c>
      <c r="B34" s="10">
        <v>0.9</v>
      </c>
      <c r="C34" s="10" t="s">
        <v>112</v>
      </c>
      <c r="D34" s="10" t="s">
        <v>109</v>
      </c>
      <c r="E34" s="10" t="s">
        <v>113</v>
      </c>
      <c r="F34" s="10">
        <v>23</v>
      </c>
      <c r="G34" s="10">
        <v>0.31</v>
      </c>
      <c r="H34" s="10" t="s">
        <v>63</v>
      </c>
      <c r="I34" s="10">
        <v>0.28000000000000003</v>
      </c>
      <c r="J34" s="18">
        <f t="shared" si="0"/>
        <v>82.142857142857139</v>
      </c>
    </row>
    <row r="35" spans="1:10" ht="28.8" x14ac:dyDescent="0.3">
      <c r="A35" s="11" t="s">
        <v>114</v>
      </c>
      <c r="B35" s="10">
        <v>0.9</v>
      </c>
      <c r="C35" s="10" t="s">
        <v>112</v>
      </c>
      <c r="D35" s="10" t="s">
        <v>109</v>
      </c>
      <c r="E35" s="10" t="s">
        <v>113</v>
      </c>
      <c r="F35" s="10">
        <v>23</v>
      </c>
      <c r="G35" s="10">
        <v>0.31</v>
      </c>
      <c r="H35" s="10" t="s">
        <v>76</v>
      </c>
      <c r="I35" s="10">
        <v>0.28000000000000003</v>
      </c>
      <c r="J35" s="18">
        <f t="shared" si="0"/>
        <v>82.142857142857139</v>
      </c>
    </row>
    <row r="36" spans="1:10" ht="28.8" x14ac:dyDescent="0.3">
      <c r="A36" s="11" t="s">
        <v>115</v>
      </c>
      <c r="B36" s="10">
        <v>0.9</v>
      </c>
      <c r="C36" s="10" t="s">
        <v>75</v>
      </c>
      <c r="D36" s="10" t="s">
        <v>109</v>
      </c>
      <c r="E36" s="10" t="s">
        <v>116</v>
      </c>
      <c r="F36" s="10">
        <v>25.9</v>
      </c>
      <c r="G36" s="10">
        <v>0.4</v>
      </c>
      <c r="H36" s="10" t="s">
        <v>63</v>
      </c>
      <c r="I36" s="10">
        <v>0.28000000000000003</v>
      </c>
      <c r="J36" s="18">
        <f t="shared" si="0"/>
        <v>92.499999999999986</v>
      </c>
    </row>
    <row r="37" spans="1:10" ht="28.8" x14ac:dyDescent="0.3">
      <c r="A37" s="11" t="s">
        <v>117</v>
      </c>
      <c r="B37" s="10">
        <v>0.9</v>
      </c>
      <c r="C37" s="10" t="s">
        <v>75</v>
      </c>
      <c r="D37" s="10" t="s">
        <v>109</v>
      </c>
      <c r="E37" s="10" t="s">
        <v>116</v>
      </c>
      <c r="F37" s="10">
        <v>25.9</v>
      </c>
      <c r="G37" s="10">
        <v>0.4</v>
      </c>
      <c r="H37" s="10" t="s">
        <v>76</v>
      </c>
      <c r="I37" s="10">
        <v>0.28000000000000003</v>
      </c>
      <c r="J37" s="18">
        <f t="shared" si="0"/>
        <v>92.499999999999986</v>
      </c>
    </row>
    <row r="38" spans="1:10" ht="28.8" x14ac:dyDescent="0.3">
      <c r="A38" s="11" t="s">
        <v>118</v>
      </c>
      <c r="B38" s="10">
        <v>0.9</v>
      </c>
      <c r="C38" s="10" t="s">
        <v>75</v>
      </c>
      <c r="D38" s="10" t="s">
        <v>109</v>
      </c>
      <c r="E38" s="10" t="s">
        <v>119</v>
      </c>
      <c r="F38" s="10">
        <v>26</v>
      </c>
      <c r="G38" s="10">
        <v>0.8</v>
      </c>
      <c r="H38" s="10" t="s">
        <v>63</v>
      </c>
      <c r="I38" s="10">
        <v>0.28000000000000003</v>
      </c>
      <c r="J38" s="18">
        <f t="shared" ref="J38:J69" si="1">F38/I38</f>
        <v>92.857142857142847</v>
      </c>
    </row>
    <row r="39" spans="1:10" ht="28.8" x14ac:dyDescent="0.3">
      <c r="A39" s="11" t="s">
        <v>120</v>
      </c>
      <c r="B39" s="10">
        <v>0.9</v>
      </c>
      <c r="C39" s="10" t="s">
        <v>60</v>
      </c>
      <c r="D39" s="10" t="s">
        <v>109</v>
      </c>
      <c r="E39" s="10" t="s">
        <v>119</v>
      </c>
      <c r="F39" s="10">
        <v>36</v>
      </c>
      <c r="G39" s="10">
        <v>0.9</v>
      </c>
      <c r="H39" s="10" t="s">
        <v>63</v>
      </c>
      <c r="I39" s="10">
        <v>0.28000000000000003</v>
      </c>
      <c r="J39" s="18">
        <f t="shared" si="1"/>
        <v>128.57142857142856</v>
      </c>
    </row>
    <row r="40" spans="1:10" ht="28.8" x14ac:dyDescent="0.3">
      <c r="A40" s="11" t="s">
        <v>121</v>
      </c>
      <c r="B40" s="10">
        <v>0.9</v>
      </c>
      <c r="C40" s="10" t="s">
        <v>75</v>
      </c>
      <c r="D40" s="10" t="s">
        <v>109</v>
      </c>
      <c r="E40" s="10" t="s">
        <v>122</v>
      </c>
      <c r="F40" s="10">
        <v>31.7</v>
      </c>
      <c r="G40" s="10">
        <v>0.4</v>
      </c>
      <c r="H40" s="10" t="s">
        <v>63</v>
      </c>
      <c r="I40" s="10">
        <v>0.35</v>
      </c>
      <c r="J40" s="18">
        <f t="shared" si="1"/>
        <v>90.571428571428569</v>
      </c>
    </row>
    <row r="41" spans="1:10" ht="28.8" x14ac:dyDescent="0.3">
      <c r="A41" s="11" t="s">
        <v>123</v>
      </c>
      <c r="B41" s="10">
        <v>0.9</v>
      </c>
      <c r="C41" s="10" t="s">
        <v>75</v>
      </c>
      <c r="D41" s="10" t="s">
        <v>109</v>
      </c>
      <c r="E41" s="10" t="s">
        <v>122</v>
      </c>
      <c r="F41" s="10">
        <v>31.7</v>
      </c>
      <c r="G41" s="10">
        <v>0.4</v>
      </c>
      <c r="H41" s="10" t="s">
        <v>76</v>
      </c>
      <c r="I41" s="10">
        <v>0.35</v>
      </c>
      <c r="J41" s="18">
        <f t="shared" si="1"/>
        <v>90.571428571428569</v>
      </c>
    </row>
    <row r="42" spans="1:10" ht="28.8" x14ac:dyDescent="0.3">
      <c r="A42" s="11" t="s">
        <v>124</v>
      </c>
      <c r="B42" s="10">
        <v>0.9</v>
      </c>
      <c r="C42" s="10" t="s">
        <v>60</v>
      </c>
      <c r="D42" s="10" t="s">
        <v>109</v>
      </c>
      <c r="E42" s="10" t="s">
        <v>122</v>
      </c>
      <c r="F42" s="10">
        <v>44</v>
      </c>
      <c r="G42" s="10">
        <v>1.68</v>
      </c>
      <c r="H42" s="10" t="s">
        <v>63</v>
      </c>
      <c r="I42" s="10">
        <v>0.35</v>
      </c>
      <c r="J42" s="18">
        <f t="shared" si="1"/>
        <v>125.71428571428572</v>
      </c>
    </row>
    <row r="43" spans="1:10" ht="28.8" x14ac:dyDescent="0.3">
      <c r="A43" s="11" t="s">
        <v>125</v>
      </c>
      <c r="B43" s="10">
        <v>0.9</v>
      </c>
      <c r="C43" s="10" t="s">
        <v>60</v>
      </c>
      <c r="D43" s="10" t="s">
        <v>109</v>
      </c>
      <c r="E43" s="10" t="s">
        <v>122</v>
      </c>
      <c r="F43" s="10">
        <v>46</v>
      </c>
      <c r="G43" s="10">
        <v>2</v>
      </c>
      <c r="H43" s="10" t="s">
        <v>63</v>
      </c>
      <c r="I43" s="10">
        <v>0.4</v>
      </c>
      <c r="J43" s="18">
        <f t="shared" si="1"/>
        <v>115</v>
      </c>
    </row>
    <row r="44" spans="1:10" ht="28.8" x14ac:dyDescent="0.3">
      <c r="A44" s="11" t="s">
        <v>126</v>
      </c>
      <c r="B44" s="10">
        <v>3.75</v>
      </c>
      <c r="C44" s="10" t="s">
        <v>127</v>
      </c>
      <c r="D44" s="10" t="s">
        <v>109</v>
      </c>
      <c r="E44" s="10" t="s">
        <v>116</v>
      </c>
      <c r="F44" s="10">
        <v>16</v>
      </c>
      <c r="G44" s="10">
        <v>1</v>
      </c>
      <c r="H44" s="10" t="s">
        <v>63</v>
      </c>
      <c r="I44" s="10">
        <v>0.3</v>
      </c>
      <c r="J44" s="18">
        <f t="shared" si="1"/>
        <v>53.333333333333336</v>
      </c>
    </row>
    <row r="45" spans="1:10" ht="28.8" x14ac:dyDescent="0.3">
      <c r="A45" s="11" t="s">
        <v>128</v>
      </c>
      <c r="B45" s="10">
        <v>3.75</v>
      </c>
      <c r="C45" s="10" t="s">
        <v>127</v>
      </c>
      <c r="D45" s="10" t="s">
        <v>109</v>
      </c>
      <c r="E45" s="10" t="s">
        <v>116</v>
      </c>
      <c r="F45" s="10">
        <v>20</v>
      </c>
      <c r="G45" s="10">
        <v>0.6</v>
      </c>
      <c r="H45" s="10" t="s">
        <v>63</v>
      </c>
      <c r="I45" s="10">
        <v>0.3</v>
      </c>
      <c r="J45" s="18">
        <f t="shared" si="1"/>
        <v>66.666666666666671</v>
      </c>
    </row>
    <row r="46" spans="1:10" ht="28.8" x14ac:dyDescent="0.3">
      <c r="A46" s="11" t="s">
        <v>129</v>
      </c>
      <c r="B46" s="10">
        <v>1.8</v>
      </c>
      <c r="C46" s="10" t="s">
        <v>60</v>
      </c>
      <c r="D46" s="10" t="s">
        <v>109</v>
      </c>
      <c r="E46" s="10" t="s">
        <v>130</v>
      </c>
      <c r="F46" s="10">
        <v>13</v>
      </c>
      <c r="G46" s="10">
        <v>1</v>
      </c>
      <c r="H46" s="10" t="s">
        <v>63</v>
      </c>
      <c r="I46" s="10">
        <v>0.15</v>
      </c>
      <c r="J46" s="18">
        <f t="shared" si="1"/>
        <v>86.666666666666671</v>
      </c>
    </row>
    <row r="47" spans="1:10" ht="28.8" x14ac:dyDescent="0.3">
      <c r="A47" s="11" t="s">
        <v>131</v>
      </c>
      <c r="B47" s="10">
        <v>1.8</v>
      </c>
      <c r="C47" s="10" t="s">
        <v>60</v>
      </c>
      <c r="D47" s="10" t="s">
        <v>109</v>
      </c>
      <c r="E47" s="10" t="s">
        <v>132</v>
      </c>
      <c r="F47" s="10">
        <v>18</v>
      </c>
      <c r="G47" s="10">
        <v>0.7</v>
      </c>
      <c r="H47" s="10" t="s">
        <v>63</v>
      </c>
      <c r="I47" s="10">
        <v>0.18</v>
      </c>
      <c r="J47" s="18">
        <f t="shared" si="1"/>
        <v>100</v>
      </c>
    </row>
    <row r="48" spans="1:10" ht="28.8" x14ac:dyDescent="0.3">
      <c r="A48" s="11" t="s">
        <v>133</v>
      </c>
      <c r="B48" s="10">
        <v>1.8</v>
      </c>
      <c r="C48" s="10" t="s">
        <v>75</v>
      </c>
      <c r="D48" s="10" t="s">
        <v>109</v>
      </c>
      <c r="E48" s="10" t="s">
        <v>134</v>
      </c>
      <c r="F48" s="10">
        <v>16</v>
      </c>
      <c r="G48" s="10">
        <v>0.31</v>
      </c>
      <c r="H48" s="10" t="s">
        <v>63</v>
      </c>
      <c r="I48" s="10">
        <v>0.22</v>
      </c>
      <c r="J48" s="18">
        <f t="shared" si="1"/>
        <v>72.727272727272734</v>
      </c>
    </row>
    <row r="49" spans="1:10" ht="28.8" x14ac:dyDescent="0.3">
      <c r="A49" s="11" t="s">
        <v>135</v>
      </c>
      <c r="B49" s="10">
        <v>1.8</v>
      </c>
      <c r="C49" s="10" t="s">
        <v>75</v>
      </c>
      <c r="D49" s="10" t="s">
        <v>109</v>
      </c>
      <c r="E49" s="10" t="s">
        <v>134</v>
      </c>
      <c r="F49" s="10">
        <v>16</v>
      </c>
      <c r="G49" s="10">
        <v>0.95</v>
      </c>
      <c r="H49" s="10" t="s">
        <v>63</v>
      </c>
      <c r="I49" s="10">
        <v>0.22</v>
      </c>
      <c r="J49" s="18">
        <f t="shared" si="1"/>
        <v>72.727272727272734</v>
      </c>
    </row>
    <row r="50" spans="1:10" ht="28.8" x14ac:dyDescent="0.3">
      <c r="A50" s="11" t="s">
        <v>136</v>
      </c>
      <c r="B50" s="10">
        <v>1.8</v>
      </c>
      <c r="C50" s="10" t="s">
        <v>60</v>
      </c>
      <c r="D50" s="10" t="s">
        <v>109</v>
      </c>
      <c r="E50" s="10" t="s">
        <v>134</v>
      </c>
      <c r="F50" s="10">
        <v>22</v>
      </c>
      <c r="G50" s="10">
        <v>1.33</v>
      </c>
      <c r="H50" s="10" t="s">
        <v>63</v>
      </c>
      <c r="I50" s="10">
        <v>0.22</v>
      </c>
      <c r="J50" s="18">
        <f t="shared" si="1"/>
        <v>100</v>
      </c>
    </row>
    <row r="51" spans="1:10" ht="28.8" x14ac:dyDescent="0.3">
      <c r="A51" s="11" t="s">
        <v>137</v>
      </c>
      <c r="B51" s="10">
        <v>1.8</v>
      </c>
      <c r="C51" s="10" t="s">
        <v>60</v>
      </c>
      <c r="D51" s="10" t="s">
        <v>109</v>
      </c>
      <c r="E51" s="10" t="s">
        <v>134</v>
      </c>
      <c r="F51" s="10">
        <v>22</v>
      </c>
      <c r="G51" s="10">
        <v>1.33</v>
      </c>
      <c r="H51" s="10" t="s">
        <v>76</v>
      </c>
      <c r="I51" s="10">
        <v>0.22</v>
      </c>
      <c r="J51" s="18">
        <f t="shared" si="1"/>
        <v>100</v>
      </c>
    </row>
    <row r="52" spans="1:10" ht="28.8" x14ac:dyDescent="0.3">
      <c r="A52" s="11" t="s">
        <v>138</v>
      </c>
      <c r="B52" s="10">
        <v>1.8</v>
      </c>
      <c r="C52" s="10" t="s">
        <v>60</v>
      </c>
      <c r="D52" s="10" t="s">
        <v>109</v>
      </c>
      <c r="E52" s="10" t="s">
        <v>134</v>
      </c>
      <c r="F52" s="10">
        <v>26</v>
      </c>
      <c r="G52" s="10">
        <v>0.4</v>
      </c>
      <c r="H52" s="10" t="s">
        <v>63</v>
      </c>
      <c r="I52" s="10">
        <v>0.22</v>
      </c>
      <c r="J52" s="18">
        <f t="shared" si="1"/>
        <v>118.18181818181819</v>
      </c>
    </row>
    <row r="53" spans="1:10" ht="28.8" x14ac:dyDescent="0.3">
      <c r="A53" s="11" t="s">
        <v>139</v>
      </c>
      <c r="B53" s="10">
        <v>1.8</v>
      </c>
      <c r="C53" s="10" t="s">
        <v>60</v>
      </c>
      <c r="D53" s="10" t="s">
        <v>109</v>
      </c>
      <c r="E53" s="10" t="s">
        <v>134</v>
      </c>
      <c r="F53" s="10">
        <v>26</v>
      </c>
      <c r="G53" s="10">
        <v>0.4</v>
      </c>
      <c r="H53" s="10" t="s">
        <v>76</v>
      </c>
      <c r="I53" s="10">
        <v>0.22</v>
      </c>
      <c r="J53" s="18">
        <f t="shared" si="1"/>
        <v>118.18181818181819</v>
      </c>
    </row>
    <row r="54" spans="1:10" ht="28.8" x14ac:dyDescent="0.3">
      <c r="A54" s="11" t="s">
        <v>140</v>
      </c>
      <c r="B54" s="10">
        <v>1.8</v>
      </c>
      <c r="C54" s="10" t="s">
        <v>75</v>
      </c>
      <c r="D54" s="10" t="s">
        <v>109</v>
      </c>
      <c r="E54" s="10" t="s">
        <v>116</v>
      </c>
      <c r="F54" s="10">
        <v>26</v>
      </c>
      <c r="G54" s="10">
        <v>0.4</v>
      </c>
      <c r="H54" s="10" t="s">
        <v>63</v>
      </c>
      <c r="I54" s="10">
        <v>0.28000000000000003</v>
      </c>
      <c r="J54" s="18">
        <f t="shared" si="1"/>
        <v>92.857142857142847</v>
      </c>
    </row>
    <row r="55" spans="1:10" ht="28.8" x14ac:dyDescent="0.3">
      <c r="A55" s="11" t="s">
        <v>141</v>
      </c>
      <c r="B55" s="10">
        <v>1.8</v>
      </c>
      <c r="C55" s="10" t="s">
        <v>60</v>
      </c>
      <c r="D55" s="10" t="s">
        <v>109</v>
      </c>
      <c r="E55" s="10" t="s">
        <v>116</v>
      </c>
      <c r="F55" s="10">
        <v>36</v>
      </c>
      <c r="G55" s="10">
        <v>0.85</v>
      </c>
      <c r="H55" s="10" t="s">
        <v>63</v>
      </c>
      <c r="I55" s="10">
        <v>0.28000000000000003</v>
      </c>
      <c r="J55" s="18">
        <f t="shared" si="1"/>
        <v>128.57142857142856</v>
      </c>
    </row>
    <row r="56" spans="1:10" ht="28.8" x14ac:dyDescent="0.3">
      <c r="A56" s="11" t="s">
        <v>142</v>
      </c>
      <c r="B56" s="10">
        <v>1.8</v>
      </c>
      <c r="C56" s="10" t="s">
        <v>60</v>
      </c>
      <c r="D56" s="10" t="s">
        <v>109</v>
      </c>
      <c r="E56" s="10" t="s">
        <v>116</v>
      </c>
      <c r="F56" s="10">
        <v>36</v>
      </c>
      <c r="G56" s="10">
        <v>1.68</v>
      </c>
      <c r="H56" s="10" t="s">
        <v>63</v>
      </c>
      <c r="I56" s="10">
        <v>0.28000000000000003</v>
      </c>
      <c r="J56" s="18">
        <f t="shared" si="1"/>
        <v>128.57142857142856</v>
      </c>
    </row>
    <row r="57" spans="1:10" ht="28.8" x14ac:dyDescent="0.3">
      <c r="A57" s="11" t="s">
        <v>143</v>
      </c>
      <c r="B57" s="10">
        <v>1.8</v>
      </c>
      <c r="C57" s="10" t="s">
        <v>60</v>
      </c>
      <c r="D57" s="10" t="s">
        <v>109</v>
      </c>
      <c r="E57" s="10" t="s">
        <v>116</v>
      </c>
      <c r="F57" s="10">
        <v>40</v>
      </c>
      <c r="G57" s="10">
        <v>0.4</v>
      </c>
      <c r="H57" s="10" t="s">
        <v>63</v>
      </c>
      <c r="I57" s="10">
        <v>0.28000000000000003</v>
      </c>
      <c r="J57" s="18">
        <f t="shared" si="1"/>
        <v>142.85714285714283</v>
      </c>
    </row>
    <row r="58" spans="1:10" ht="28.8" x14ac:dyDescent="0.3">
      <c r="A58" s="11" t="s">
        <v>144</v>
      </c>
      <c r="B58" s="10">
        <v>1.8</v>
      </c>
      <c r="C58" s="10" t="s">
        <v>60</v>
      </c>
      <c r="D58" s="10" t="s">
        <v>109</v>
      </c>
      <c r="E58" s="10" t="s">
        <v>119</v>
      </c>
      <c r="F58" s="10">
        <v>36</v>
      </c>
      <c r="G58" s="10">
        <v>0.28000000000000003</v>
      </c>
      <c r="H58" s="10" t="s">
        <v>63</v>
      </c>
      <c r="I58" s="10">
        <v>0.28000000000000003</v>
      </c>
      <c r="J58" s="18">
        <f t="shared" si="1"/>
        <v>128.57142857142856</v>
      </c>
    </row>
    <row r="59" spans="1:10" ht="28.8" x14ac:dyDescent="0.3">
      <c r="A59" s="11" t="s">
        <v>145</v>
      </c>
      <c r="B59" s="10">
        <v>1.8</v>
      </c>
      <c r="C59" s="10" t="s">
        <v>60</v>
      </c>
      <c r="D59" s="10" t="s">
        <v>109</v>
      </c>
      <c r="E59" s="10" t="s">
        <v>119</v>
      </c>
      <c r="F59" s="10">
        <v>45</v>
      </c>
      <c r="G59" s="10">
        <v>2</v>
      </c>
      <c r="H59" s="10" t="s">
        <v>63</v>
      </c>
      <c r="I59" s="10">
        <v>0.28000000000000003</v>
      </c>
      <c r="J59" s="18">
        <f t="shared" si="1"/>
        <v>160.71428571428569</v>
      </c>
    </row>
    <row r="60" spans="1:10" ht="28.8" x14ac:dyDescent="0.3">
      <c r="A60" s="11" t="s">
        <v>146</v>
      </c>
      <c r="B60" s="10">
        <v>1.8</v>
      </c>
      <c r="C60" s="10" t="s">
        <v>75</v>
      </c>
      <c r="D60" s="10" t="s">
        <v>109</v>
      </c>
      <c r="E60" s="10" t="s">
        <v>147</v>
      </c>
      <c r="F60" s="10">
        <v>32</v>
      </c>
      <c r="G60" s="10">
        <v>0.4</v>
      </c>
      <c r="H60" s="10" t="s">
        <v>63</v>
      </c>
      <c r="I60" s="10">
        <v>0.35</v>
      </c>
      <c r="J60" s="18">
        <f t="shared" si="1"/>
        <v>91.428571428571431</v>
      </c>
    </row>
    <row r="61" spans="1:10" ht="28.8" x14ac:dyDescent="0.3">
      <c r="A61" s="11" t="s">
        <v>148</v>
      </c>
      <c r="B61" s="10">
        <v>1.8</v>
      </c>
      <c r="C61" s="10" t="s">
        <v>60</v>
      </c>
      <c r="D61" s="10" t="s">
        <v>109</v>
      </c>
      <c r="E61" s="10" t="s">
        <v>122</v>
      </c>
      <c r="F61" s="10">
        <v>44</v>
      </c>
      <c r="G61" s="10">
        <v>0.85</v>
      </c>
      <c r="H61" s="10" t="s">
        <v>63</v>
      </c>
      <c r="I61" s="10">
        <v>0.35</v>
      </c>
      <c r="J61" s="18">
        <f t="shared" si="1"/>
        <v>125.71428571428572</v>
      </c>
    </row>
    <row r="62" spans="1:10" ht="28.8" x14ac:dyDescent="0.3">
      <c r="A62" s="11" t="s">
        <v>149</v>
      </c>
      <c r="B62" s="10">
        <v>1.8</v>
      </c>
      <c r="C62" s="10" t="s">
        <v>60</v>
      </c>
      <c r="D62" s="10" t="s">
        <v>109</v>
      </c>
      <c r="E62" s="10" t="s">
        <v>147</v>
      </c>
      <c r="F62" s="10">
        <v>44</v>
      </c>
      <c r="G62" s="10">
        <v>1.68</v>
      </c>
      <c r="H62" s="10" t="s">
        <v>76</v>
      </c>
      <c r="I62" s="10">
        <v>0.35</v>
      </c>
      <c r="J62" s="18">
        <f t="shared" si="1"/>
        <v>125.71428571428572</v>
      </c>
    </row>
    <row r="63" spans="1:10" ht="28.8" x14ac:dyDescent="0.3">
      <c r="A63" s="11" t="s">
        <v>150</v>
      </c>
      <c r="B63" s="10">
        <v>1.8</v>
      </c>
      <c r="C63" s="10" t="s">
        <v>60</v>
      </c>
      <c r="D63" s="10" t="s">
        <v>109</v>
      </c>
      <c r="E63" s="10" t="s">
        <v>147</v>
      </c>
      <c r="F63" s="10">
        <v>44</v>
      </c>
      <c r="G63" s="10">
        <v>1.68</v>
      </c>
      <c r="H63" s="10" t="s">
        <v>63</v>
      </c>
      <c r="I63" s="10">
        <v>0.35</v>
      </c>
      <c r="J63" s="18">
        <f t="shared" si="1"/>
        <v>125.71428571428572</v>
      </c>
    </row>
    <row r="64" spans="1:10" ht="28.8" x14ac:dyDescent="0.3">
      <c r="A64" s="11" t="s">
        <v>151</v>
      </c>
      <c r="B64" s="10">
        <v>1.8</v>
      </c>
      <c r="C64" s="10" t="s">
        <v>60</v>
      </c>
      <c r="D64" s="10" t="s">
        <v>109</v>
      </c>
      <c r="E64" s="10" t="s">
        <v>122</v>
      </c>
      <c r="F64" s="10">
        <v>59</v>
      </c>
      <c r="G64" s="10">
        <v>2</v>
      </c>
      <c r="H64" s="10" t="s">
        <v>63</v>
      </c>
      <c r="I64" s="10">
        <v>0.4</v>
      </c>
      <c r="J64" s="18">
        <f t="shared" si="1"/>
        <v>147.5</v>
      </c>
    </row>
    <row r="65" spans="1:10" ht="28.8" x14ac:dyDescent="0.3">
      <c r="A65" s="11" t="s">
        <v>152</v>
      </c>
      <c r="B65" s="10">
        <v>1.8</v>
      </c>
      <c r="C65" s="10" t="s">
        <v>60</v>
      </c>
      <c r="D65" s="10" t="s">
        <v>109</v>
      </c>
      <c r="E65" s="10" t="s">
        <v>153</v>
      </c>
      <c r="F65" s="10">
        <v>60</v>
      </c>
      <c r="G65" s="10">
        <v>0.64</v>
      </c>
      <c r="H65" s="10" t="s">
        <v>63</v>
      </c>
      <c r="I65" s="10">
        <v>0.45</v>
      </c>
      <c r="J65" s="18">
        <f t="shared" si="1"/>
        <v>133.33333333333334</v>
      </c>
    </row>
    <row r="66" spans="1:10" ht="28.8" x14ac:dyDescent="0.3">
      <c r="A66" s="11" t="s">
        <v>154</v>
      </c>
      <c r="B66" s="10">
        <v>1.8</v>
      </c>
      <c r="C66" s="10" t="s">
        <v>75</v>
      </c>
      <c r="D66" s="10" t="s">
        <v>109</v>
      </c>
      <c r="E66" s="10" t="s">
        <v>153</v>
      </c>
      <c r="F66" s="10">
        <v>65</v>
      </c>
      <c r="G66" s="10">
        <v>1.2</v>
      </c>
      <c r="H66" s="10" t="s">
        <v>63</v>
      </c>
      <c r="I66" s="10">
        <v>0.45</v>
      </c>
      <c r="J66" s="18">
        <f t="shared" si="1"/>
        <v>144.44444444444443</v>
      </c>
    </row>
    <row r="67" spans="1:10" ht="28.8" x14ac:dyDescent="0.3">
      <c r="A67" s="11" t="s">
        <v>155</v>
      </c>
      <c r="B67" s="10">
        <v>1.8</v>
      </c>
      <c r="C67" s="10" t="s">
        <v>60</v>
      </c>
      <c r="D67" s="10" t="s">
        <v>109</v>
      </c>
      <c r="E67" s="10" t="s">
        <v>153</v>
      </c>
      <c r="F67" s="10">
        <v>65</v>
      </c>
      <c r="G67" s="10">
        <v>2.1</v>
      </c>
      <c r="H67" s="10" t="s">
        <v>63</v>
      </c>
      <c r="I67" s="10">
        <v>0.45</v>
      </c>
      <c r="J67" s="18">
        <f t="shared" si="1"/>
        <v>144.44444444444443</v>
      </c>
    </row>
    <row r="68" spans="1:10" ht="28.8" x14ac:dyDescent="0.3">
      <c r="A68" s="11" t="s">
        <v>156</v>
      </c>
      <c r="B68" s="10">
        <v>0.9</v>
      </c>
      <c r="C68" s="10" t="s">
        <v>60</v>
      </c>
      <c r="D68" s="10" t="s">
        <v>157</v>
      </c>
      <c r="E68" s="10" t="s">
        <v>158</v>
      </c>
      <c r="F68" s="10">
        <v>90</v>
      </c>
      <c r="G68" s="10">
        <v>0.38</v>
      </c>
      <c r="H68" s="10" t="s">
        <v>63</v>
      </c>
      <c r="I68" s="10">
        <v>0.6</v>
      </c>
      <c r="J68" s="18">
        <f t="shared" si="1"/>
        <v>150</v>
      </c>
    </row>
    <row r="69" spans="1:10" ht="28.8" x14ac:dyDescent="0.3">
      <c r="A69" s="11" t="s">
        <v>159</v>
      </c>
      <c r="B69" s="10">
        <v>0.9</v>
      </c>
      <c r="C69" s="10" t="s">
        <v>60</v>
      </c>
      <c r="D69" s="10" t="s">
        <v>157</v>
      </c>
      <c r="E69" s="10" t="s">
        <v>160</v>
      </c>
      <c r="F69" s="10">
        <v>126</v>
      </c>
      <c r="G69" s="10">
        <v>2.8</v>
      </c>
      <c r="H69" s="10" t="s">
        <v>63</v>
      </c>
      <c r="I69" s="10">
        <v>0.7</v>
      </c>
      <c r="J69" s="18">
        <f t="shared" si="1"/>
        <v>180</v>
      </c>
    </row>
    <row r="70" spans="1:10" ht="28.8" x14ac:dyDescent="0.3">
      <c r="A70" s="11" t="s">
        <v>161</v>
      </c>
      <c r="B70" s="10">
        <v>1.8</v>
      </c>
      <c r="C70" s="10" t="s">
        <v>60</v>
      </c>
      <c r="D70" s="10" t="s">
        <v>157</v>
      </c>
      <c r="E70" s="10" t="s">
        <v>162</v>
      </c>
      <c r="F70" s="10">
        <v>70</v>
      </c>
      <c r="G70" s="10">
        <v>2.8</v>
      </c>
      <c r="H70" s="10" t="s">
        <v>63</v>
      </c>
      <c r="I70" s="10">
        <v>0.6</v>
      </c>
      <c r="J70" s="18">
        <f t="shared" ref="J70:J101" si="2">F70/I70</f>
        <v>116.66666666666667</v>
      </c>
    </row>
    <row r="71" spans="1:10" ht="28.8" x14ac:dyDescent="0.3">
      <c r="A71" s="11" t="s">
        <v>163</v>
      </c>
      <c r="B71" s="10">
        <v>1.8</v>
      </c>
      <c r="C71" s="10" t="s">
        <v>60</v>
      </c>
      <c r="D71" s="10" t="s">
        <v>157</v>
      </c>
      <c r="E71" s="10" t="s">
        <v>164</v>
      </c>
      <c r="F71" s="10">
        <v>60</v>
      </c>
      <c r="G71" s="10">
        <v>0.88</v>
      </c>
      <c r="H71" s="10" t="s">
        <v>63</v>
      </c>
      <c r="I71" s="10">
        <v>0.5</v>
      </c>
      <c r="J71" s="18">
        <f t="shared" si="2"/>
        <v>120</v>
      </c>
    </row>
    <row r="72" spans="1:10" ht="28.8" x14ac:dyDescent="0.3">
      <c r="A72" s="11" t="s">
        <v>165</v>
      </c>
      <c r="B72" s="10">
        <v>1.8</v>
      </c>
      <c r="C72" s="10" t="s">
        <v>75</v>
      </c>
      <c r="D72" s="10" t="s">
        <v>157</v>
      </c>
      <c r="E72" s="10" t="s">
        <v>166</v>
      </c>
      <c r="F72" s="10">
        <v>39</v>
      </c>
      <c r="G72" s="10">
        <v>1</v>
      </c>
      <c r="H72" s="10" t="s">
        <v>63</v>
      </c>
      <c r="I72" s="10">
        <v>0.45</v>
      </c>
      <c r="J72" s="18">
        <f t="shared" si="2"/>
        <v>86.666666666666671</v>
      </c>
    </row>
    <row r="73" spans="1:10" ht="28.8" x14ac:dyDescent="0.3">
      <c r="A73" s="11" t="s">
        <v>167</v>
      </c>
      <c r="B73" s="10">
        <v>1.8</v>
      </c>
      <c r="C73" s="10" t="s">
        <v>60</v>
      </c>
      <c r="D73" s="10" t="s">
        <v>157</v>
      </c>
      <c r="E73" s="10" t="s">
        <v>166</v>
      </c>
      <c r="F73" s="10">
        <v>55</v>
      </c>
      <c r="G73" s="10">
        <v>2.8</v>
      </c>
      <c r="H73" s="10" t="s">
        <v>63</v>
      </c>
      <c r="I73" s="10">
        <v>0.45</v>
      </c>
      <c r="J73" s="18">
        <f t="shared" si="2"/>
        <v>122.22222222222221</v>
      </c>
    </row>
    <row r="74" spans="1:10" ht="28.8" x14ac:dyDescent="0.3">
      <c r="A74" s="11" t="s">
        <v>168</v>
      </c>
      <c r="B74" s="10">
        <v>1.8</v>
      </c>
      <c r="C74" s="10" t="s">
        <v>60</v>
      </c>
      <c r="D74" s="10" t="s">
        <v>157</v>
      </c>
      <c r="E74" s="10" t="s">
        <v>166</v>
      </c>
      <c r="F74" s="10">
        <v>55</v>
      </c>
      <c r="G74" s="10">
        <v>2.8</v>
      </c>
      <c r="H74" s="10" t="s">
        <v>76</v>
      </c>
      <c r="I74" s="10">
        <v>0.45</v>
      </c>
      <c r="J74" s="18">
        <f t="shared" si="2"/>
        <v>122.22222222222221</v>
      </c>
    </row>
    <row r="75" spans="1:10" ht="28.8" x14ac:dyDescent="0.3">
      <c r="A75" s="11" t="s">
        <v>169</v>
      </c>
      <c r="B75" s="10">
        <v>1.8</v>
      </c>
      <c r="C75" s="10" t="s">
        <v>170</v>
      </c>
      <c r="D75" s="10" t="s">
        <v>157</v>
      </c>
      <c r="E75" s="10" t="s">
        <v>171</v>
      </c>
      <c r="F75" s="10">
        <v>60</v>
      </c>
      <c r="G75" s="10">
        <v>1.4</v>
      </c>
      <c r="H75" s="10" t="s">
        <v>63</v>
      </c>
      <c r="I75" s="10">
        <v>0.5</v>
      </c>
      <c r="J75" s="18">
        <f t="shared" si="2"/>
        <v>120</v>
      </c>
    </row>
    <row r="76" spans="1:10" ht="28.8" x14ac:dyDescent="0.3">
      <c r="A76" s="11" t="s">
        <v>172</v>
      </c>
      <c r="B76" s="10">
        <v>1.8</v>
      </c>
      <c r="C76" s="10" t="s">
        <v>60</v>
      </c>
      <c r="D76" s="10" t="s">
        <v>157</v>
      </c>
      <c r="E76" s="10" t="s">
        <v>160</v>
      </c>
      <c r="F76" s="10">
        <v>90</v>
      </c>
      <c r="G76" s="10">
        <v>2</v>
      </c>
      <c r="H76" s="10" t="s">
        <v>63</v>
      </c>
      <c r="I76" s="10">
        <v>0.65</v>
      </c>
      <c r="J76" s="18">
        <f t="shared" si="2"/>
        <v>138.46153846153845</v>
      </c>
    </row>
    <row r="77" spans="1:10" ht="28.8" x14ac:dyDescent="0.3">
      <c r="A77" s="11" t="s">
        <v>173</v>
      </c>
      <c r="B77" s="10">
        <v>1.8</v>
      </c>
      <c r="C77" s="10" t="s">
        <v>75</v>
      </c>
      <c r="D77" s="10" t="s">
        <v>157</v>
      </c>
      <c r="E77" s="10" t="s">
        <v>160</v>
      </c>
      <c r="F77" s="10">
        <v>90</v>
      </c>
      <c r="G77" s="10">
        <v>1</v>
      </c>
      <c r="H77" s="10" t="s">
        <v>63</v>
      </c>
      <c r="I77" s="10">
        <v>0.7</v>
      </c>
      <c r="J77" s="18">
        <f t="shared" si="2"/>
        <v>128.57142857142858</v>
      </c>
    </row>
    <row r="78" spans="1:10" ht="28.8" x14ac:dyDescent="0.3">
      <c r="A78" s="11" t="s">
        <v>174</v>
      </c>
      <c r="B78" s="10">
        <v>1.8</v>
      </c>
      <c r="C78" s="10" t="s">
        <v>170</v>
      </c>
      <c r="D78" s="10" t="s">
        <v>157</v>
      </c>
      <c r="E78" s="10" t="s">
        <v>160</v>
      </c>
      <c r="F78" s="10">
        <v>128</v>
      </c>
      <c r="G78" s="10">
        <v>1</v>
      </c>
      <c r="H78" s="10" t="s">
        <v>76</v>
      </c>
      <c r="I78" s="10">
        <v>0.7</v>
      </c>
      <c r="J78" s="18">
        <f t="shared" si="2"/>
        <v>182.85714285714286</v>
      </c>
    </row>
    <row r="79" spans="1:10" ht="28.8" x14ac:dyDescent="0.3">
      <c r="A79" s="11" t="s">
        <v>175</v>
      </c>
      <c r="B79" s="10">
        <v>1.8</v>
      </c>
      <c r="C79" s="10" t="s">
        <v>170</v>
      </c>
      <c r="D79" s="10" t="s">
        <v>157</v>
      </c>
      <c r="E79" s="10" t="s">
        <v>160</v>
      </c>
      <c r="F79" s="10">
        <v>126</v>
      </c>
      <c r="G79" s="10" t="s">
        <v>227</v>
      </c>
      <c r="H79" s="10" t="s">
        <v>76</v>
      </c>
      <c r="I79" s="10">
        <v>0.7</v>
      </c>
      <c r="J79" s="18">
        <f t="shared" si="2"/>
        <v>180</v>
      </c>
    </row>
    <row r="80" spans="1:10" ht="28.8" x14ac:dyDescent="0.3">
      <c r="A80" s="11" t="s">
        <v>176</v>
      </c>
      <c r="B80" s="10">
        <v>1.8</v>
      </c>
      <c r="C80" s="10" t="s">
        <v>60</v>
      </c>
      <c r="D80" s="10" t="s">
        <v>157</v>
      </c>
      <c r="E80" s="10" t="s">
        <v>160</v>
      </c>
      <c r="F80" s="10">
        <v>116</v>
      </c>
      <c r="G80" s="10">
        <v>1.5</v>
      </c>
      <c r="H80" s="10" t="s">
        <v>63</v>
      </c>
      <c r="I80" s="10">
        <v>0.7</v>
      </c>
      <c r="J80" s="18">
        <f t="shared" si="2"/>
        <v>165.71428571428572</v>
      </c>
    </row>
    <row r="81" spans="1:10" ht="28.8" x14ac:dyDescent="0.3">
      <c r="A81" s="11" t="s">
        <v>177</v>
      </c>
      <c r="B81" s="10">
        <v>1.8</v>
      </c>
      <c r="C81" s="10" t="s">
        <v>60</v>
      </c>
      <c r="D81" s="10" t="s">
        <v>157</v>
      </c>
      <c r="E81" s="10" t="s">
        <v>160</v>
      </c>
      <c r="F81" s="10">
        <v>126</v>
      </c>
      <c r="G81" s="10">
        <v>2.8</v>
      </c>
      <c r="H81" s="10" t="s">
        <v>63</v>
      </c>
      <c r="I81" s="10">
        <v>0.7</v>
      </c>
      <c r="J81" s="18">
        <f t="shared" si="2"/>
        <v>180</v>
      </c>
    </row>
    <row r="82" spans="1:10" ht="28.8" x14ac:dyDescent="0.3">
      <c r="A82" s="11" t="s">
        <v>178</v>
      </c>
      <c r="B82" s="10">
        <v>1.8</v>
      </c>
      <c r="C82" s="10" t="s">
        <v>75</v>
      </c>
      <c r="D82" s="10" t="s">
        <v>157</v>
      </c>
      <c r="E82" s="10" t="s">
        <v>179</v>
      </c>
      <c r="F82" s="10">
        <v>135</v>
      </c>
      <c r="G82" s="10">
        <v>1</v>
      </c>
      <c r="H82" s="10" t="s">
        <v>63</v>
      </c>
      <c r="I82" s="10">
        <v>1</v>
      </c>
      <c r="J82" s="18">
        <f t="shared" si="2"/>
        <v>135</v>
      </c>
    </row>
    <row r="83" spans="1:10" ht="28.8" x14ac:dyDescent="0.3">
      <c r="A83" s="11" t="s">
        <v>180</v>
      </c>
      <c r="B83" s="10">
        <v>1.8</v>
      </c>
      <c r="C83" s="10" t="s">
        <v>60</v>
      </c>
      <c r="D83" s="10" t="s">
        <v>157</v>
      </c>
      <c r="E83" s="10" t="s">
        <v>179</v>
      </c>
      <c r="F83" s="10">
        <v>190</v>
      </c>
      <c r="G83" s="10" t="s">
        <v>227</v>
      </c>
      <c r="H83" s="10" t="s">
        <v>76</v>
      </c>
      <c r="I83" s="10">
        <v>1</v>
      </c>
      <c r="J83" s="18">
        <f t="shared" si="2"/>
        <v>190</v>
      </c>
    </row>
    <row r="84" spans="1:10" ht="28.8" x14ac:dyDescent="0.3">
      <c r="A84" s="11" t="s">
        <v>181</v>
      </c>
      <c r="B84" s="10">
        <v>1.8</v>
      </c>
      <c r="C84" s="10" t="s">
        <v>60</v>
      </c>
      <c r="D84" s="10" t="s">
        <v>157</v>
      </c>
      <c r="E84" s="10" t="s">
        <v>179</v>
      </c>
      <c r="F84" s="10">
        <v>189</v>
      </c>
      <c r="G84" s="10">
        <v>2.8</v>
      </c>
      <c r="H84" s="10" t="s">
        <v>63</v>
      </c>
      <c r="I84" s="10">
        <v>1</v>
      </c>
      <c r="J84" s="18">
        <f t="shared" si="2"/>
        <v>189</v>
      </c>
    </row>
    <row r="85" spans="1:10" ht="28.8" x14ac:dyDescent="0.3">
      <c r="A85" s="11" t="s">
        <v>182</v>
      </c>
      <c r="B85" s="10">
        <v>1.8</v>
      </c>
      <c r="C85" s="10" t="s">
        <v>183</v>
      </c>
      <c r="D85" s="10" t="s">
        <v>157</v>
      </c>
      <c r="E85" s="10" t="s">
        <v>184</v>
      </c>
      <c r="F85" s="10">
        <v>200</v>
      </c>
      <c r="G85" s="10">
        <v>4</v>
      </c>
      <c r="H85" s="10" t="s">
        <v>63</v>
      </c>
      <c r="I85" s="10">
        <v>1.1299999999999999</v>
      </c>
      <c r="J85" s="18">
        <f t="shared" si="2"/>
        <v>176.9911504424779</v>
      </c>
    </row>
    <row r="86" spans="1:10" ht="28.8" x14ac:dyDescent="0.3">
      <c r="A86" s="11" t="s">
        <v>185</v>
      </c>
      <c r="B86" s="10">
        <v>1.8</v>
      </c>
      <c r="C86" s="10" t="s">
        <v>170</v>
      </c>
      <c r="D86" s="10" t="s">
        <v>157</v>
      </c>
      <c r="E86" s="10" t="s">
        <v>184</v>
      </c>
      <c r="F86" s="10">
        <v>200</v>
      </c>
      <c r="G86" s="10">
        <v>4</v>
      </c>
      <c r="H86" s="10" t="s">
        <v>76</v>
      </c>
      <c r="I86" s="10">
        <v>1.1299999999999999</v>
      </c>
      <c r="J86" s="18">
        <f t="shared" si="2"/>
        <v>176.9911504424779</v>
      </c>
    </row>
    <row r="87" spans="1:10" ht="28.8" x14ac:dyDescent="0.3">
      <c r="A87" s="11" t="s">
        <v>186</v>
      </c>
      <c r="B87" s="10">
        <v>1.8</v>
      </c>
      <c r="C87" s="10" t="s">
        <v>60</v>
      </c>
      <c r="D87" s="10" t="s">
        <v>157</v>
      </c>
      <c r="E87" s="10" t="s">
        <v>187</v>
      </c>
      <c r="F87" s="10">
        <v>240</v>
      </c>
      <c r="G87" s="10">
        <v>1.8</v>
      </c>
      <c r="H87" s="10" t="s">
        <v>63</v>
      </c>
      <c r="I87" s="10">
        <v>1.25</v>
      </c>
      <c r="J87" s="18">
        <f t="shared" si="2"/>
        <v>192</v>
      </c>
    </row>
    <row r="88" spans="1:10" ht="28.8" x14ac:dyDescent="0.3">
      <c r="A88" s="11" t="s">
        <v>188</v>
      </c>
      <c r="B88" s="10">
        <v>1.8</v>
      </c>
      <c r="C88" s="10" t="s">
        <v>170</v>
      </c>
      <c r="D88" s="10" t="s">
        <v>157</v>
      </c>
      <c r="E88" s="10" t="s">
        <v>189</v>
      </c>
      <c r="F88" s="10">
        <v>250</v>
      </c>
      <c r="G88" s="10" t="s">
        <v>228</v>
      </c>
      <c r="H88" s="10" t="s">
        <v>76</v>
      </c>
      <c r="I88" s="10">
        <v>1.6</v>
      </c>
      <c r="J88" s="18">
        <f t="shared" si="2"/>
        <v>156.25</v>
      </c>
    </row>
    <row r="89" spans="1:10" ht="28.8" x14ac:dyDescent="0.3">
      <c r="A89" s="11" t="s">
        <v>190</v>
      </c>
      <c r="B89" s="10">
        <v>1.8</v>
      </c>
      <c r="C89" s="10" t="s">
        <v>60</v>
      </c>
      <c r="D89" s="10" t="s">
        <v>157</v>
      </c>
      <c r="E89" s="10" t="s">
        <v>189</v>
      </c>
      <c r="F89" s="10">
        <v>280</v>
      </c>
      <c r="G89" s="10">
        <v>4.2</v>
      </c>
      <c r="H89" s="10" t="s">
        <v>63</v>
      </c>
      <c r="I89" s="10">
        <v>1.6</v>
      </c>
      <c r="J89" s="18">
        <f t="shared" si="2"/>
        <v>175</v>
      </c>
    </row>
    <row r="90" spans="1:10" ht="28.8" x14ac:dyDescent="0.3">
      <c r="A90" s="11" t="s">
        <v>191</v>
      </c>
      <c r="B90" s="10">
        <v>1.2</v>
      </c>
      <c r="C90" s="10" t="s">
        <v>75</v>
      </c>
      <c r="D90" s="10" t="s">
        <v>157</v>
      </c>
      <c r="E90" s="10" t="s">
        <v>192</v>
      </c>
      <c r="F90" s="10">
        <v>120</v>
      </c>
      <c r="G90" s="10">
        <v>5.2</v>
      </c>
      <c r="H90" s="10" t="s">
        <v>76</v>
      </c>
      <c r="I90" s="10">
        <v>1.1000000000000001</v>
      </c>
      <c r="J90" s="18">
        <f t="shared" si="2"/>
        <v>109.09090909090908</v>
      </c>
    </row>
    <row r="91" spans="1:10" ht="28.8" x14ac:dyDescent="0.3">
      <c r="A91" s="11" t="s">
        <v>193</v>
      </c>
      <c r="B91" s="10">
        <v>1.8</v>
      </c>
      <c r="C91" s="10" t="s">
        <v>75</v>
      </c>
      <c r="D91" s="10" t="s">
        <v>194</v>
      </c>
      <c r="E91" s="10" t="s">
        <v>195</v>
      </c>
      <c r="F91" s="10">
        <v>120</v>
      </c>
      <c r="G91" s="10">
        <v>2</v>
      </c>
      <c r="H91" s="10" t="s">
        <v>63</v>
      </c>
      <c r="I91" s="10">
        <v>0.77</v>
      </c>
      <c r="J91" s="18">
        <f t="shared" si="2"/>
        <v>155.84415584415584</v>
      </c>
    </row>
    <row r="92" spans="1:10" ht="28.8" x14ac:dyDescent="0.3">
      <c r="A92" s="11" t="s">
        <v>196</v>
      </c>
      <c r="B92" s="10">
        <v>1.8</v>
      </c>
      <c r="C92" s="10" t="s">
        <v>170</v>
      </c>
      <c r="D92" s="10" t="s">
        <v>194</v>
      </c>
      <c r="E92" s="10" t="s">
        <v>197</v>
      </c>
      <c r="F92" s="10">
        <v>310</v>
      </c>
      <c r="G92" s="10">
        <v>4.2</v>
      </c>
      <c r="H92" s="10" t="s">
        <v>76</v>
      </c>
      <c r="I92" s="10">
        <v>1.34</v>
      </c>
      <c r="J92" s="18">
        <f t="shared" si="2"/>
        <v>231.34328358208953</v>
      </c>
    </row>
    <row r="93" spans="1:10" ht="28.8" x14ac:dyDescent="0.3">
      <c r="A93" s="11" t="s">
        <v>198</v>
      </c>
      <c r="B93" s="10">
        <v>1.8</v>
      </c>
      <c r="C93" s="10" t="s">
        <v>60</v>
      </c>
      <c r="D93" s="10" t="s">
        <v>194</v>
      </c>
      <c r="E93" s="10" t="s">
        <v>199</v>
      </c>
      <c r="F93" s="10">
        <v>230</v>
      </c>
      <c r="G93" s="10">
        <v>4</v>
      </c>
      <c r="H93" s="10" t="s">
        <v>76</v>
      </c>
      <c r="I93" s="10">
        <v>1.34</v>
      </c>
      <c r="J93" s="18">
        <f t="shared" si="2"/>
        <v>171.64179104477611</v>
      </c>
    </row>
    <row r="94" spans="1:10" ht="28.8" x14ac:dyDescent="0.3">
      <c r="A94" s="11" t="s">
        <v>200</v>
      </c>
      <c r="B94" s="10">
        <v>1.8</v>
      </c>
      <c r="C94" s="10" t="s">
        <v>75</v>
      </c>
      <c r="D94" s="10" t="s">
        <v>201</v>
      </c>
      <c r="E94" s="10" t="s">
        <v>202</v>
      </c>
      <c r="F94" s="10">
        <v>220</v>
      </c>
      <c r="G94" s="10">
        <v>2</v>
      </c>
      <c r="H94" s="10" t="s">
        <v>76</v>
      </c>
      <c r="I94" s="10">
        <v>1.7</v>
      </c>
      <c r="J94" s="18">
        <f t="shared" si="2"/>
        <v>129.41176470588235</v>
      </c>
    </row>
    <row r="95" spans="1:10" ht="28.8" x14ac:dyDescent="0.3">
      <c r="A95" s="11" t="s">
        <v>203</v>
      </c>
      <c r="B95" s="10">
        <v>1.8</v>
      </c>
      <c r="C95" s="10" t="s">
        <v>60</v>
      </c>
      <c r="D95" s="10" t="s">
        <v>201</v>
      </c>
      <c r="E95" s="10" t="s">
        <v>204</v>
      </c>
      <c r="F95" s="10">
        <v>340</v>
      </c>
      <c r="G95" s="10">
        <v>4</v>
      </c>
      <c r="H95" s="10" t="s">
        <v>63</v>
      </c>
      <c r="I95" s="10">
        <v>1.8</v>
      </c>
      <c r="J95" s="18">
        <f t="shared" si="2"/>
        <v>188.88888888888889</v>
      </c>
    </row>
    <row r="96" spans="1:10" ht="28.8" x14ac:dyDescent="0.3">
      <c r="A96" s="11" t="s">
        <v>205</v>
      </c>
      <c r="B96" s="10">
        <v>1.8</v>
      </c>
      <c r="C96" s="10" t="s">
        <v>60</v>
      </c>
      <c r="D96" s="10" t="s">
        <v>201</v>
      </c>
      <c r="E96" s="10" t="s">
        <v>206</v>
      </c>
      <c r="F96" s="10">
        <v>450</v>
      </c>
      <c r="G96" s="10">
        <v>5.5</v>
      </c>
      <c r="H96" s="10" t="s">
        <v>63</v>
      </c>
      <c r="I96" s="10">
        <v>2.2999999999999998</v>
      </c>
      <c r="J96" s="18">
        <f t="shared" si="2"/>
        <v>195.6521739130435</v>
      </c>
    </row>
    <row r="97" spans="1:10" ht="28.8" x14ac:dyDescent="0.3">
      <c r="A97" s="11" t="s">
        <v>207</v>
      </c>
      <c r="B97" s="10">
        <v>1.8</v>
      </c>
      <c r="C97" s="10" t="s">
        <v>183</v>
      </c>
      <c r="D97" s="10" t="s">
        <v>201</v>
      </c>
      <c r="E97" s="10" t="s">
        <v>208</v>
      </c>
      <c r="F97" s="10">
        <v>500</v>
      </c>
      <c r="G97" s="10">
        <v>3</v>
      </c>
      <c r="H97" s="10" t="s">
        <v>63</v>
      </c>
      <c r="I97" s="10">
        <v>2.8</v>
      </c>
      <c r="J97" s="18">
        <f t="shared" si="2"/>
        <v>178.57142857142858</v>
      </c>
    </row>
    <row r="98" spans="1:10" ht="28.8" x14ac:dyDescent="0.3">
      <c r="A98" s="11" t="s">
        <v>209</v>
      </c>
      <c r="B98" s="10">
        <v>1.8</v>
      </c>
      <c r="C98" s="10" t="s">
        <v>60</v>
      </c>
      <c r="D98" s="10" t="s">
        <v>201</v>
      </c>
      <c r="E98" s="10" t="s">
        <v>210</v>
      </c>
      <c r="F98" s="10">
        <v>850</v>
      </c>
      <c r="G98" s="10">
        <v>5</v>
      </c>
      <c r="H98" s="10" t="s">
        <v>76</v>
      </c>
      <c r="I98" s="10">
        <v>3.6</v>
      </c>
      <c r="J98" s="18">
        <f t="shared" si="2"/>
        <v>236.11111111111111</v>
      </c>
    </row>
    <row r="99" spans="1:10" ht="28.8" x14ac:dyDescent="0.3">
      <c r="A99" s="11" t="s">
        <v>211</v>
      </c>
      <c r="B99" s="10">
        <v>1.8</v>
      </c>
      <c r="C99" s="10" t="s">
        <v>60</v>
      </c>
      <c r="D99" s="10" t="s">
        <v>201</v>
      </c>
      <c r="E99" s="10" t="s">
        <v>212</v>
      </c>
      <c r="F99" s="10">
        <v>1300</v>
      </c>
      <c r="G99" s="10">
        <v>5</v>
      </c>
      <c r="H99" s="10" t="s">
        <v>63</v>
      </c>
      <c r="I99" s="10">
        <v>5</v>
      </c>
      <c r="J99" s="18">
        <f t="shared" si="2"/>
        <v>260</v>
      </c>
    </row>
    <row r="100" spans="1:10" ht="28.8" x14ac:dyDescent="0.3">
      <c r="A100" s="11" t="s">
        <v>213</v>
      </c>
      <c r="B100" s="10">
        <v>1.2</v>
      </c>
      <c r="C100" s="10" t="s">
        <v>127</v>
      </c>
      <c r="D100" s="10" t="s">
        <v>201</v>
      </c>
      <c r="E100" s="10" t="s">
        <v>208</v>
      </c>
      <c r="F100" s="10">
        <v>450</v>
      </c>
      <c r="G100" s="10">
        <v>2</v>
      </c>
      <c r="H100" s="10" t="s">
        <v>63</v>
      </c>
      <c r="I100" s="10">
        <v>2.8</v>
      </c>
      <c r="J100" s="18">
        <f t="shared" si="2"/>
        <v>160.71428571428572</v>
      </c>
    </row>
    <row r="101" spans="1:10" ht="28.8" x14ac:dyDescent="0.3">
      <c r="A101" s="11" t="s">
        <v>214</v>
      </c>
      <c r="B101" s="10">
        <v>1.8</v>
      </c>
      <c r="C101" s="10" t="s">
        <v>60</v>
      </c>
      <c r="D101" s="10" t="s">
        <v>215</v>
      </c>
      <c r="E101" s="10" t="s">
        <v>216</v>
      </c>
      <c r="F101" s="10">
        <v>2200</v>
      </c>
      <c r="G101" s="10">
        <v>6</v>
      </c>
      <c r="H101" s="10" t="s">
        <v>63</v>
      </c>
      <c r="I101" s="10">
        <v>10.9</v>
      </c>
      <c r="J101" s="18">
        <f t="shared" si="2"/>
        <v>201.83486238532109</v>
      </c>
    </row>
    <row r="102" spans="1:10" ht="28.8" x14ac:dyDescent="0.3">
      <c r="A102" s="11" t="s">
        <v>217</v>
      </c>
      <c r="B102" s="10">
        <v>1.8</v>
      </c>
      <c r="C102" s="10" t="s">
        <v>60</v>
      </c>
      <c r="D102" s="10" t="s">
        <v>215</v>
      </c>
      <c r="E102" s="10" t="s">
        <v>218</v>
      </c>
      <c r="F102" s="10">
        <v>2900</v>
      </c>
      <c r="G102" s="10">
        <v>6</v>
      </c>
      <c r="H102" s="10" t="s">
        <v>63</v>
      </c>
      <c r="I102" s="10">
        <v>12</v>
      </c>
      <c r="J102" s="18">
        <f t="shared" ref="J102:J103" si="3">F102/I102</f>
        <v>241.66666666666666</v>
      </c>
    </row>
    <row r="103" spans="1:10" ht="28.8" x14ac:dyDescent="0.3">
      <c r="A103" s="11" t="s">
        <v>219</v>
      </c>
      <c r="B103" s="10">
        <v>1.8</v>
      </c>
      <c r="C103" s="10" t="s">
        <v>60</v>
      </c>
      <c r="D103" s="10" t="s">
        <v>215</v>
      </c>
      <c r="E103" s="10" t="s">
        <v>220</v>
      </c>
      <c r="F103" s="10">
        <v>30</v>
      </c>
      <c r="G103" s="10">
        <v>8</v>
      </c>
      <c r="H103" s="10" t="s">
        <v>63</v>
      </c>
      <c r="I103" s="10">
        <v>11.7</v>
      </c>
      <c r="J103" s="18">
        <f t="shared" si="3"/>
        <v>2.5641025641025643</v>
      </c>
    </row>
  </sheetData>
  <mergeCells count="2">
    <mergeCell ref="D3:E3"/>
    <mergeCell ref="D4:E4"/>
  </mergeCells>
  <hyperlinks>
    <hyperlink ref="A6" r:id="rId1" display="http://www.omc-stepperonline.com/nema-820x28mm-18deg-02a-smallest-stepper-motor-8hs110204s-p-81.html"/>
    <hyperlink ref="A7" r:id="rId2" display="http://www.omc-stepperonline.com/nema-8-unipolar-18deg-18ncm255ozin-stepper-motor-8hs120506s-p-257.html"/>
    <hyperlink ref="A8" r:id="rId3" display="http://www.omc-stepperonline.com/nema-8-bipolar-18deg-06a-miniature-stepper-motor-8hs130604s-p-82.html"/>
    <hyperlink ref="A9" r:id="rId4" display="http://www.omc-stepperonline.com/nema-8-bipolar-12v-3ncm425ozin-stepper-motor-8hs150304s-p-52.html"/>
    <hyperlink ref="A10" r:id="rId5" display="http://www.omc-stepperonline.com/nema-8-bipolar-18deg-06a-miniature-stepper-motor-8hs130604s-p-82.html"/>
    <hyperlink ref="A11" r:id="rId6" display="http://www.omc-stepperonline.com/nema-8-bipolar-12v-3ncm425ozin-stepper-motor-8hs150304s-p-52.html"/>
    <hyperlink ref="A12" r:id="rId7" display="http://www.omc-stepperonline.com/nema-11-bipolar-38v-067a-6ncm-mini-stepper-motor-11hs120674s-p-54.html"/>
    <hyperlink ref="A13" r:id="rId8" display="http://www.omc-stepperonline.com/nema-11-dual-shaft-18deg-unipolar-stepper-motor-11hs120956d-p-58.html"/>
    <hyperlink ref="A14" r:id="rId9" display="http://www.omc-stepperonline.com/nema-11-bipolar-stepper-motor-067a-95ncm14ozin-11hs180674s-p-83.html"/>
    <hyperlink ref="A15" r:id="rId10" display="http://www.omc-stepperonline.com/nema-11-bipolar-stepper-motor-067a-12ncm17ozin-11hs200674s-p-56.html"/>
    <hyperlink ref="A16" r:id="rId11" display="http://www.omc-stepperonline.com/9deg-thin-stepper-motor-125mm-05a-7ncm10ozin-14hr050504s-p-88.html"/>
    <hyperlink ref="A17" r:id="rId12" display="http://www.omc-stepperonline.com/9deg-round-stepper-motor-065a-12ncm17ozin-14hr080654s-p-87.html"/>
    <hyperlink ref="A18" r:id="rId13" display="http://www.omc-stepperonline.com/09-nema-14-bipolar-stepper-motor-5ncm7ozin-14hm080504s-p-85.html"/>
    <hyperlink ref="A19" r:id="rId14" display="http://www.omc-stepperonline.com/nema-14-bipolar-stepper-motor-9deg-04a-11ncm-14hm110404s-p-86.html"/>
    <hyperlink ref="A20" r:id="rId15" display="http://www.omc-stepperonline.com/nema-14-bipolar-stepper-12v-04a-14ncm20ozin-14hs100404s-p-90.html"/>
    <hyperlink ref="A21" r:id="rId16" display="http://www.omc-stepperonline.com/nema-14-bipolar-stepper-35v-1a-125ncm177ozin-14hs111004s-p-91.html"/>
    <hyperlink ref="A22" r:id="rId17" display="http://www.omc-stepperonline.com/nema-14-unipolar-stepper-04a-10ncm1416ozin-14hs130406s-p-92.html"/>
    <hyperlink ref="A23" r:id="rId18" display="http://www.omc-stepperonline.com/nema-14-bipolar-stepper-54v-08a-18ncm255ozin-14hs130804s-p-93.html"/>
    <hyperlink ref="A24" r:id="rId19" display="http://www.omc-stepperonline.com/nema-14-bipolar-stepper-75v-05a-23ncm326ozin-14hs170504s-p-94.html"/>
    <hyperlink ref="A25" r:id="rId20" display="http://www.omc-stepperonline.com/nema-14-high-torque-stepper-15a-40ncm567ozin-14hs201504s-p-59.html"/>
    <hyperlink ref="A26" r:id="rId21" display="http://www.omc-stepperonline.com/09-nema-16-bipolar-stepper-06a-16ncm227ozin-16hm100604s-p-97.html"/>
    <hyperlink ref="A27" r:id="rId22" display="http://www.omc-stepperonline.com/09-nema-16-bipolar-stepper-04a-18ncm255ozin-16hm130404s-p-64.html"/>
    <hyperlink ref="A28" r:id="rId23" display="http://www.omc-stepperonline.com/nema-16-bipolar-stepper-motor-9deg-12v-03a-25ncm-16hm170304s-p-51.html"/>
    <hyperlink ref="A29" r:id="rId24" display="http://www.omc-stepperonline.com/nema-16-unipolar-stepper-motor-8ncm113ozin-05a-16hs080506s-p-60.html"/>
    <hyperlink ref="A30" r:id="rId25" display="http://www.omc-stepperonline.com/nema-16-bipolar-stepper-motor-87ncm12ozin-06a-16hs080604s-p-61.html"/>
    <hyperlink ref="A31" r:id="rId26" display="http://www.omc-stepperonline.com/nema-16-bipolar-stepper-12v-04a-18deg-21ncm-16hs130404s-p-62.html"/>
    <hyperlink ref="A32" r:id="rId27" display="http://www.omc-stepperonline.com/nema-16-bipolar-stepper-motor-065a-18ncm26ozin-16hs130654s-p-63.html"/>
    <hyperlink ref="A33" r:id="rId28" display="http://www.omc-stepperonline.com/09-nema-17-bipolar-stepper-12a-11ncm156ozin-17hm081204s-p-99.html"/>
    <hyperlink ref="A34" r:id="rId29" display="http://www.omc-stepperonline.com/9deg-nema-17-unipolar-stepper-motor-12v-031a-16ncm227ozin-17hm130316s-p-262.html"/>
    <hyperlink ref="A35" r:id="rId30" display="http://www.omc-stepperonline.com/9deg-nema-17-unipolar-dual-shaft-stepper-12v-031a-16ncm-17hm130316d-p-261.html"/>
    <hyperlink ref="A36" r:id="rId31" display="http://www.omc-stepperonline.com/9deg-nema-17-unipolar-step-motor-12v-04a-26ncm-17hm150406s-p-100.html"/>
    <hyperlink ref="A37" r:id="rId32" display="http://www.omc-stepperonline.com/9deg-nema-17-unipolar-12v-04a-26ncm-double-shaft-17hm150406d-p-119.html"/>
    <hyperlink ref="A38" r:id="rId33" display="http://www.omc-stepperonline.com/9deg-nema-17-unipolar-stepper-motor-6v-08a-26ncm368ozin-17hm150806s-p-266.html"/>
    <hyperlink ref="A39" r:id="rId34" display="http://www.omc-stepperonline.com/9deg-nema-17-bipolar-stepper-motor-09a-36ncm51ozin-17hm150904s-p-267.html"/>
    <hyperlink ref="A40" r:id="rId35" display="http://www.omc-stepperonline.com/09deg-nema-17-unipolar-stepper-12v-04a-32ncm-17hm190406s-p-120.html"/>
    <hyperlink ref="A41" r:id="rId36" display="http://www.omc-stepperonline.com/9deg-nema-17-unipolar-12v-04a-32ncm-double-shaft-17hm190406d-p-121.html"/>
    <hyperlink ref="A42" r:id="rId37" display="http://www.omc-stepperonline.com/9deg-nema-17-bipolar-stepper-44ncm623ozin-17hm191684s-p-12.html"/>
    <hyperlink ref="A43" r:id="rId38" display="http://www.omc-stepperonline.com/09deg-nema-17-bipolar-stepper-motor-2a-46ncm-17hm192004s-p-122.html"/>
    <hyperlink ref="A44" r:id="rId39" display="http://www.omc-stepperonline.com/3phase-nema-17-stepper-motor-375deg-21v-10a-17ht151003s-p-23.html"/>
    <hyperlink ref="A45" r:id="rId40" display="http://www.omc-stepperonline.com/3phase-nema-17-stepper-motor-375deg-64v-06a-17ht150603s-p-22.html"/>
    <hyperlink ref="A46" r:id="rId41" display="http://www.omc-stepperonline.com/nema-17-bipolar-step-motor-35v-1a-13ncm184ozin-17hs081004s-p-101.html"/>
    <hyperlink ref="A47" r:id="rId42" display="http://www.omc-stepperonline.com/nema-17-bipolar-step-motor-29v-07a-18ncm255ozin-17hs100704s-p-260.html"/>
    <hyperlink ref="A48" r:id="rId43" display="http://www.omc-stepperonline.com/nema-17-unipolar-stepper-031a-158ncm224ozin-17hs130316s-p-65.html"/>
    <hyperlink ref="A49" r:id="rId44" display="http://www.omc-stepperonline.com/nema-17-unipolar-step-motor-095a-16ncm227ozin-17hs130956s-p-102.html"/>
    <hyperlink ref="A50" r:id="rId45" display="http://www.omc-stepperonline.com/nema-17-bipolar-stepper-28v-133a-22ncm31ozin-17hs131334s-p-13.html"/>
    <hyperlink ref="A51" r:id="rId46" display="http://www.omc-stepperonline.com/double-shaft-nema-17-stepper-133a-22ncm31ozin-17hs131334d-p-165.html"/>
    <hyperlink ref="A52" r:id="rId47" display="http://www.omc-stepperonline.com/nema-17-stepper-motor-34mm-12v-04a-26ncm37ozin-17hs130404s-p-166.html"/>
    <hyperlink ref="A53" r:id="rId48" display="http://www.omc-stepperonline.com/double-shaft-nema-17-stepper-34mm-12v-04a-26ncm-17hs130404d-p-149.html"/>
    <hyperlink ref="A54" r:id="rId49" display="http://www.omc-stepperonline.com/nema-17-unipolar-stepper-12v-04a-26ncm37ozin-17hs150406s-p-66.html"/>
    <hyperlink ref="A55" r:id="rId50" display="http://www.omc-stepperonline.com/nema-17-bipolar-stepper-54v-085a-36ncm51ozin-17hs150854s-p-103.html"/>
    <hyperlink ref="A56" r:id="rId51" display="http://www.omc-stepperonline.com/nema-17-bipolar-stepper-28v-168a-36ncm51ozin-17hs151684s-p-15.html"/>
    <hyperlink ref="A57" r:id="rId52" display="http://www.omc-stepperonline.com/nema-17-bipolar-stepper-12v-04a-40ncm567ozin-17hs150404s-p-14.html"/>
    <hyperlink ref="A58" r:id="rId53" display="http://www.omc-stepperonline.com/nema-17-bipolar-stepper-motor-028a-36ncm51ozin-17hs160284s-p-80.html"/>
    <hyperlink ref="A59" r:id="rId54" display="http://www.omc-stepperonline.com/3d-printer-nema-17-stepper-motor-2a-45ncm64ozin-17hs162004s-p-16.html"/>
    <hyperlink ref="A60" r:id="rId55" display="http://www.omc-stepperonline.com/nema-17-unipolar-stepper-12v-04a-32ncm453ozin-17hs190406s-p-67.html"/>
    <hyperlink ref="A61" r:id="rId56" display="http://www.omc-stepperonline.com/nema-17-bipolar-stepper-motor-44ncm623ozin-085a-17hs190854s-p-268.html"/>
    <hyperlink ref="A62" r:id="rId57" display="http://www.omc-stepperonline.com/dual-shaft-nema-17-stepper-168a-45ncm64ozin-17hs191684d-p-123.html"/>
    <hyperlink ref="A63" r:id="rId58" display="http://www.omc-stepperonline.com/3d-printer-motor-nema-17-168a-45ncm64ozin-17hs191684s-p-17.html"/>
    <hyperlink ref="A64" r:id="rId59" display="http://www.omc-stepperonline.com/3d-printer-nema-17-stepper-motor-59ncm84ozin-2a-17hs192004s-p-18.html"/>
    <hyperlink ref="A65" r:id="rId60" display="http://www.omc-stepperonline.com/nema-17-60ncm85ozin-064a-bipolar-stepper-motor-17hs240644s-p-19.html"/>
    <hyperlink ref="A66" r:id="rId61" display="http://www.omc-stepperonline.com/nema-17-unipolar-stepper-motor-65ncm92ozin12a-17hs241206s-p-20.html"/>
    <hyperlink ref="A67" r:id="rId62" display="http://www.omc-stepperonline.com/nema-17-bipolar-stepper-motor-65ncm92ozin-21a-17hs242104s-p-21.html"/>
    <hyperlink ref="A68" r:id="rId63" display="http://www.omc-stepperonline.com/9deg-nema-23-bipolar-121v-038a-09nm1275ozin-23hm200384s-p-24.html"/>
    <hyperlink ref="A69" r:id="rId64" display="http://www.omc-stepperonline.com/9deg-nema-23-stepper-bipolar-28a-126nm1785ozin-23hm222804s-p-292.html"/>
    <hyperlink ref="A70" r:id="rId65" display="http://www.omc-stepperonline.com/round-size-nema-23-stepper-motor-52mm-28a-70ncm-23hr202804s-p-124.html"/>
    <hyperlink ref="A71" r:id="rId66" display="http://www.omc-stepperonline.com/nema-23-cnc-stepper-motor-088a-06nm85ozin-23hs160884s-p-105.html"/>
    <hyperlink ref="A72" r:id="rId67" display="http://www.omc-stepperonline.com/nema-23-unipolar-stepper-motor-1a-039nm55ozin-23hs161006s-p-106.html"/>
    <hyperlink ref="A73" r:id="rId68" display="http://www.omc-stepperonline.com/nema-23-cnc-stepper-motor-28a-055nm78ozin-23hs162804s-p-107.html"/>
    <hyperlink ref="A74" r:id="rId69" display="http://www.omc-stepperonline.com/dual-shaft-nema-23-stepper-motor-28a-055nm78ozin-23hs162804d-p-269.html"/>
    <hyperlink ref="A75" r:id="rId70" display="http://www.omc-stepperonline.com/nema-23-cnc-stepper-motor-44mm-06nm85ozin-23hs171008s-p-270.html"/>
    <hyperlink ref="A76" r:id="rId71" display="http://www.omc-stepperonline.com/nema-23-bipolar-stepper-motor-20a-09nm1275ozin-23hs202004s-p-271.html"/>
    <hyperlink ref="A77" r:id="rId72" display="http://www.omc-stepperonline.com/nema-23-unipolar-stepper-motor-56mm-1a-90ncm-23hs221006s-p-125.html"/>
    <hyperlink ref="A78" r:id="rId73" display="http://www.omc-stepperonline.com/nema-23-dual-shaft-unipolar-stepper-10a-90ncm1275ozin-23hs221006d-p-272.html"/>
    <hyperlink ref="A79" r:id="rId74" display="http://www.omc-stepperonline.com/dual-shaft-nema-23-cnc-stepper-motor-56mm-126nm-23hs223008d-p-162.html"/>
    <hyperlink ref="A80" r:id="rId75" display="http://www.omc-stepperonline.com/nema-23-stepper-motor-54v-15a-116nm1643ozin-23hs221504s-p-68.html"/>
    <hyperlink ref="A81" r:id="rId76" display="http://www.omc-stepperonline.com/nema-23-cnc-stepper-motor-28a-126nm1785ozin-23hs222804s-p-108.html"/>
    <hyperlink ref="A82" r:id="rId77" display="http://www.omc-stepperonline.com/nema-23-unipolar-stepper-motor-1a-135nm191ozin-23hs301006s-p-273.html"/>
    <hyperlink ref="A83" r:id="rId78" display="http://www.omc-stepperonline.com/dual-shaft-nema-23-cnc-stepper-motor-76mm-19nm-23hs303006d-p-164.html"/>
    <hyperlink ref="A84" r:id="rId79" display="http://www.omc-stepperonline.com/nema-23-cnc-stepper-motor-28a-19nm269ozin-23hs302804s-p-25.html"/>
    <hyperlink ref="A85" r:id="rId80" display="http://www.omc-stepperonline.com/nema-23-cnc-stepper-motor-283nm400-ozin-40a-23hs334008s-p-70.html"/>
    <hyperlink ref="A86" r:id="rId81" display="http://www.omc-stepperonline.com/nema-23-dual-shaft-stepper-motor-283nm400-ozin-40a-23hs334008d-p-274.html"/>
    <hyperlink ref="A87" r:id="rId82" display="http://www.omc-stepperonline.com/nema-23-cnc-stepper-motor-24nm340ozin-18a-23hs411804s-p-126.html"/>
    <hyperlink ref="A88" r:id="rId83" display="http://www.omc-stepperonline.com/dual-shaft-nema-23-cnc-stepper-motor-114mm-25nm-23hs453008d-p-163.html"/>
    <hyperlink ref="A89" r:id="rId84" display="http://www.omc-stepperonline.com/high-torque-nema-23-cnc-stepper-motor-113mm-3nm425ozin-23hs454204s-p-127.html"/>
    <hyperlink ref="A90" r:id="rId85" display="http://www.omc-stepperonline.com/3-phase-12deg-nema-23-stepper-motor-79mm-12nm-23ht315206d-p-128.html"/>
    <hyperlink ref="A91" r:id="rId86" display="http://www.omc-stepperonline.com/nema-24-cnc-stepper-motor-12nm170ozin-24hs222006s-p-26.html"/>
    <hyperlink ref="A92" r:id="rId87" display="http://www.omc-stepperonline.com/nema-24-dual-shaft-cnc-stepper-motor-31nm439-ozin-24hs343008d-p-275.html"/>
    <hyperlink ref="A93" r:id="rId88" display="http://www.omc-stepperonline.com/nema-24-cnc-stepper-motor-40a-23nm326ozin-24hs344004d-p-29.html"/>
    <hyperlink ref="A94" r:id="rId89" display="http://www.omc-stepperonline.com/dual-shaft-nema-34-cnc-stepper-motor-22nm312ozin-2a-34hs262006d-p-276.html"/>
    <hyperlink ref="A95" r:id="rId90" display="http://www.omc-stepperonline.com/nema-34-stepper-motor-68mm-34nm4815ozin-4a-34hs274004s-p-129.html"/>
    <hyperlink ref="A96" r:id="rId91" display="http://www.omc-stepperonline.com/nema-34-cnc-stepper-motor-45nm637ozin-55a-34hs315504s-p-72.html"/>
    <hyperlink ref="A97" r:id="rId92" display="http://www.omc-stepperonline.com/nema-34-cnc-stepper-motor-5nm708ozin-30a-34hs383008s-p-32.html"/>
    <hyperlink ref="A98" r:id="rId93" display="http://www.omc-stepperonline.com/dual-shaft-nema-34-cnc-stepper-motor-85nm1204ozin-34hs465004d-p-277.html"/>
    <hyperlink ref="A99" r:id="rId94" display="http://www.omc-stepperonline.com/high-torquespeed-nema-34-cnc-stepper-motor-13ncm1841ozin-34hs595004s-p-57.html"/>
    <hyperlink ref="A100" r:id="rId95" display="http://www.omc-stepperonline.com/3-phase-12deg-nema-34-stepper-motor-97mm-45nm-34ht382003s-p-130.html"/>
    <hyperlink ref="A101" r:id="rId96" display="http://www.omc-stepperonline.com/nema-42-cnc-stepper-motor-60a-22nm3115ozin-42hs596004s-p-174.html"/>
    <hyperlink ref="A102" r:id="rId97" display="http://www.omc-stepperonline.com/nema-42-cnc-stepper-motor-60a-29nm4107ozin-42hs796004s-p-175.html"/>
    <hyperlink ref="A103" r:id="rId98" display="http://www.omc-stepperonline.com/high-torque-nema-42-cnc-stepper-motor-30nm4248ozin-p-74.html"/>
  </hyperlink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99"/>
  <sheetViews>
    <sheetView topLeftCell="A39" zoomScale="115" zoomScaleNormal="115" workbookViewId="0">
      <selection activeCell="D99" sqref="D99"/>
    </sheetView>
  </sheetViews>
  <sheetFormatPr baseColWidth="10" defaultRowHeight="14.4" x14ac:dyDescent="0.3"/>
  <sheetData>
    <row r="99" spans="4:4" ht="15.6" x14ac:dyDescent="0.3">
      <c r="D99" s="72" t="s">
        <v>566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A11" sqref="A11"/>
    </sheetView>
  </sheetViews>
  <sheetFormatPr baseColWidth="10" defaultRowHeight="14.4" x14ac:dyDescent="0.3"/>
  <sheetData>
    <row r="1" spans="1:2" x14ac:dyDescent="0.3">
      <c r="A1" t="s">
        <v>234</v>
      </c>
      <c r="B1" t="s">
        <v>237</v>
      </c>
    </row>
    <row r="3" spans="1:2" x14ac:dyDescent="0.3">
      <c r="A3" t="s">
        <v>240</v>
      </c>
    </row>
    <row r="4" spans="1:2" x14ac:dyDescent="0.3">
      <c r="A4" s="9" t="s">
        <v>235</v>
      </c>
    </row>
    <row r="5" spans="1:2" x14ac:dyDescent="0.3">
      <c r="A5" t="s">
        <v>296</v>
      </c>
    </row>
    <row r="7" spans="1:2" x14ac:dyDescent="0.3">
      <c r="A7" t="s">
        <v>241</v>
      </c>
    </row>
    <row r="8" spans="1:2" x14ac:dyDescent="0.3">
      <c r="A8" s="9" t="s">
        <v>236</v>
      </c>
    </row>
    <row r="10" spans="1:2" x14ac:dyDescent="0.3">
      <c r="A10" t="s">
        <v>238</v>
      </c>
    </row>
    <row r="11" spans="1:2" x14ac:dyDescent="0.3">
      <c r="A11" t="s">
        <v>239</v>
      </c>
    </row>
  </sheetData>
  <hyperlinks>
    <hyperlink ref="A8" r:id="rId1"/>
    <hyperlink ref="A4" r:id="rId2"/>
  </hyperlinks>
  <pageMargins left="0.7" right="0.7" top="0.78740157499999996" bottom="0.78740157499999996" header="0.3" footer="0.3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baseColWidth="10" defaultRowHeight="14.4" x14ac:dyDescent="0.3"/>
  <sheetData/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opLeftCell="A10" zoomScale="130" zoomScaleNormal="130" workbookViewId="0">
      <selection activeCell="D18" sqref="D18"/>
    </sheetView>
  </sheetViews>
  <sheetFormatPr baseColWidth="10" defaultRowHeight="14.4" x14ac:dyDescent="0.3"/>
  <sheetData>
    <row r="1" spans="1:2" s="6" customFormat="1" x14ac:dyDescent="0.3">
      <c r="A1" s="6" t="s">
        <v>413</v>
      </c>
    </row>
    <row r="2" spans="1:2" s="6" customFormat="1" x14ac:dyDescent="0.3"/>
    <row r="3" spans="1:2" s="6" customFormat="1" x14ac:dyDescent="0.3"/>
    <row r="4" spans="1:2" x14ac:dyDescent="0.3">
      <c r="A4" t="s">
        <v>409</v>
      </c>
      <c r="B4" t="s">
        <v>410</v>
      </c>
    </row>
    <row r="5" spans="1:2" x14ac:dyDescent="0.3">
      <c r="A5" t="s">
        <v>411</v>
      </c>
      <c r="B5" t="s">
        <v>412</v>
      </c>
    </row>
  </sheetData>
  <pageMargins left="0.7" right="0.7" top="0.78740157499999996" bottom="0.78740157499999996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5"/>
  <sheetViews>
    <sheetView zoomScale="160" zoomScaleNormal="160" workbookViewId="0"/>
  </sheetViews>
  <sheetFormatPr baseColWidth="10" defaultRowHeight="14.4" x14ac:dyDescent="0.3"/>
  <sheetData>
    <row r="1" spans="1:9" ht="25.8" x14ac:dyDescent="0.5">
      <c r="A1" s="53" t="s">
        <v>492</v>
      </c>
    </row>
    <row r="2" spans="1:9" x14ac:dyDescent="0.3">
      <c r="A2" t="s">
        <v>456</v>
      </c>
    </row>
    <row r="14" spans="1:9" x14ac:dyDescent="0.3">
      <c r="I14" t="s">
        <v>484</v>
      </c>
    </row>
    <row r="22" spans="1:5" ht="18" x14ac:dyDescent="0.3">
      <c r="A22" s="48" t="s">
        <v>485</v>
      </c>
    </row>
    <row r="24" spans="1:5" x14ac:dyDescent="0.3">
      <c r="A24" t="s">
        <v>486</v>
      </c>
    </row>
    <row r="25" spans="1:5" ht="23.4" x14ac:dyDescent="0.3">
      <c r="A25" s="42"/>
    </row>
    <row r="29" spans="1:5" x14ac:dyDescent="0.3">
      <c r="A29" s="44"/>
      <c r="B29" s="44"/>
      <c r="C29" s="44"/>
      <c r="D29" s="44"/>
      <c r="E29" s="44"/>
    </row>
    <row r="30" spans="1:5" x14ac:dyDescent="0.3">
      <c r="A30" s="43"/>
      <c r="B30" s="43"/>
      <c r="C30" s="43"/>
      <c r="D30" s="43"/>
      <c r="E30" s="43"/>
    </row>
    <row r="31" spans="1:5" x14ac:dyDescent="0.3">
      <c r="A31" s="43"/>
      <c r="B31" s="43"/>
      <c r="C31" s="43"/>
      <c r="D31" s="43"/>
      <c r="E31" s="45"/>
    </row>
    <row r="32" spans="1:5" x14ac:dyDescent="0.3">
      <c r="A32" s="43"/>
      <c r="B32" s="43"/>
      <c r="C32" s="43"/>
      <c r="D32" s="43"/>
      <c r="E32" s="45"/>
    </row>
    <row r="33" spans="1:11" x14ac:dyDescent="0.3">
      <c r="A33" s="49"/>
      <c r="B33" s="49"/>
      <c r="C33" s="49"/>
      <c r="D33" s="49"/>
      <c r="E33" s="45"/>
    </row>
    <row r="34" spans="1:11" x14ac:dyDescent="0.3">
      <c r="A34" s="50"/>
      <c r="B34" s="50"/>
      <c r="C34" s="50"/>
      <c r="D34" s="50"/>
      <c r="E34" s="51"/>
      <c r="F34" s="51"/>
      <c r="G34" s="51"/>
      <c r="H34" s="51"/>
      <c r="I34" s="51"/>
      <c r="J34" s="51"/>
      <c r="K34" s="51"/>
    </row>
    <row r="35" spans="1:11" x14ac:dyDescent="0.3">
      <c r="A35" s="50"/>
      <c r="B35" s="50"/>
      <c r="C35" s="50"/>
      <c r="D35" s="50"/>
      <c r="E35" s="51"/>
      <c r="F35" s="51"/>
      <c r="G35" s="51"/>
      <c r="H35" s="51"/>
      <c r="I35" s="51"/>
      <c r="J35" s="51"/>
      <c r="K35" s="51"/>
    </row>
    <row r="36" spans="1:11" x14ac:dyDescent="0.3">
      <c r="A36" s="50"/>
      <c r="B36" s="50"/>
      <c r="C36" s="50"/>
      <c r="D36" s="50"/>
      <c r="E36" s="51"/>
      <c r="F36" s="51"/>
      <c r="G36" s="51"/>
      <c r="H36" s="51"/>
      <c r="I36" s="51"/>
      <c r="J36" s="51"/>
      <c r="K36" s="51"/>
    </row>
    <row r="37" spans="1:11" x14ac:dyDescent="0.3">
      <c r="A37" s="50"/>
      <c r="B37" s="50"/>
      <c r="C37" s="50"/>
      <c r="D37" s="50"/>
      <c r="E37" s="51"/>
      <c r="F37" s="51"/>
      <c r="G37" s="51"/>
      <c r="H37" s="51"/>
      <c r="I37" s="51"/>
      <c r="J37" s="51"/>
      <c r="K37" s="51"/>
    </row>
    <row r="38" spans="1:11" x14ac:dyDescent="0.3">
      <c r="A38" s="51"/>
      <c r="B38" s="51"/>
      <c r="C38" s="51"/>
      <c r="D38" s="51"/>
      <c r="E38" s="51"/>
      <c r="F38" s="51"/>
      <c r="G38" s="51"/>
      <c r="H38" s="51"/>
      <c r="I38" s="51"/>
      <c r="J38" s="51"/>
      <c r="K38" s="51"/>
    </row>
    <row r="39" spans="1:11" x14ac:dyDescent="0.3">
      <c r="A39" s="51"/>
      <c r="B39" s="51"/>
      <c r="C39" s="51"/>
      <c r="D39" s="51"/>
      <c r="E39" s="51"/>
      <c r="F39" s="51"/>
      <c r="G39" s="51"/>
      <c r="H39" s="51"/>
      <c r="I39" s="51"/>
      <c r="J39" s="51"/>
      <c r="K39" s="51"/>
    </row>
    <row r="40" spans="1:11" x14ac:dyDescent="0.3">
      <c r="A40" s="52"/>
      <c r="B40" s="52"/>
      <c r="C40" s="52"/>
      <c r="D40" s="51"/>
      <c r="E40" s="51"/>
      <c r="F40" s="51"/>
      <c r="G40" s="51"/>
      <c r="H40" s="51"/>
      <c r="I40" s="51"/>
      <c r="J40" s="51"/>
      <c r="K40" s="51"/>
    </row>
    <row r="41" spans="1:11" x14ac:dyDescent="0.3">
      <c r="A41" s="50"/>
      <c r="B41" s="50"/>
      <c r="C41" s="51"/>
      <c r="D41" s="51"/>
      <c r="E41" s="51"/>
      <c r="F41" s="51"/>
      <c r="G41" s="51"/>
      <c r="H41" s="51"/>
      <c r="I41" s="51"/>
      <c r="J41" s="51"/>
      <c r="K41" s="51"/>
    </row>
    <row r="42" spans="1:11" x14ac:dyDescent="0.3">
      <c r="A42" s="50"/>
      <c r="B42" s="50"/>
      <c r="C42" s="51"/>
      <c r="D42" s="51"/>
      <c r="E42" s="51"/>
      <c r="F42" s="51"/>
      <c r="G42" s="51"/>
      <c r="H42" s="51"/>
      <c r="I42" s="51"/>
      <c r="J42" s="51"/>
      <c r="K42" s="51"/>
    </row>
    <row r="43" spans="1:11" x14ac:dyDescent="0.3">
      <c r="A43" s="50"/>
      <c r="B43" s="50"/>
      <c r="C43" s="51"/>
      <c r="D43" s="51"/>
      <c r="E43" s="51"/>
      <c r="F43" s="51"/>
      <c r="G43" s="51"/>
      <c r="H43" s="51"/>
      <c r="I43" s="51"/>
      <c r="J43" s="51"/>
      <c r="K43" s="51"/>
    </row>
    <row r="44" spans="1:11" x14ac:dyDescent="0.3">
      <c r="A44" s="50"/>
      <c r="B44" s="50"/>
      <c r="C44" s="51"/>
      <c r="D44" s="51"/>
      <c r="E44" s="51"/>
      <c r="F44" s="51"/>
      <c r="G44" s="51"/>
      <c r="H44" s="51"/>
      <c r="I44" s="51"/>
      <c r="J44" s="51"/>
      <c r="K44" s="51"/>
    </row>
    <row r="45" spans="1:11" ht="18" x14ac:dyDescent="0.3">
      <c r="A45" s="48" t="s">
        <v>487</v>
      </c>
      <c r="B45" s="51"/>
      <c r="C45" s="51"/>
      <c r="D45" s="51"/>
      <c r="E45" s="51"/>
      <c r="F45" s="51"/>
      <c r="G45" s="51"/>
      <c r="H45" s="51"/>
      <c r="I45" s="51"/>
      <c r="J45" s="51"/>
      <c r="K45" s="51"/>
    </row>
    <row r="46" spans="1:11" x14ac:dyDescent="0.3">
      <c r="B46" s="51"/>
      <c r="C46" s="51"/>
      <c r="D46" s="51"/>
      <c r="E46" s="51"/>
      <c r="F46" s="51"/>
      <c r="G46" s="51"/>
      <c r="H46" s="51"/>
      <c r="I46" s="51"/>
      <c r="J46" s="51"/>
      <c r="K46" s="51"/>
    </row>
    <row r="47" spans="1:11" x14ac:dyDescent="0.3">
      <c r="A47" t="s">
        <v>488</v>
      </c>
      <c r="B47" s="52"/>
      <c r="C47" s="52"/>
      <c r="D47" s="52"/>
      <c r="E47" s="51"/>
      <c r="F47" s="51"/>
      <c r="G47" s="51"/>
      <c r="H47" s="51"/>
      <c r="I47" s="51"/>
      <c r="J47" s="51"/>
      <c r="K47" s="51"/>
    </row>
    <row r="48" spans="1:11" x14ac:dyDescent="0.3">
      <c r="A48" t="s">
        <v>489</v>
      </c>
      <c r="B48" s="50"/>
      <c r="C48" s="50"/>
      <c r="D48" s="50"/>
      <c r="E48" s="51"/>
      <c r="F48" s="51"/>
      <c r="G48" s="51"/>
      <c r="H48" s="51"/>
      <c r="I48" s="51"/>
      <c r="J48" s="51"/>
      <c r="K48" s="51"/>
    </row>
    <row r="49" spans="1:11" x14ac:dyDescent="0.3">
      <c r="A49" t="s">
        <v>490</v>
      </c>
      <c r="B49" s="50"/>
      <c r="C49" s="50"/>
      <c r="D49" s="51"/>
      <c r="E49" s="51"/>
      <c r="F49" s="51"/>
      <c r="G49" s="51"/>
      <c r="H49" s="51"/>
      <c r="I49" s="51"/>
      <c r="J49" s="51"/>
      <c r="K49" s="51"/>
    </row>
    <row r="50" spans="1:11" x14ac:dyDescent="0.3">
      <c r="A50" t="s">
        <v>491</v>
      </c>
      <c r="B50" s="51"/>
      <c r="C50" s="51"/>
      <c r="D50" s="51"/>
      <c r="E50" s="51"/>
      <c r="F50" s="51"/>
      <c r="G50" s="51"/>
      <c r="H50" s="51"/>
      <c r="I50" s="51"/>
      <c r="J50" s="51"/>
      <c r="K50" s="51"/>
    </row>
    <row r="51" spans="1:11" x14ac:dyDescent="0.3">
      <c r="B51" s="51"/>
      <c r="C51" s="51"/>
      <c r="D51" s="51"/>
      <c r="E51" s="51"/>
      <c r="F51" s="51"/>
      <c r="G51" s="51"/>
      <c r="H51" s="51"/>
      <c r="I51" s="51"/>
      <c r="J51" s="51"/>
      <c r="K51" s="51"/>
    </row>
    <row r="55" spans="1:11" ht="15" x14ac:dyDescent="0.3">
      <c r="A55" s="46"/>
    </row>
    <row r="61" spans="1:11" x14ac:dyDescent="0.3">
      <c r="A61" s="9"/>
    </row>
    <row r="62" spans="1:11" x14ac:dyDescent="0.3">
      <c r="A62" s="9"/>
    </row>
    <row r="63" spans="1:11" x14ac:dyDescent="0.3">
      <c r="A63" s="9"/>
    </row>
    <row r="69" spans="1:1" x14ac:dyDescent="0.3">
      <c r="A69" s="9"/>
    </row>
    <row r="75" spans="1:1" x14ac:dyDescent="0.3">
      <c r="A75" s="47"/>
    </row>
    <row r="80" spans="1:1" x14ac:dyDescent="0.3">
      <c r="A80" s="47"/>
    </row>
    <row r="81" spans="1:1" ht="23.4" x14ac:dyDescent="0.3">
      <c r="A81" s="42"/>
    </row>
    <row r="82" spans="1:1" x14ac:dyDescent="0.3">
      <c r="A82" s="47"/>
    </row>
    <row r="83" spans="1:1" x14ac:dyDescent="0.3">
      <c r="A83" s="47"/>
    </row>
    <row r="88" spans="1:1" x14ac:dyDescent="0.3">
      <c r="A88" s="47"/>
    </row>
    <row r="93" spans="1:1" x14ac:dyDescent="0.3">
      <c r="A93" s="47"/>
    </row>
    <row r="94" spans="1:1" ht="23.4" x14ac:dyDescent="0.3">
      <c r="A94" s="42"/>
    </row>
    <row r="95" spans="1:1" x14ac:dyDescent="0.3">
      <c r="A95" s="47"/>
    </row>
    <row r="96" spans="1:1" x14ac:dyDescent="0.3">
      <c r="A96" s="47"/>
    </row>
    <row r="101" spans="1:1" x14ac:dyDescent="0.3">
      <c r="A101" s="47"/>
    </row>
    <row r="102" spans="1:1" x14ac:dyDescent="0.3">
      <c r="A102" s="47"/>
    </row>
    <row r="107" spans="1:1" x14ac:dyDescent="0.3">
      <c r="A107" s="47"/>
    </row>
    <row r="108" spans="1:1" ht="23.4" x14ac:dyDescent="0.3">
      <c r="A108" s="42"/>
    </row>
    <row r="109" spans="1:1" x14ac:dyDescent="0.3">
      <c r="A109" s="47"/>
    </row>
    <row r="110" spans="1:1" x14ac:dyDescent="0.3">
      <c r="A110" s="47"/>
    </row>
    <row r="115" spans="1:1" x14ac:dyDescent="0.3">
      <c r="A115" s="47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330"/>
  <sheetViews>
    <sheetView topLeftCell="A94" zoomScale="85" zoomScaleNormal="85" workbookViewId="0">
      <selection activeCell="C118" sqref="C118"/>
    </sheetView>
  </sheetViews>
  <sheetFormatPr baseColWidth="10" defaultRowHeight="14.4" x14ac:dyDescent="0.3"/>
  <cols>
    <col min="1" max="1" width="18.6640625" customWidth="1"/>
    <col min="2" max="2" width="16.77734375" customWidth="1"/>
    <col min="3" max="3" width="57.21875" customWidth="1"/>
    <col min="4" max="4" width="42.33203125" customWidth="1"/>
    <col min="5" max="5" width="25.21875" style="29" customWidth="1"/>
    <col min="9" max="10" width="11.5546875" style="1"/>
    <col min="11" max="11" width="12.44140625" style="1" customWidth="1"/>
    <col min="12" max="12" width="13.77734375" bestFit="1" customWidth="1"/>
  </cols>
  <sheetData>
    <row r="1" spans="1:15" x14ac:dyDescent="0.3">
      <c r="B1" s="6" t="s">
        <v>430</v>
      </c>
      <c r="C1" s="6" t="s">
        <v>427</v>
      </c>
      <c r="D1" s="6" t="s">
        <v>428</v>
      </c>
      <c r="E1" s="40" t="s">
        <v>429</v>
      </c>
      <c r="F1" s="6"/>
      <c r="G1" s="6"/>
      <c r="H1" s="6"/>
      <c r="I1" s="41"/>
      <c r="J1" s="41"/>
      <c r="K1" s="41"/>
      <c r="L1" s="6" t="s">
        <v>404</v>
      </c>
      <c r="O1" t="s">
        <v>419</v>
      </c>
    </row>
    <row r="2" spans="1:15" x14ac:dyDescent="0.3">
      <c r="B2" s="6"/>
      <c r="C2" s="6"/>
      <c r="D2" s="6"/>
      <c r="E2" s="40"/>
      <c r="F2" s="6"/>
      <c r="G2" s="6"/>
      <c r="H2" s="6"/>
      <c r="I2" s="41"/>
      <c r="J2" s="41"/>
      <c r="K2" s="41"/>
      <c r="L2" s="6"/>
    </row>
    <row r="3" spans="1:15" x14ac:dyDescent="0.3">
      <c r="B3" s="6"/>
      <c r="C3" s="6"/>
      <c r="D3" s="6"/>
      <c r="E3" s="40"/>
      <c r="F3" s="6"/>
      <c r="G3" s="6"/>
      <c r="H3" s="6"/>
      <c r="I3" s="41"/>
      <c r="J3" s="41"/>
      <c r="K3" s="41"/>
      <c r="L3" s="6"/>
    </row>
    <row r="4" spans="1:15" ht="13.8" customHeight="1" x14ac:dyDescent="0.3">
      <c r="A4" t="s">
        <v>467</v>
      </c>
      <c r="B4" s="33"/>
      <c r="C4" s="32"/>
      <c r="E4" s="9"/>
      <c r="H4" s="22"/>
      <c r="I4" s="37"/>
      <c r="J4" s="38"/>
      <c r="K4" s="35"/>
      <c r="O4" t="s">
        <v>478</v>
      </c>
    </row>
    <row r="5" spans="1:15" ht="13.8" customHeight="1" x14ac:dyDescent="0.3">
      <c r="B5" s="33">
        <v>3</v>
      </c>
      <c r="C5" s="32" t="str">
        <f>C190</f>
        <v>Zylinderkopfschraube Innensechskant M3 20mm</v>
      </c>
      <c r="D5" t="s">
        <v>270</v>
      </c>
      <c r="E5" s="9"/>
      <c r="H5" s="22"/>
      <c r="I5" s="37"/>
      <c r="J5" s="38"/>
      <c r="K5" s="35"/>
      <c r="L5" t="str">
        <f ca="1">INDIRECT(ADDRESS(MATCH(C5,C$186:C$301,0)+ROW($B$186)-1,12))</f>
        <v>Habs</v>
      </c>
      <c r="O5" t="s">
        <v>479</v>
      </c>
    </row>
    <row r="6" spans="1:15" ht="13.8" customHeight="1" x14ac:dyDescent="0.3">
      <c r="B6" s="33">
        <v>3</v>
      </c>
      <c r="C6" s="32" t="str">
        <f>C216</f>
        <v>Distanzbolzen M3 5mm, Schlüsselweite 5,5mm</v>
      </c>
      <c r="D6" t="s">
        <v>271</v>
      </c>
      <c r="E6" s="9"/>
      <c r="H6" s="22"/>
      <c r="I6" s="37"/>
      <c r="J6" s="38"/>
      <c r="K6" s="35"/>
      <c r="L6" t="str">
        <f ca="1">INDIRECT(ADDRESS(MATCH(C6,C$186:C$301,0)+ROW($B$186)-1,12))</f>
        <v>Habs</v>
      </c>
      <c r="O6" t="s">
        <v>480</v>
      </c>
    </row>
    <row r="7" spans="1:15" ht="13.8" customHeight="1" x14ac:dyDescent="0.3">
      <c r="A7" t="s">
        <v>468</v>
      </c>
      <c r="B7" s="33"/>
      <c r="C7" s="32"/>
      <c r="E7" s="9"/>
      <c r="H7" s="22"/>
      <c r="I7" s="37"/>
      <c r="J7" s="38"/>
      <c r="K7" s="35"/>
    </row>
    <row r="8" spans="1:15" ht="13.8" customHeight="1" x14ac:dyDescent="0.3">
      <c r="B8" s="33">
        <v>1</v>
      </c>
      <c r="C8" s="32" t="str">
        <f>C276</f>
        <v>Rillenkugellager DIN 625 SKF - 61807 35x47x7mm</v>
      </c>
      <c r="D8" t="s">
        <v>273</v>
      </c>
      <c r="E8" s="9"/>
      <c r="H8" s="22"/>
      <c r="I8" s="37"/>
      <c r="J8" s="38"/>
      <c r="K8" s="35"/>
      <c r="L8" t="str">
        <f t="shared" ref="L8:L14" ca="1" si="0">INDIRECT(ADDRESS(MATCH(C8,C$186:C$301,0)+ROW($B$186)-1,12))</f>
        <v>Habs</v>
      </c>
    </row>
    <row r="9" spans="1:15" ht="13.8" customHeight="1" x14ac:dyDescent="0.3">
      <c r="B9" s="33">
        <v>4</v>
      </c>
      <c r="C9" s="32" t="str">
        <f>C191</f>
        <v>Zylinderkopfschraube Innensechskant M3 12mm</v>
      </c>
      <c r="D9" t="s">
        <v>274</v>
      </c>
      <c r="E9" s="9"/>
      <c r="H9" s="22"/>
      <c r="I9" s="37"/>
      <c r="J9" s="38"/>
      <c r="K9" s="35"/>
      <c r="L9" t="str">
        <f t="shared" ca="1" si="0"/>
        <v>Habs</v>
      </c>
    </row>
    <row r="10" spans="1:15" ht="13.8" customHeight="1" x14ac:dyDescent="0.3">
      <c r="B10" s="33">
        <v>4</v>
      </c>
      <c r="C10" s="32" t="str">
        <f>C194</f>
        <v>Zylinderkopfschraube Innensechskant M2 12mm</v>
      </c>
      <c r="D10" t="s">
        <v>276</v>
      </c>
      <c r="E10" s="9"/>
      <c r="H10" s="22"/>
      <c r="I10" s="37"/>
      <c r="J10" s="38"/>
      <c r="K10" s="35"/>
      <c r="L10" t="str">
        <f t="shared" ca="1" si="0"/>
        <v>Habs</v>
      </c>
    </row>
    <row r="11" spans="1:15" ht="13.8" customHeight="1" x14ac:dyDescent="0.3">
      <c r="B11" s="33">
        <v>4</v>
      </c>
      <c r="C11" s="32" t="str">
        <f>C199</f>
        <v>Muttern M3, Schlüsselweite 5.5 mm</v>
      </c>
      <c r="D11" t="s">
        <v>278</v>
      </c>
      <c r="E11" s="9"/>
      <c r="H11" s="22"/>
      <c r="I11" s="37"/>
      <c r="J11" s="38"/>
      <c r="K11" s="35"/>
      <c r="L11" t="str">
        <f t="shared" ca="1" si="0"/>
        <v>Habs</v>
      </c>
    </row>
    <row r="12" spans="1:15" ht="13.8" customHeight="1" x14ac:dyDescent="0.3">
      <c r="B12" s="33">
        <v>2</v>
      </c>
      <c r="C12" s="32" t="str">
        <f>C275</f>
        <v>Rillenkugellager DIN 625 SKF - 61902 15x28x7mm</v>
      </c>
      <c r="D12" t="s">
        <v>280</v>
      </c>
      <c r="E12" s="9"/>
      <c r="H12" s="22"/>
      <c r="I12" s="37"/>
      <c r="J12" s="38"/>
      <c r="K12" s="35"/>
      <c r="L12" t="str">
        <f t="shared" ca="1" si="0"/>
        <v>Habs</v>
      </c>
    </row>
    <row r="13" spans="1:15" ht="13.8" customHeight="1" x14ac:dyDescent="0.3">
      <c r="B13" s="33">
        <v>1</v>
      </c>
      <c r="C13" s="32" t="str">
        <f>C264</f>
        <v xml:space="preserve">Herkulex Servo DRS - 0101 </v>
      </c>
      <c r="D13" t="s">
        <v>365</v>
      </c>
      <c r="E13" s="9"/>
      <c r="H13" s="22"/>
      <c r="I13" s="37"/>
      <c r="J13" s="38"/>
      <c r="K13" s="35"/>
      <c r="L13" t="str">
        <f t="shared" ca="1" si="0"/>
        <v>Habs</v>
      </c>
    </row>
    <row r="14" spans="1:15" ht="13.8" customHeight="1" x14ac:dyDescent="0.3">
      <c r="B14" s="33">
        <v>1</v>
      </c>
      <c r="C14" s="32" t="str">
        <f>C268</f>
        <v>Rillenkugellager 3x10x4</v>
      </c>
      <c r="D14" t="s">
        <v>365</v>
      </c>
      <c r="E14" s="9"/>
      <c r="H14" s="22"/>
      <c r="I14" s="37"/>
      <c r="J14" s="38"/>
      <c r="K14" s="35"/>
      <c r="L14" t="str">
        <f t="shared" ca="1" si="0"/>
        <v>Habs</v>
      </c>
    </row>
    <row r="15" spans="1:15" ht="13.8" customHeight="1" x14ac:dyDescent="0.3">
      <c r="B15" s="33"/>
      <c r="C15" s="32"/>
      <c r="E15" s="9"/>
      <c r="H15" s="22"/>
      <c r="I15" s="37"/>
      <c r="J15" s="38"/>
      <c r="K15" s="35"/>
    </row>
    <row r="16" spans="1:15" ht="13.8" customHeight="1" x14ac:dyDescent="0.3">
      <c r="A16" t="s">
        <v>8</v>
      </c>
      <c r="B16" s="33"/>
      <c r="C16" s="32"/>
      <c r="E16" s="9"/>
      <c r="H16" s="22"/>
      <c r="I16" s="37"/>
      <c r="J16" s="38"/>
      <c r="K16" s="35"/>
    </row>
    <row r="17" spans="1:12" ht="13.8" customHeight="1" x14ac:dyDescent="0.3">
      <c r="B17" s="33">
        <v>8</v>
      </c>
      <c r="C17" s="32" t="str">
        <f>C266</f>
        <v>Rillenkugellager 3x7x3</v>
      </c>
      <c r="D17" t="s">
        <v>571</v>
      </c>
      <c r="E17" s="9"/>
      <c r="H17" s="22"/>
      <c r="I17" s="37"/>
      <c r="J17" s="38"/>
      <c r="K17" s="35"/>
      <c r="L17" t="str">
        <f t="shared" ref="L17:L22" ca="1" si="1">INDIRECT(ADDRESS(MATCH(C17,C$186:C$301,0)+ROW($B$186)-1,12))</f>
        <v>Habs</v>
      </c>
    </row>
    <row r="18" spans="1:12" s="8" customFormat="1" ht="13.8" customHeight="1" x14ac:dyDescent="0.3">
      <c r="B18" s="82">
        <v>8</v>
      </c>
      <c r="C18" s="83" t="str">
        <f>C266</f>
        <v>Rillenkugellager 3x7x3</v>
      </c>
      <c r="D18" s="8" t="s">
        <v>572</v>
      </c>
      <c r="E18" s="84"/>
      <c r="H18" s="85"/>
      <c r="I18" s="37"/>
      <c r="J18" s="86"/>
      <c r="K18" s="35"/>
      <c r="L18" s="8" t="str">
        <f t="shared" ca="1" si="1"/>
        <v>Habs</v>
      </c>
    </row>
    <row r="19" spans="1:12" ht="13.8" customHeight="1" x14ac:dyDescent="0.3">
      <c r="B19" s="33">
        <v>6</v>
      </c>
      <c r="C19" s="32" t="str">
        <f>C190</f>
        <v>Zylinderkopfschraube Innensechskant M3 20mm</v>
      </c>
      <c r="D19" t="s">
        <v>580</v>
      </c>
      <c r="E19" s="9"/>
      <c r="H19" s="22"/>
      <c r="I19" s="37"/>
      <c r="J19" s="38"/>
      <c r="K19" s="35"/>
      <c r="L19" t="str">
        <f t="shared" ca="1" si="1"/>
        <v>Habs</v>
      </c>
    </row>
    <row r="20" spans="1:12" ht="13.8" customHeight="1" x14ac:dyDescent="0.3">
      <c r="B20" s="33">
        <v>3</v>
      </c>
      <c r="C20" s="32" t="str">
        <f>C215</f>
        <v>Distanzbolzen 2x Innen M3 20mm, Schlüsselweite 5,5mm</v>
      </c>
      <c r="D20" t="s">
        <v>580</v>
      </c>
      <c r="E20" s="9"/>
      <c r="H20" s="22"/>
      <c r="I20" s="37"/>
      <c r="J20" s="38"/>
      <c r="K20" s="35"/>
      <c r="L20" t="str">
        <f t="shared" ca="1" si="1"/>
        <v>Habs</v>
      </c>
    </row>
    <row r="21" spans="1:12" ht="13.8" customHeight="1" x14ac:dyDescent="0.3">
      <c r="B21" s="33">
        <v>100</v>
      </c>
      <c r="C21" s="32" t="str">
        <f>C211</f>
        <v>Silberstahlwelle 3mm Durchmesser</v>
      </c>
      <c r="D21" t="s">
        <v>575</v>
      </c>
      <c r="E21" s="9"/>
      <c r="H21" s="22"/>
      <c r="I21" s="37"/>
      <c r="J21" s="38"/>
      <c r="K21" s="35"/>
      <c r="L21" t="str">
        <f t="shared" ca="1" si="1"/>
        <v>Habs</v>
      </c>
    </row>
    <row r="22" spans="1:12" ht="13.8" customHeight="1" x14ac:dyDescent="0.3">
      <c r="B22" s="33">
        <v>1</v>
      </c>
      <c r="C22" s="32" t="str">
        <f>C264</f>
        <v xml:space="preserve">Herkulex Servo DRS - 0101 </v>
      </c>
      <c r="D22" t="s">
        <v>576</v>
      </c>
      <c r="E22" s="9"/>
      <c r="H22" s="22"/>
      <c r="I22" s="37"/>
      <c r="J22" s="38"/>
      <c r="K22" s="35"/>
      <c r="L22" t="str">
        <f t="shared" ca="1" si="1"/>
        <v>Habs</v>
      </c>
    </row>
    <row r="23" spans="1:12" ht="13.8" customHeight="1" x14ac:dyDescent="0.3">
      <c r="B23" s="33"/>
      <c r="C23" s="32"/>
      <c r="E23" s="9"/>
      <c r="H23" s="22"/>
      <c r="I23" s="37"/>
      <c r="J23" s="38"/>
      <c r="K23" s="35"/>
    </row>
    <row r="24" spans="1:12" ht="13.8" customHeight="1" x14ac:dyDescent="0.3">
      <c r="A24" t="s">
        <v>4</v>
      </c>
      <c r="B24" s="33"/>
      <c r="C24" s="32"/>
      <c r="E24" s="9"/>
      <c r="H24" s="22"/>
      <c r="I24" s="37"/>
      <c r="J24" s="38"/>
      <c r="K24" s="35"/>
    </row>
    <row r="25" spans="1:12" s="55" customFormat="1" ht="13.8" customHeight="1" x14ac:dyDescent="0.3">
      <c r="B25" s="56">
        <v>1</v>
      </c>
      <c r="C25" s="57" t="str">
        <f>C223</f>
        <v>Zahnriemenscheibe T2,5, 16 Zähne (d=12,73)</v>
      </c>
      <c r="D25" s="55" t="s">
        <v>505</v>
      </c>
      <c r="E25" s="58"/>
      <c r="H25" s="59"/>
      <c r="I25" s="60"/>
      <c r="J25" s="61"/>
      <c r="K25" s="62"/>
      <c r="L25" t="str">
        <f t="shared" ref="L25:L50" ca="1" si="2">INDIRECT(ADDRESS(MATCH(C25,C$186:C$301,0)+ROW($B$186)-1,12))</f>
        <v>Habs</v>
      </c>
    </row>
    <row r="26" spans="1:12" s="74" customFormat="1" ht="13.8" customHeight="1" x14ac:dyDescent="0.3">
      <c r="B26" s="75">
        <v>1</v>
      </c>
      <c r="C26" s="76" t="str">
        <f>C246</f>
        <v>Zahnriemen T2,5 245mm 6mm Breite</v>
      </c>
      <c r="D26" s="74" t="s">
        <v>531</v>
      </c>
      <c r="E26" s="77" t="s">
        <v>529</v>
      </c>
      <c r="H26" s="78"/>
      <c r="I26" s="79"/>
      <c r="J26" s="80"/>
      <c r="K26" s="81"/>
      <c r="L26" s="74" t="str">
        <f t="shared" ca="1" si="2"/>
        <v>Habs</v>
      </c>
    </row>
    <row r="27" spans="1:12" ht="13.8" customHeight="1" x14ac:dyDescent="0.3">
      <c r="B27" s="33">
        <v>46</v>
      </c>
      <c r="C27" s="32" t="str">
        <f>C210</f>
        <v>Silberstahlwelle 6mm Durchmesser</v>
      </c>
      <c r="D27" t="s">
        <v>282</v>
      </c>
      <c r="E27" s="9"/>
      <c r="H27" s="22"/>
      <c r="I27" s="37"/>
      <c r="J27" s="38"/>
      <c r="K27" s="35"/>
      <c r="L27" t="str">
        <f t="shared" ca="1" si="2"/>
        <v>Habs</v>
      </c>
    </row>
    <row r="28" spans="1:12" ht="13.8" customHeight="1" x14ac:dyDescent="0.3">
      <c r="B28" s="33">
        <v>1</v>
      </c>
      <c r="C28" s="32" t="str">
        <f>C285</f>
        <v>Metallbohrer 6mm</v>
      </c>
      <c r="D28" t="s">
        <v>282</v>
      </c>
      <c r="E28" s="9"/>
      <c r="H28" s="22"/>
      <c r="I28" s="37"/>
      <c r="J28" s="38"/>
      <c r="K28" s="35"/>
      <c r="L28" t="str">
        <f t="shared" ca="1" si="2"/>
        <v>Habs</v>
      </c>
    </row>
    <row r="29" spans="1:12" ht="13.8" customHeight="1" x14ac:dyDescent="0.3">
      <c r="B29" s="33">
        <v>1</v>
      </c>
      <c r="C29" s="32" t="str">
        <f>C287</f>
        <v>Metallbohrer 2.5mm (als M3 Kernlochborer)</v>
      </c>
      <c r="D29" t="s">
        <v>282</v>
      </c>
      <c r="E29" s="9"/>
      <c r="H29" s="22"/>
      <c r="I29" s="37"/>
      <c r="J29" s="38"/>
      <c r="K29" s="35"/>
      <c r="L29" t="str">
        <f t="shared" ca="1" si="2"/>
        <v>Habs</v>
      </c>
    </row>
    <row r="30" spans="1:12" ht="13.8" customHeight="1" x14ac:dyDescent="0.3">
      <c r="B30" s="33">
        <v>1</v>
      </c>
      <c r="C30" s="32" t="str">
        <f>C283</f>
        <v>Gewindeschneider M3</v>
      </c>
      <c r="D30" t="s">
        <v>282</v>
      </c>
      <c r="E30" s="9"/>
      <c r="H30" s="22"/>
      <c r="I30" s="37"/>
      <c r="J30" s="38"/>
      <c r="K30" s="35"/>
      <c r="L30" t="str">
        <f t="shared" ca="1" si="2"/>
        <v>Habs</v>
      </c>
    </row>
    <row r="31" spans="1:12" ht="13.8" customHeight="1" x14ac:dyDescent="0.3">
      <c r="B31" s="33">
        <v>2</v>
      </c>
      <c r="C31" s="32" t="str">
        <f>C273</f>
        <v>Rillenkugellager 6x10x3</v>
      </c>
      <c r="D31" t="s">
        <v>286</v>
      </c>
      <c r="E31" s="9"/>
      <c r="H31" s="22"/>
      <c r="I31" s="37"/>
      <c r="J31" s="38"/>
      <c r="K31" s="35"/>
      <c r="L31" t="str">
        <f t="shared" ca="1" si="2"/>
        <v>Habs</v>
      </c>
    </row>
    <row r="32" spans="1:12" ht="13.8" customHeight="1" x14ac:dyDescent="0.3">
      <c r="B32" s="33">
        <v>1</v>
      </c>
      <c r="C32" s="32" t="str">
        <f>C257</f>
        <v>NEMA 17 - 42x42x39 - 0,40Nm - 5mm Achse - 0,40A 12V</v>
      </c>
      <c r="D32" t="s">
        <v>288</v>
      </c>
      <c r="E32" s="9"/>
      <c r="H32" s="22"/>
      <c r="I32" s="37"/>
      <c r="J32" s="38"/>
      <c r="K32" s="35"/>
      <c r="L32" t="str">
        <f t="shared" ca="1" si="2"/>
        <v>Habs</v>
      </c>
    </row>
    <row r="33" spans="2:12" ht="13.8" customHeight="1" x14ac:dyDescent="0.3">
      <c r="B33" s="33">
        <v>2</v>
      </c>
      <c r="C33" s="32" t="str">
        <f>C190</f>
        <v>Zylinderkopfschraube Innensechskant M3 20mm</v>
      </c>
      <c r="D33" t="s">
        <v>289</v>
      </c>
      <c r="E33" s="9"/>
      <c r="H33" s="22"/>
      <c r="I33" s="37"/>
      <c r="J33" s="38"/>
      <c r="K33" s="35"/>
      <c r="L33" t="str">
        <f t="shared" ca="1" si="2"/>
        <v>Habs</v>
      </c>
    </row>
    <row r="34" spans="2:12" ht="13.8" customHeight="1" x14ac:dyDescent="0.3">
      <c r="B34" s="33">
        <v>2</v>
      </c>
      <c r="C34" s="32" t="str">
        <f>C204</f>
        <v>Unterlegscheiben M3 Dicke 0,5mm, Außendurchmesser 7mm</v>
      </c>
      <c r="D34" t="s">
        <v>289</v>
      </c>
      <c r="E34" s="9"/>
      <c r="H34" s="22"/>
      <c r="I34" s="37"/>
      <c r="J34" s="38"/>
      <c r="K34" s="35"/>
      <c r="L34" t="str">
        <f t="shared" ca="1" si="2"/>
        <v>Habs</v>
      </c>
    </row>
    <row r="35" spans="2:12" ht="13.8" customHeight="1" x14ac:dyDescent="0.3">
      <c r="B35" s="33">
        <v>1</v>
      </c>
      <c r="C35" s="32" t="str">
        <f>C245</f>
        <v>Zahnriemen T2,5 230mm 6mm Breite</v>
      </c>
      <c r="D35" t="s">
        <v>498</v>
      </c>
      <c r="E35" s="9"/>
      <c r="H35" s="22"/>
      <c r="I35" s="37"/>
      <c r="J35" s="38"/>
      <c r="K35" s="35"/>
      <c r="L35" t="str">
        <f t="shared" ca="1" si="2"/>
        <v>Habs</v>
      </c>
    </row>
    <row r="36" spans="2:12" ht="13.8" customHeight="1" x14ac:dyDescent="0.3">
      <c r="B36" s="33">
        <v>1</v>
      </c>
      <c r="C36" s="32" t="str">
        <f>C190</f>
        <v>Zylinderkopfschraube Innensechskant M3 20mm</v>
      </c>
      <c r="D36" t="s">
        <v>291</v>
      </c>
      <c r="E36" s="9"/>
      <c r="H36" s="22"/>
      <c r="I36" s="37"/>
      <c r="J36" s="38"/>
      <c r="K36" s="35"/>
      <c r="L36" t="str">
        <f t="shared" ca="1" si="2"/>
        <v>Habs</v>
      </c>
    </row>
    <row r="37" spans="2:12" ht="13.8" customHeight="1" x14ac:dyDescent="0.3">
      <c r="B37" s="33">
        <v>2</v>
      </c>
      <c r="C37" s="32" t="str">
        <f>C204</f>
        <v>Unterlegscheiben M3 Dicke 0,5mm, Außendurchmesser 7mm</v>
      </c>
      <c r="D37" t="s">
        <v>291</v>
      </c>
      <c r="E37" s="9"/>
      <c r="H37" s="22"/>
      <c r="I37" s="37"/>
      <c r="J37" s="38"/>
      <c r="K37" s="35"/>
      <c r="L37" t="str">
        <f t="shared" ca="1" si="2"/>
        <v>Habs</v>
      </c>
    </row>
    <row r="38" spans="2:12" ht="13.8" customHeight="1" x14ac:dyDescent="0.3">
      <c r="B38" s="33">
        <v>2</v>
      </c>
      <c r="C38" s="32" t="str">
        <f>C268</f>
        <v>Rillenkugellager 3x10x4</v>
      </c>
      <c r="D38" t="s">
        <v>301</v>
      </c>
      <c r="E38" s="9"/>
      <c r="H38" s="22"/>
      <c r="I38" s="37"/>
      <c r="J38" s="38"/>
      <c r="K38" s="35"/>
      <c r="L38" t="str">
        <f t="shared" ca="1" si="2"/>
        <v>Habs</v>
      </c>
    </row>
    <row r="39" spans="2:12" ht="13.8" customHeight="1" x14ac:dyDescent="0.3">
      <c r="B39" s="33">
        <v>4</v>
      </c>
      <c r="C39" s="32" t="str">
        <f>C193</f>
        <v>Zylinderkopfschraube Innensechskant M2 6mm</v>
      </c>
      <c r="D39" t="s">
        <v>294</v>
      </c>
      <c r="E39" s="9"/>
      <c r="H39" s="22"/>
      <c r="I39" s="37"/>
      <c r="J39" s="38"/>
      <c r="K39" s="35"/>
      <c r="L39" t="str">
        <f t="shared" ca="1" si="2"/>
        <v>Habs</v>
      </c>
    </row>
    <row r="40" spans="2:12" ht="13.8" customHeight="1" x14ac:dyDescent="0.3">
      <c r="B40" s="33">
        <v>4</v>
      </c>
      <c r="C40" s="32" t="str">
        <f>C200</f>
        <v>Muttern M2</v>
      </c>
      <c r="D40" t="s">
        <v>294</v>
      </c>
      <c r="E40" s="9"/>
      <c r="H40" s="22"/>
      <c r="I40" s="37"/>
      <c r="J40" s="38"/>
      <c r="K40" s="35"/>
      <c r="L40" t="str">
        <f t="shared" ca="1" si="2"/>
        <v>Habs</v>
      </c>
    </row>
    <row r="41" spans="2:12" ht="13.8" customHeight="1" x14ac:dyDescent="0.3">
      <c r="B41" s="33">
        <v>1</v>
      </c>
      <c r="C41" s="32" t="str">
        <f>C263</f>
        <v>Rotary Sensor</v>
      </c>
      <c r="D41" t="s">
        <v>297</v>
      </c>
      <c r="E41" s="9"/>
      <c r="H41" s="22"/>
      <c r="I41" s="37"/>
      <c r="J41" s="38"/>
      <c r="K41" s="35"/>
      <c r="L41" t="str">
        <f t="shared" ca="1" si="2"/>
        <v>Habs</v>
      </c>
    </row>
    <row r="42" spans="2:12" ht="13.8" customHeight="1" x14ac:dyDescent="0.3">
      <c r="B42" s="33">
        <v>2</v>
      </c>
      <c r="C42" s="32" t="str">
        <f>C205</f>
        <v>Unterlegscheiben M2 Dicke 0,5mm</v>
      </c>
      <c r="D42" t="s">
        <v>298</v>
      </c>
      <c r="E42" s="9"/>
      <c r="H42" s="22"/>
      <c r="I42" s="37"/>
      <c r="J42" s="38"/>
      <c r="K42" s="35"/>
      <c r="L42" t="str">
        <f t="shared" ca="1" si="2"/>
        <v>Habs</v>
      </c>
    </row>
    <row r="43" spans="2:12" ht="13.8" customHeight="1" x14ac:dyDescent="0.3">
      <c r="B43" s="33">
        <v>3</v>
      </c>
      <c r="C43" s="32" t="str">
        <f>C215</f>
        <v>Distanzbolzen 2x Innen M3 20mm, Schlüsselweite 5,5mm</v>
      </c>
      <c r="D43" t="s">
        <v>514</v>
      </c>
      <c r="E43" s="9"/>
      <c r="H43" s="22"/>
      <c r="I43" s="37"/>
      <c r="J43" s="38"/>
      <c r="K43" s="35"/>
      <c r="L43" t="str">
        <f t="shared" ca="1" si="2"/>
        <v>Habs</v>
      </c>
    </row>
    <row r="44" spans="2:12" ht="13.8" customHeight="1" x14ac:dyDescent="0.3">
      <c r="B44" s="33">
        <v>6</v>
      </c>
      <c r="C44" s="32" t="str">
        <f>C204</f>
        <v>Unterlegscheiben M3 Dicke 0,5mm, Außendurchmesser 7mm</v>
      </c>
      <c r="D44" t="s">
        <v>514</v>
      </c>
      <c r="E44" s="9"/>
      <c r="H44" s="22"/>
      <c r="I44" s="37"/>
      <c r="J44" s="38"/>
      <c r="K44" s="35"/>
      <c r="L44" t="str">
        <f t="shared" ca="1" si="2"/>
        <v>Habs</v>
      </c>
    </row>
    <row r="45" spans="2:12" ht="13.8" customHeight="1" x14ac:dyDescent="0.3">
      <c r="B45" s="33">
        <v>6</v>
      </c>
      <c r="C45" s="32" t="str">
        <f>C188</f>
        <v>Zylinderkopfschraube Innensechskant M3 30mm</v>
      </c>
      <c r="D45" t="s">
        <v>514</v>
      </c>
      <c r="E45" s="9"/>
      <c r="H45" s="22"/>
      <c r="I45" s="37"/>
      <c r="J45" s="38"/>
      <c r="K45" s="35"/>
      <c r="L45" t="str">
        <f t="shared" ca="1" si="2"/>
        <v>Habs</v>
      </c>
    </row>
    <row r="46" spans="2:12" ht="13.8" customHeight="1" x14ac:dyDescent="0.3">
      <c r="B46" s="33">
        <v>1</v>
      </c>
      <c r="C46" s="32" t="str">
        <f>C215</f>
        <v>Distanzbolzen 2x Innen M3 20mm, Schlüsselweite 5,5mm</v>
      </c>
      <c r="D46" t="s">
        <v>513</v>
      </c>
      <c r="E46" s="9"/>
      <c r="H46" s="22"/>
      <c r="I46" s="37"/>
      <c r="J46" s="38"/>
      <c r="K46" s="35"/>
      <c r="L46" t="str">
        <f t="shared" ca="1" si="2"/>
        <v>Habs</v>
      </c>
    </row>
    <row r="47" spans="2:12" ht="13.8" customHeight="1" x14ac:dyDescent="0.3">
      <c r="B47" s="33">
        <v>2</v>
      </c>
      <c r="C47" s="32" t="str">
        <f>C190</f>
        <v>Zylinderkopfschraube Innensechskant M3 20mm</v>
      </c>
      <c r="D47" t="s">
        <v>513</v>
      </c>
      <c r="E47" s="9"/>
      <c r="H47" s="22"/>
      <c r="I47" s="37"/>
      <c r="J47" s="38"/>
      <c r="K47" s="35"/>
      <c r="L47" t="str">
        <f t="shared" ca="1" si="2"/>
        <v>Habs</v>
      </c>
    </row>
    <row r="48" spans="2:12" ht="13.8" customHeight="1" x14ac:dyDescent="0.3">
      <c r="B48" s="33">
        <v>4</v>
      </c>
      <c r="C48" s="32" t="str">
        <f>C215</f>
        <v>Distanzbolzen 2x Innen M3 20mm, Schlüsselweite 5,5mm</v>
      </c>
      <c r="D48" t="s">
        <v>309</v>
      </c>
      <c r="E48" s="9"/>
      <c r="H48" s="22"/>
      <c r="I48" s="37"/>
      <c r="J48" s="38"/>
      <c r="K48" s="35"/>
      <c r="L48" t="str">
        <f t="shared" ca="1" si="2"/>
        <v>Habs</v>
      </c>
    </row>
    <row r="49" spans="1:12" ht="13.8" customHeight="1" x14ac:dyDescent="0.3">
      <c r="B49" s="33">
        <v>4</v>
      </c>
      <c r="C49" s="32" t="str">
        <f>C190</f>
        <v>Zylinderkopfschraube Innensechskant M3 20mm</v>
      </c>
      <c r="D49" t="s">
        <v>310</v>
      </c>
      <c r="E49" s="9"/>
      <c r="H49" s="22"/>
      <c r="I49" s="37"/>
      <c r="J49" s="38"/>
      <c r="K49" s="35"/>
      <c r="L49" t="str">
        <f t="shared" ca="1" si="2"/>
        <v>Habs</v>
      </c>
    </row>
    <row r="50" spans="1:12" ht="13.8" customHeight="1" x14ac:dyDescent="0.3">
      <c r="B50" s="33">
        <v>4</v>
      </c>
      <c r="C50" s="32" t="str">
        <f>C204</f>
        <v>Unterlegscheiben M3 Dicke 0,5mm, Außendurchmesser 7mm</v>
      </c>
      <c r="D50" t="s">
        <v>309</v>
      </c>
      <c r="E50" s="9"/>
      <c r="H50" s="22"/>
      <c r="I50" s="37"/>
      <c r="J50" s="38"/>
      <c r="K50" s="35"/>
      <c r="L50" t="str">
        <f t="shared" ca="1" si="2"/>
        <v>Habs</v>
      </c>
    </row>
    <row r="51" spans="1:12" ht="13.8" customHeight="1" x14ac:dyDescent="0.3">
      <c r="B51" s="33"/>
      <c r="C51" s="32"/>
      <c r="E51" s="9"/>
      <c r="H51" s="22"/>
      <c r="I51" s="37"/>
      <c r="J51" s="38"/>
      <c r="K51" s="35"/>
    </row>
    <row r="52" spans="1:12" ht="13.8" customHeight="1" x14ac:dyDescent="0.3">
      <c r="B52" s="33"/>
      <c r="C52" s="32"/>
      <c r="E52" s="9"/>
      <c r="H52" s="22"/>
      <c r="I52" s="37"/>
      <c r="J52" s="38"/>
      <c r="K52" s="35"/>
    </row>
    <row r="53" spans="1:12" ht="13.8" customHeight="1" x14ac:dyDescent="0.3">
      <c r="B53" s="33"/>
      <c r="C53" s="32"/>
      <c r="E53" s="9"/>
      <c r="H53" s="22"/>
      <c r="I53" s="37"/>
      <c r="J53" s="38"/>
      <c r="K53" s="35"/>
    </row>
    <row r="54" spans="1:12" ht="13.8" customHeight="1" x14ac:dyDescent="0.3">
      <c r="A54" t="s">
        <v>469</v>
      </c>
      <c r="B54" s="33">
        <v>2</v>
      </c>
      <c r="C54" s="32" t="str">
        <f>C276</f>
        <v>Rillenkugellager DIN 625 SKF - 61807 35x47x7mm</v>
      </c>
      <c r="D54" t="s">
        <v>308</v>
      </c>
      <c r="E54" s="9"/>
      <c r="H54" s="22"/>
      <c r="I54" s="37"/>
      <c r="J54" s="38"/>
      <c r="K54" s="35"/>
      <c r="L54" t="str">
        <f t="shared" ref="L54:L72" ca="1" si="3">INDIRECT(ADDRESS(MATCH(C54,C$186:C$301,0)+ROW($B$186)-1,12))</f>
        <v>Habs</v>
      </c>
    </row>
    <row r="55" spans="1:12" ht="13.8" customHeight="1" x14ac:dyDescent="0.3">
      <c r="B55" s="33">
        <v>2</v>
      </c>
      <c r="C55" s="32" t="str">
        <f>C274</f>
        <v>RillenKugellager 6x19x6</v>
      </c>
      <c r="D55" t="s">
        <v>313</v>
      </c>
      <c r="E55" s="9"/>
      <c r="H55" s="22"/>
      <c r="I55" s="37"/>
      <c r="J55" s="38"/>
      <c r="K55" s="35"/>
      <c r="L55" t="str">
        <f t="shared" ca="1" si="3"/>
        <v>Habs</v>
      </c>
    </row>
    <row r="56" spans="1:12" ht="13.8" customHeight="1" x14ac:dyDescent="0.3">
      <c r="B56" s="33">
        <v>4</v>
      </c>
      <c r="C56" s="32" t="str">
        <f>C268</f>
        <v>Rillenkugellager 3x10x4</v>
      </c>
      <c r="D56" t="s">
        <v>314</v>
      </c>
      <c r="E56" s="9"/>
      <c r="H56" s="22"/>
      <c r="I56" s="37"/>
      <c r="J56" s="38"/>
      <c r="K56" s="35"/>
      <c r="L56" t="str">
        <f t="shared" ca="1" si="3"/>
        <v>Habs</v>
      </c>
    </row>
    <row r="57" spans="1:12" ht="13.8" customHeight="1" x14ac:dyDescent="0.3">
      <c r="B57" s="33">
        <v>40</v>
      </c>
      <c r="C57" s="32" t="str">
        <f>C210</f>
        <v>Silberstahlwelle 6mm Durchmesser</v>
      </c>
      <c r="D57" t="s">
        <v>318</v>
      </c>
      <c r="E57" s="9"/>
      <c r="H57" s="22"/>
      <c r="I57" s="37"/>
      <c r="J57" s="38"/>
      <c r="K57" s="35"/>
      <c r="L57" t="str">
        <f t="shared" ca="1" si="3"/>
        <v>Habs</v>
      </c>
    </row>
    <row r="58" spans="1:12" ht="13.8" customHeight="1" x14ac:dyDescent="0.3">
      <c r="B58" s="33">
        <f>2*21</f>
        <v>42</v>
      </c>
      <c r="C58" s="32" t="str">
        <f>C211</f>
        <v>Silberstahlwelle 3mm Durchmesser</v>
      </c>
      <c r="D58" t="s">
        <v>424</v>
      </c>
      <c r="E58" s="9"/>
      <c r="H58" s="22"/>
      <c r="I58" s="37"/>
      <c r="J58" s="38"/>
      <c r="K58" s="35"/>
      <c r="L58" t="str">
        <f t="shared" ca="1" si="3"/>
        <v>Habs</v>
      </c>
    </row>
    <row r="59" spans="1:12" ht="13.8" customHeight="1" x14ac:dyDescent="0.3">
      <c r="B59" s="33">
        <v>1</v>
      </c>
      <c r="C59" s="32" t="str">
        <f>C285</f>
        <v>Metallbohrer 6mm</v>
      </c>
      <c r="D59" t="s">
        <v>282</v>
      </c>
      <c r="E59" s="9"/>
      <c r="H59" s="22"/>
      <c r="I59" s="37"/>
      <c r="J59" s="38"/>
      <c r="K59" s="35"/>
      <c r="L59" t="str">
        <f t="shared" ca="1" si="3"/>
        <v>Habs</v>
      </c>
    </row>
    <row r="60" spans="1:12" ht="13.8" customHeight="1" x14ac:dyDescent="0.3">
      <c r="B60" s="33">
        <v>1</v>
      </c>
      <c r="C60" s="32" t="str">
        <f>C283</f>
        <v>Gewindeschneider M3</v>
      </c>
      <c r="D60" t="s">
        <v>282</v>
      </c>
      <c r="E60" s="9"/>
      <c r="H60" s="22"/>
      <c r="I60" s="37"/>
      <c r="J60" s="38"/>
      <c r="K60" s="35"/>
      <c r="L60" t="str">
        <f t="shared" ca="1" si="3"/>
        <v>Habs</v>
      </c>
    </row>
    <row r="61" spans="1:12" ht="13.8" customHeight="1" x14ac:dyDescent="0.3">
      <c r="B61" s="33">
        <v>1</v>
      </c>
      <c r="C61" s="32" t="str">
        <f>C287</f>
        <v>Metallbohrer 2.5mm (als M3 Kernlochborer)</v>
      </c>
      <c r="D61" t="s">
        <v>282</v>
      </c>
      <c r="E61" s="9"/>
      <c r="H61" s="22"/>
      <c r="I61" s="37"/>
      <c r="J61" s="38"/>
      <c r="K61" s="35"/>
      <c r="L61" t="str">
        <f t="shared" ca="1" si="3"/>
        <v>Habs</v>
      </c>
    </row>
    <row r="62" spans="1:12" ht="13.8" customHeight="1" x14ac:dyDescent="0.3">
      <c r="B62" s="33">
        <v>3</v>
      </c>
      <c r="C62" s="32" t="str">
        <f>C190</f>
        <v>Zylinderkopfschraube Innensechskant M3 20mm</v>
      </c>
      <c r="D62" t="s">
        <v>515</v>
      </c>
      <c r="E62" s="9"/>
      <c r="H62" s="22"/>
      <c r="I62" s="37"/>
      <c r="J62" s="38"/>
      <c r="K62" s="35"/>
      <c r="L62" t="str">
        <f t="shared" ca="1" si="3"/>
        <v>Habs</v>
      </c>
    </row>
    <row r="63" spans="1:12" ht="13.8" customHeight="1" x14ac:dyDescent="0.3">
      <c r="B63" s="33">
        <v>3</v>
      </c>
      <c r="C63" s="32" t="str">
        <f>C199</f>
        <v>Muttern M3, Schlüsselweite 5.5 mm</v>
      </c>
      <c r="D63" t="s">
        <v>515</v>
      </c>
      <c r="E63" s="9"/>
      <c r="H63" s="22"/>
      <c r="I63" s="37"/>
      <c r="J63" s="38"/>
      <c r="K63" s="35"/>
      <c r="L63" t="str">
        <f t="shared" ca="1" si="3"/>
        <v>Habs</v>
      </c>
    </row>
    <row r="64" spans="1:12" ht="13.8" customHeight="1" x14ac:dyDescent="0.3">
      <c r="B64" s="33">
        <v>6</v>
      </c>
      <c r="C64" s="32" t="str">
        <f>C189</f>
        <v>Zylinderkopfschraube Innensechskant M3 25mm</v>
      </c>
      <c r="D64" t="s">
        <v>516</v>
      </c>
      <c r="E64" s="9"/>
      <c r="H64" s="22"/>
      <c r="I64" s="37"/>
      <c r="J64" s="38"/>
      <c r="K64" s="35"/>
      <c r="L64" t="str">
        <f t="shared" ca="1" si="3"/>
        <v>Habs</v>
      </c>
    </row>
    <row r="65" spans="1:12" ht="13.8" customHeight="1" x14ac:dyDescent="0.3">
      <c r="B65" s="33">
        <v>4</v>
      </c>
      <c r="C65" s="32" t="str">
        <f>C215</f>
        <v>Distanzbolzen 2x Innen M3 20mm, Schlüsselweite 5,5mm</v>
      </c>
      <c r="D65" t="s">
        <v>516</v>
      </c>
      <c r="E65" s="9"/>
      <c r="H65" s="22"/>
      <c r="I65" s="37"/>
      <c r="J65" s="38"/>
      <c r="K65" s="35"/>
      <c r="L65" t="str">
        <f t="shared" ca="1" si="3"/>
        <v>Habs</v>
      </c>
    </row>
    <row r="66" spans="1:12" ht="13.8" customHeight="1" x14ac:dyDescent="0.3">
      <c r="B66" s="33">
        <v>1</v>
      </c>
      <c r="C66" s="32" t="str">
        <f>C259</f>
        <v>NEMA 17 - 42x42x34 - 0,26Nm - 5mm Achse - 0.4A 12V</v>
      </c>
      <c r="D66" t="s">
        <v>288</v>
      </c>
      <c r="E66" s="9"/>
      <c r="H66" s="22"/>
      <c r="I66" s="37"/>
      <c r="J66" s="38"/>
      <c r="K66" s="35"/>
      <c r="L66" t="str">
        <f t="shared" ca="1" si="3"/>
        <v>Habs</v>
      </c>
    </row>
    <row r="67" spans="1:12" ht="13.8" customHeight="1" x14ac:dyDescent="0.3">
      <c r="B67" s="33">
        <v>1</v>
      </c>
      <c r="C67" s="32" t="str">
        <f>C263</f>
        <v>Rotary Sensor</v>
      </c>
      <c r="D67" t="s">
        <v>297</v>
      </c>
      <c r="E67" s="9"/>
      <c r="H67" s="22"/>
      <c r="I67" s="37"/>
      <c r="J67" s="38"/>
      <c r="K67" s="35"/>
      <c r="L67" t="str">
        <f t="shared" ca="1" si="3"/>
        <v>Habs</v>
      </c>
    </row>
    <row r="68" spans="1:12" ht="13.8" customHeight="1" x14ac:dyDescent="0.3">
      <c r="B68" s="33">
        <v>1</v>
      </c>
      <c r="C68" s="32" t="str">
        <f>C243</f>
        <v>Zahnriemen T2,5 177,5mm 6mm Breite</v>
      </c>
      <c r="D68" t="s">
        <v>519</v>
      </c>
      <c r="E68" s="9" t="s">
        <v>529</v>
      </c>
      <c r="H68" s="22"/>
      <c r="I68" s="37"/>
      <c r="J68" s="38"/>
      <c r="K68" s="35"/>
      <c r="L68" t="str">
        <f t="shared" ca="1" si="3"/>
        <v>Habs</v>
      </c>
    </row>
    <row r="69" spans="1:12" ht="13.8" customHeight="1" x14ac:dyDescent="0.3">
      <c r="B69" s="33">
        <v>1</v>
      </c>
      <c r="C69" s="32" t="str">
        <f>C240</f>
        <v>Zahnriemen T2,5 120mm 6mm Breite</v>
      </c>
      <c r="D69" t="s">
        <v>565</v>
      </c>
      <c r="E69" s="9"/>
      <c r="H69" s="22"/>
      <c r="I69" s="37"/>
      <c r="J69" s="38"/>
      <c r="K69" s="35"/>
      <c r="L69" t="str">
        <f t="shared" ca="1" si="3"/>
        <v>Habs</v>
      </c>
    </row>
    <row r="70" spans="1:12" s="55" customFormat="1" ht="13.8" customHeight="1" x14ac:dyDescent="0.3">
      <c r="B70" s="56">
        <v>1</v>
      </c>
      <c r="C70" s="57" t="str">
        <f>C223</f>
        <v>Zahnriemenscheibe T2,5, 16 Zähne (d=12,73)</v>
      </c>
      <c r="D70" s="55" t="s">
        <v>555</v>
      </c>
      <c r="E70" s="58"/>
      <c r="H70" s="59"/>
      <c r="I70" s="60"/>
      <c r="J70" s="61"/>
      <c r="K70" s="62"/>
      <c r="L70" s="55" t="str">
        <f t="shared" ca="1" si="3"/>
        <v>Habs</v>
      </c>
    </row>
    <row r="71" spans="1:12" s="55" customFormat="1" ht="13.8" customHeight="1" x14ac:dyDescent="0.3">
      <c r="B71" s="56">
        <v>1</v>
      </c>
      <c r="C71" s="57" t="str">
        <f>C219</f>
        <v>Zahnriemenscheibe T2,5, 22 Zähne (d=17,51)</v>
      </c>
      <c r="D71" s="55" t="s">
        <v>554</v>
      </c>
      <c r="E71" s="58"/>
      <c r="H71" s="59"/>
      <c r="I71" s="60"/>
      <c r="J71" s="61"/>
      <c r="K71" s="62"/>
      <c r="L71" s="55" t="str">
        <f t="shared" ca="1" si="3"/>
        <v>Habs</v>
      </c>
    </row>
    <row r="72" spans="1:12" ht="13.8" customHeight="1" x14ac:dyDescent="0.3">
      <c r="B72" s="33">
        <v>1</v>
      </c>
      <c r="C72" s="32" t="str">
        <f>C224</f>
        <v xml:space="preserve"> Zahnriemenscheibe T2,5, 15 Zähne (d=11,94)</v>
      </c>
      <c r="D72" t="s">
        <v>554</v>
      </c>
      <c r="E72" s="9" t="s">
        <v>529</v>
      </c>
      <c r="H72" s="22"/>
      <c r="I72" s="37"/>
      <c r="J72" s="38"/>
      <c r="K72" s="35"/>
      <c r="L72" t="str">
        <f t="shared" ca="1" si="3"/>
        <v>-</v>
      </c>
    </row>
    <row r="73" spans="1:12" ht="13.8" customHeight="1" x14ac:dyDescent="0.3">
      <c r="B73" s="33"/>
      <c r="C73" s="32"/>
      <c r="E73" s="9"/>
      <c r="H73" s="22"/>
      <c r="I73" s="37"/>
      <c r="J73" s="38"/>
      <c r="K73" s="35"/>
    </row>
    <row r="74" spans="1:12" ht="13.8" customHeight="1" x14ac:dyDescent="0.3">
      <c r="A74" t="s">
        <v>3</v>
      </c>
      <c r="B74" s="33">
        <v>4</v>
      </c>
      <c r="C74" s="32" t="str">
        <f>C193</f>
        <v>Zylinderkopfschraube Innensechskant M2 6mm</v>
      </c>
      <c r="D74" t="s">
        <v>294</v>
      </c>
      <c r="E74" s="9"/>
      <c r="H74" s="22"/>
      <c r="I74" s="37"/>
      <c r="J74" s="38"/>
      <c r="K74" s="35"/>
      <c r="L74" t="str">
        <f t="shared" ref="L74:L121" ca="1" si="4">INDIRECT(ADDRESS(MATCH(C74,C$186:C$301,0)+ROW($B$186)-1,12))</f>
        <v>Habs</v>
      </c>
    </row>
    <row r="75" spans="1:12" ht="13.8" customHeight="1" x14ac:dyDescent="0.3">
      <c r="B75" s="33">
        <v>4</v>
      </c>
      <c r="C75" s="32" t="str">
        <f>C200</f>
        <v>Muttern M2</v>
      </c>
      <c r="D75" t="s">
        <v>294</v>
      </c>
      <c r="E75" s="9"/>
      <c r="H75" s="22"/>
      <c r="I75" s="37"/>
      <c r="J75" s="38"/>
      <c r="K75" s="35"/>
      <c r="L75" t="str">
        <f t="shared" ca="1" si="4"/>
        <v>Habs</v>
      </c>
    </row>
    <row r="76" spans="1:12" ht="13.8" customHeight="1" x14ac:dyDescent="0.3">
      <c r="B76" s="33">
        <v>1</v>
      </c>
      <c r="C76" s="32" t="str">
        <f>C263</f>
        <v>Rotary Sensor</v>
      </c>
      <c r="D76" t="s">
        <v>297</v>
      </c>
      <c r="E76" s="9"/>
      <c r="H76" s="22"/>
      <c r="I76" s="37"/>
      <c r="J76" s="38"/>
      <c r="K76" s="35"/>
      <c r="L76" t="str">
        <f t="shared" ca="1" si="4"/>
        <v>Habs</v>
      </c>
    </row>
    <row r="77" spans="1:12" ht="13.8" customHeight="1" x14ac:dyDescent="0.3">
      <c r="B77" s="33">
        <v>2</v>
      </c>
      <c r="C77" s="32" t="str">
        <f>C205</f>
        <v>Unterlegscheiben M2 Dicke 0,5mm</v>
      </c>
      <c r="D77" t="s">
        <v>298</v>
      </c>
      <c r="E77" s="9"/>
      <c r="H77" s="22"/>
      <c r="I77" s="37"/>
      <c r="J77" s="38"/>
      <c r="K77" s="35"/>
      <c r="L77" t="str">
        <f t="shared" ca="1" si="4"/>
        <v>Habs</v>
      </c>
    </row>
    <row r="78" spans="1:12" ht="13.8" customHeight="1" x14ac:dyDescent="0.3">
      <c r="B78" s="33">
        <v>2</v>
      </c>
      <c r="C78" s="32" t="str">
        <f>C276</f>
        <v>Rillenkugellager DIN 625 SKF - 61807 35x47x7mm</v>
      </c>
      <c r="D78" t="s">
        <v>327</v>
      </c>
      <c r="E78" s="9"/>
      <c r="H78" s="22"/>
      <c r="I78" s="37"/>
      <c r="J78" s="38"/>
      <c r="K78" s="35"/>
      <c r="L78" t="str">
        <f t="shared" ca="1" si="4"/>
        <v>Habs</v>
      </c>
    </row>
    <row r="79" spans="1:12" ht="13.8" customHeight="1" x14ac:dyDescent="0.3">
      <c r="B79" s="33">
        <v>4</v>
      </c>
      <c r="C79" s="32" t="str">
        <f>C196</f>
        <v>Senkkopfschraube Innensechskant M3 10mm</v>
      </c>
      <c r="D79" t="s">
        <v>328</v>
      </c>
      <c r="E79" s="9"/>
      <c r="H79" s="22"/>
      <c r="I79" s="37"/>
      <c r="J79" s="38"/>
      <c r="K79" s="35"/>
      <c r="L79" t="str">
        <f t="shared" ca="1" si="4"/>
        <v>Habs</v>
      </c>
    </row>
    <row r="80" spans="1:12" ht="13.8" customHeight="1" x14ac:dyDescent="0.3">
      <c r="B80" s="33">
        <v>4</v>
      </c>
      <c r="C80" s="32" t="str">
        <f>C196</f>
        <v>Senkkopfschraube Innensechskant M3 10mm</v>
      </c>
      <c r="D80" t="s">
        <v>330</v>
      </c>
      <c r="E80" s="9"/>
      <c r="H80" s="22"/>
      <c r="I80" s="37"/>
      <c r="J80" s="38"/>
      <c r="K80" s="35"/>
      <c r="L80" t="str">
        <f t="shared" ca="1" si="4"/>
        <v>Habs</v>
      </c>
    </row>
    <row r="81" spans="2:12" ht="13.8" customHeight="1" x14ac:dyDescent="0.3">
      <c r="B81" s="33">
        <v>4</v>
      </c>
      <c r="C81" s="32" t="str">
        <f>C187</f>
        <v>Zylinderkopfschraube Innensechskant M3 40mm</v>
      </c>
      <c r="D81" t="s">
        <v>334</v>
      </c>
      <c r="E81" s="9"/>
      <c r="H81" s="22"/>
      <c r="I81" s="37"/>
      <c r="J81" s="38"/>
      <c r="K81" s="35"/>
      <c r="L81" t="str">
        <f t="shared" ca="1" si="4"/>
        <v>Habs</v>
      </c>
    </row>
    <row r="82" spans="2:12" ht="13.8" customHeight="1" x14ac:dyDescent="0.3">
      <c r="B82" s="33">
        <v>4</v>
      </c>
      <c r="C82" s="32" t="str">
        <f>C188</f>
        <v>Zylinderkopfschraube Innensechskant M3 30mm</v>
      </c>
      <c r="D82" t="s">
        <v>335</v>
      </c>
      <c r="E82" s="9"/>
      <c r="H82" s="22"/>
      <c r="I82" s="37"/>
      <c r="J82" s="38"/>
      <c r="K82" s="35"/>
      <c r="L82" t="str">
        <f t="shared" ca="1" si="4"/>
        <v>Habs</v>
      </c>
    </row>
    <row r="83" spans="2:12" ht="13.8" customHeight="1" x14ac:dyDescent="0.3">
      <c r="B83" s="33">
        <v>8</v>
      </c>
      <c r="C83" s="32" t="str">
        <f>C199</f>
        <v>Muttern M3, Schlüsselweite 5.5 mm</v>
      </c>
      <c r="D83" t="s">
        <v>335</v>
      </c>
      <c r="E83" s="9"/>
      <c r="H83" s="22"/>
      <c r="I83" s="37"/>
      <c r="J83" s="38"/>
      <c r="K83" s="35"/>
      <c r="L83" t="str">
        <f t="shared" ca="1" si="4"/>
        <v>Habs</v>
      </c>
    </row>
    <row r="84" spans="2:12" ht="13.8" customHeight="1" x14ac:dyDescent="0.3">
      <c r="B84" s="33">
        <v>12</v>
      </c>
      <c r="C84" s="32" t="str">
        <f>C204</f>
        <v>Unterlegscheiben M3 Dicke 0,5mm, Außendurchmesser 7mm</v>
      </c>
      <c r="D84" t="s">
        <v>336</v>
      </c>
      <c r="E84" s="9"/>
      <c r="H84" s="22"/>
      <c r="I84" s="37"/>
      <c r="J84" s="38"/>
      <c r="K84" s="35"/>
      <c r="L84" t="str">
        <f t="shared" ca="1" si="4"/>
        <v>Habs</v>
      </c>
    </row>
    <row r="85" spans="2:12" ht="13.8" customHeight="1" x14ac:dyDescent="0.3">
      <c r="B85" s="33">
        <v>4</v>
      </c>
      <c r="C85" s="32" t="str">
        <f>C186</f>
        <v>Zylinderkopfschraube Innensechskant M3 45mm</v>
      </c>
      <c r="D85" t="s">
        <v>337</v>
      </c>
      <c r="E85" s="9"/>
      <c r="H85" s="22"/>
      <c r="I85" s="37"/>
      <c r="J85" s="38"/>
      <c r="K85" s="35"/>
      <c r="L85" t="str">
        <f t="shared" ca="1" si="4"/>
        <v>Habs</v>
      </c>
    </row>
    <row r="86" spans="2:12" ht="13.8" customHeight="1" x14ac:dyDescent="0.3">
      <c r="B86" s="33">
        <v>8</v>
      </c>
      <c r="C86" s="32" t="str">
        <f>C271</f>
        <v>Rillenkugellager  4 x13 x 5 mm mit Flansch</v>
      </c>
      <c r="D86" t="s">
        <v>337</v>
      </c>
      <c r="E86" s="9"/>
      <c r="H86" s="22"/>
      <c r="I86" s="37"/>
      <c r="J86" s="38"/>
      <c r="K86" s="35"/>
      <c r="L86" t="str">
        <f t="shared" ca="1" si="4"/>
        <v>Habs</v>
      </c>
    </row>
    <row r="87" spans="2:12" ht="13.8" customHeight="1" x14ac:dyDescent="0.3">
      <c r="B87" s="33">
        <v>40</v>
      </c>
      <c r="C87" s="32" t="str">
        <f>C213</f>
        <v>Rohr 4mmx3.1mm (=M3)</v>
      </c>
      <c r="D87" t="s">
        <v>337</v>
      </c>
      <c r="E87" s="9"/>
      <c r="H87" s="22"/>
      <c r="I87" s="37"/>
      <c r="J87" s="38"/>
      <c r="K87" s="35"/>
      <c r="L87" t="str">
        <f t="shared" ca="1" si="4"/>
        <v>Habs</v>
      </c>
    </row>
    <row r="88" spans="2:12" ht="13.8" customHeight="1" x14ac:dyDescent="0.3">
      <c r="B88" s="33">
        <v>12</v>
      </c>
      <c r="C88" s="32" t="str">
        <f>C204</f>
        <v>Unterlegscheiben M3 Dicke 0,5mm, Außendurchmesser 7mm</v>
      </c>
      <c r="D88" t="s">
        <v>337</v>
      </c>
      <c r="E88" s="9"/>
      <c r="H88" s="22"/>
      <c r="I88" s="37"/>
      <c r="J88" s="38"/>
      <c r="K88" s="35"/>
      <c r="L88" t="str">
        <f t="shared" ca="1" si="4"/>
        <v>Habs</v>
      </c>
    </row>
    <row r="89" spans="2:12" ht="13.8" customHeight="1" x14ac:dyDescent="0.3">
      <c r="B89" s="33">
        <v>1</v>
      </c>
      <c r="C89" s="32" t="str">
        <f>C202</f>
        <v>Madenschraube M3 16mm</v>
      </c>
      <c r="D89" t="s">
        <v>337</v>
      </c>
      <c r="E89" s="9"/>
      <c r="H89" s="22"/>
      <c r="I89" s="37"/>
      <c r="J89" s="38"/>
      <c r="K89" s="35"/>
      <c r="L89" t="str">
        <f t="shared" ca="1" si="4"/>
        <v>Habs</v>
      </c>
    </row>
    <row r="90" spans="2:12" ht="13.8" customHeight="1" x14ac:dyDescent="0.3">
      <c r="B90" s="33">
        <v>72</v>
      </c>
      <c r="C90" s="32" t="str">
        <f>C212</f>
        <v>Silberstahlwelle 8mm Durchmesser</v>
      </c>
      <c r="D90" t="s">
        <v>342</v>
      </c>
      <c r="E90" s="9"/>
      <c r="H90" s="22"/>
      <c r="I90" s="37"/>
      <c r="J90" s="38"/>
      <c r="K90" s="35"/>
      <c r="L90" t="str">
        <f t="shared" ca="1" si="4"/>
        <v>Habs</v>
      </c>
    </row>
    <row r="91" spans="2:12" ht="13.8" customHeight="1" x14ac:dyDescent="0.3">
      <c r="B91" s="33">
        <v>1</v>
      </c>
      <c r="C91" s="32" t="str">
        <f>C233</f>
        <v>Zahnriemenscheibe T5, 48 Zähne (d=76,39)</v>
      </c>
      <c r="D91" t="s">
        <v>342</v>
      </c>
      <c r="E91" s="9"/>
      <c r="H91" s="22"/>
      <c r="I91" s="37"/>
      <c r="J91" s="38"/>
      <c r="K91" s="35"/>
      <c r="L91" t="str">
        <f t="shared" ca="1" si="4"/>
        <v>Habs</v>
      </c>
    </row>
    <row r="92" spans="2:12" ht="13.8" customHeight="1" x14ac:dyDescent="0.3">
      <c r="B92" s="33">
        <v>1</v>
      </c>
      <c r="C92" s="32" t="str">
        <f>C236</f>
        <v>Zahnriemenscheibe T5, 14 Zähne (d=22,48)</v>
      </c>
      <c r="D92" t="s">
        <v>342</v>
      </c>
      <c r="E92" s="9"/>
      <c r="H92" s="22"/>
      <c r="I92" s="37"/>
      <c r="J92" s="38"/>
      <c r="K92" s="35"/>
      <c r="L92" t="str">
        <f t="shared" ca="1" si="4"/>
        <v>Habs</v>
      </c>
    </row>
    <row r="93" spans="2:12" ht="13.8" customHeight="1" x14ac:dyDescent="0.3">
      <c r="B93" s="33">
        <v>1</v>
      </c>
      <c r="C93" s="32" t="str">
        <f>C284</f>
        <v>Metallbohrer 8mm</v>
      </c>
      <c r="D93" t="s">
        <v>342</v>
      </c>
      <c r="E93" s="9"/>
      <c r="H93" s="22"/>
      <c r="I93" s="37"/>
      <c r="J93" s="38"/>
      <c r="K93" s="35"/>
      <c r="L93" t="str">
        <f t="shared" ca="1" si="4"/>
        <v>Habs</v>
      </c>
    </row>
    <row r="94" spans="2:12" ht="13.8" customHeight="1" x14ac:dyDescent="0.3">
      <c r="B94" s="33">
        <v>1</v>
      </c>
      <c r="C94" s="32" t="str">
        <f>C283</f>
        <v>Gewindeschneider M3</v>
      </c>
      <c r="D94" t="s">
        <v>342</v>
      </c>
      <c r="E94" s="9"/>
      <c r="H94" s="22"/>
      <c r="I94" s="37"/>
      <c r="J94" s="38"/>
      <c r="K94" s="35"/>
      <c r="L94" t="str">
        <f t="shared" ca="1" si="4"/>
        <v>Habs</v>
      </c>
    </row>
    <row r="95" spans="2:12" ht="13.8" customHeight="1" x14ac:dyDescent="0.3">
      <c r="B95" s="33">
        <v>1</v>
      </c>
      <c r="C95" s="32" t="str">
        <f>C287</f>
        <v>Metallbohrer 2.5mm (als M3 Kernlochborer)</v>
      </c>
      <c r="D95" t="s">
        <v>342</v>
      </c>
      <c r="E95" s="9"/>
      <c r="H95" s="22"/>
      <c r="I95" s="37"/>
      <c r="J95" s="38"/>
      <c r="K95" s="35"/>
      <c r="L95" t="str">
        <f t="shared" ca="1" si="4"/>
        <v>Habs</v>
      </c>
    </row>
    <row r="96" spans="2:12" ht="13.8" customHeight="1" x14ac:dyDescent="0.3">
      <c r="B96" s="33">
        <v>2</v>
      </c>
      <c r="C96" s="32" t="str">
        <f>C203</f>
        <v>Madenschraube M3 5mm</v>
      </c>
      <c r="D96" t="s">
        <v>342</v>
      </c>
      <c r="E96" s="9"/>
      <c r="H96" s="22"/>
      <c r="I96" s="37"/>
      <c r="J96" s="38"/>
      <c r="K96" s="35"/>
      <c r="L96" t="str">
        <f t="shared" ca="1" si="4"/>
        <v>Habs</v>
      </c>
    </row>
    <row r="97" spans="2:12" ht="13.8" customHeight="1" x14ac:dyDescent="0.3">
      <c r="B97" s="33">
        <v>2</v>
      </c>
      <c r="C97" s="32" t="str">
        <f>C277</f>
        <v>Rillenkugellager 8x22x7</v>
      </c>
      <c r="D97" t="s">
        <v>342</v>
      </c>
      <c r="E97" s="9"/>
      <c r="H97" s="22"/>
      <c r="I97" s="37"/>
      <c r="J97" s="38"/>
      <c r="K97" s="35"/>
      <c r="L97" t="str">
        <f t="shared" ca="1" si="4"/>
        <v>Habs</v>
      </c>
    </row>
    <row r="98" spans="2:12" ht="13.8" customHeight="1" x14ac:dyDescent="0.3">
      <c r="B98" s="33">
        <v>4</v>
      </c>
      <c r="C98" s="32" t="str">
        <f>C206</f>
        <v>Unterlegscheiben 8mm Innendurchmesser</v>
      </c>
      <c r="D98" t="s">
        <v>342</v>
      </c>
      <c r="E98" s="9"/>
      <c r="H98" s="22"/>
      <c r="I98" s="37"/>
      <c r="J98" s="38"/>
      <c r="K98" s="35"/>
      <c r="L98" t="str">
        <f t="shared" ca="1" si="4"/>
        <v>-</v>
      </c>
    </row>
    <row r="99" spans="2:12" ht="13.8" customHeight="1" x14ac:dyDescent="0.3">
      <c r="B99" s="33">
        <v>4</v>
      </c>
      <c r="C99" s="32" t="str">
        <f>C186</f>
        <v>Zylinderkopfschraube Innensechskant M3 45mm</v>
      </c>
      <c r="D99" t="s">
        <v>352</v>
      </c>
      <c r="E99" s="9"/>
      <c r="H99" s="22"/>
      <c r="I99" s="37"/>
      <c r="J99" s="38"/>
      <c r="K99" s="35"/>
      <c r="L99" t="str">
        <f t="shared" ca="1" si="4"/>
        <v>Habs</v>
      </c>
    </row>
    <row r="100" spans="2:12" ht="13.8" customHeight="1" x14ac:dyDescent="0.3">
      <c r="B100" s="33">
        <v>4</v>
      </c>
      <c r="C100" s="32" t="str">
        <f>C204</f>
        <v>Unterlegscheiben M3 Dicke 0,5mm, Außendurchmesser 7mm</v>
      </c>
      <c r="D100" t="s">
        <v>352</v>
      </c>
      <c r="E100" s="9"/>
      <c r="H100" s="22"/>
      <c r="I100" s="37"/>
      <c r="J100" s="38"/>
      <c r="K100" s="35"/>
      <c r="L100" t="str">
        <f t="shared" ca="1" si="4"/>
        <v>Habs</v>
      </c>
    </row>
    <row r="101" spans="2:12" ht="13.8" customHeight="1" x14ac:dyDescent="0.3">
      <c r="B101" s="33">
        <v>4</v>
      </c>
      <c r="C101" s="32" t="str">
        <f>C198</f>
        <v>Vierkant Mutter M3 Breite 5.5mm</v>
      </c>
      <c r="D101" t="s">
        <v>352</v>
      </c>
      <c r="E101" s="9"/>
      <c r="H101" s="22"/>
      <c r="I101" s="37"/>
      <c r="J101" s="38"/>
      <c r="K101" s="35"/>
      <c r="L101" t="str">
        <f t="shared" ca="1" si="4"/>
        <v>Habs</v>
      </c>
    </row>
    <row r="102" spans="2:12" ht="13.8" customHeight="1" x14ac:dyDescent="0.3">
      <c r="B102" s="33">
        <v>1</v>
      </c>
      <c r="C102" s="32" t="str">
        <f>C186</f>
        <v>Zylinderkopfschraube Innensechskant M3 45mm</v>
      </c>
      <c r="D102" t="s">
        <v>351</v>
      </c>
      <c r="E102" s="9"/>
      <c r="H102" s="22"/>
      <c r="I102" s="37"/>
      <c r="J102" s="38"/>
      <c r="K102" s="35"/>
      <c r="L102" t="str">
        <f t="shared" ca="1" si="4"/>
        <v>Habs</v>
      </c>
    </row>
    <row r="103" spans="2:12" ht="13.8" customHeight="1" x14ac:dyDescent="0.3">
      <c r="B103" s="33">
        <v>4</v>
      </c>
      <c r="C103" s="32" t="str">
        <f>C204</f>
        <v>Unterlegscheiben M3 Dicke 0,5mm, Außendurchmesser 7mm</v>
      </c>
      <c r="D103" t="s">
        <v>351</v>
      </c>
      <c r="E103" s="9"/>
      <c r="H103" s="22"/>
      <c r="I103" s="37"/>
      <c r="J103" s="38"/>
      <c r="K103" s="35"/>
      <c r="L103" t="str">
        <f t="shared" ca="1" si="4"/>
        <v>Habs</v>
      </c>
    </row>
    <row r="104" spans="2:12" ht="13.8" customHeight="1" x14ac:dyDescent="0.3">
      <c r="B104" s="33">
        <v>1</v>
      </c>
      <c r="C104" s="32" t="str">
        <f>C198</f>
        <v>Vierkant Mutter M3 Breite 5.5mm</v>
      </c>
      <c r="D104" t="s">
        <v>351</v>
      </c>
      <c r="E104" s="9"/>
      <c r="H104" s="22"/>
      <c r="I104" s="37"/>
      <c r="J104" s="38"/>
      <c r="K104" s="35"/>
      <c r="L104" t="str">
        <f t="shared" ca="1" si="4"/>
        <v>Habs</v>
      </c>
    </row>
    <row r="105" spans="2:12" ht="13.8" customHeight="1" x14ac:dyDescent="0.3">
      <c r="B105" s="33">
        <v>2</v>
      </c>
      <c r="C105" s="32" t="str">
        <f>C272</f>
        <v xml:space="preserve">Rillenkugellager  4 x13 x 5 mm </v>
      </c>
      <c r="D105" t="s">
        <v>351</v>
      </c>
      <c r="E105" s="9"/>
      <c r="H105" s="22"/>
      <c r="I105" s="37"/>
      <c r="J105" s="38"/>
      <c r="K105" s="35"/>
      <c r="L105" t="str">
        <f t="shared" ca="1" si="4"/>
        <v>Habs</v>
      </c>
    </row>
    <row r="106" spans="2:12" ht="13.8" customHeight="1" x14ac:dyDescent="0.3">
      <c r="B106" s="33">
        <v>40</v>
      </c>
      <c r="C106" s="32" t="str">
        <f>C213</f>
        <v>Rohr 4mmx3.1mm (=M3)</v>
      </c>
      <c r="D106" t="s">
        <v>351</v>
      </c>
      <c r="E106" s="9"/>
      <c r="H106" s="22"/>
      <c r="I106" s="37"/>
      <c r="J106" s="38"/>
      <c r="K106" s="35"/>
      <c r="L106" t="str">
        <f t="shared" ca="1" si="4"/>
        <v>Habs</v>
      </c>
    </row>
    <row r="107" spans="2:12" ht="13.8" customHeight="1" x14ac:dyDescent="0.3">
      <c r="B107" s="33">
        <v>4</v>
      </c>
      <c r="C107" s="32" t="str">
        <f>C207</f>
        <v>Unterlegscheiben M3 Kunststoff 0,8mm, Außendurchmesser 7mm</v>
      </c>
      <c r="D107" t="s">
        <v>351</v>
      </c>
      <c r="E107" s="9"/>
      <c r="H107" s="22"/>
      <c r="I107" s="37"/>
      <c r="J107" s="38"/>
      <c r="K107" s="35"/>
      <c r="L107" t="str">
        <f t="shared" ca="1" si="4"/>
        <v>Habs</v>
      </c>
    </row>
    <row r="108" spans="2:12" ht="13.8" customHeight="1" x14ac:dyDescent="0.3">
      <c r="B108" s="33">
        <v>4</v>
      </c>
      <c r="C108" s="32" t="str">
        <f>C196</f>
        <v>Senkkopfschraube Innensechskant M3 10mm</v>
      </c>
      <c r="D108" t="s">
        <v>274</v>
      </c>
      <c r="E108" s="9"/>
      <c r="H108" s="22"/>
      <c r="I108" s="37"/>
      <c r="J108" s="38"/>
      <c r="K108" s="35"/>
      <c r="L108" t="str">
        <f t="shared" ca="1" si="4"/>
        <v>Habs</v>
      </c>
    </row>
    <row r="109" spans="2:12" ht="13.8" customHeight="1" x14ac:dyDescent="0.3">
      <c r="B109" s="33">
        <v>8</v>
      </c>
      <c r="C109" s="32" t="str">
        <f>C190</f>
        <v>Zylinderkopfschraube Innensechskant M3 20mm</v>
      </c>
      <c r="D109" t="s">
        <v>354</v>
      </c>
      <c r="E109" s="9"/>
      <c r="H109" s="22"/>
      <c r="I109" s="37"/>
      <c r="J109" s="38"/>
      <c r="K109" s="35"/>
      <c r="L109" t="str">
        <f t="shared" ca="1" si="4"/>
        <v>Habs</v>
      </c>
    </row>
    <row r="110" spans="2:12" ht="13.8" customHeight="1" x14ac:dyDescent="0.3">
      <c r="B110" s="33">
        <v>4</v>
      </c>
      <c r="C110" s="32" t="str">
        <f>C215</f>
        <v>Distanzbolzen 2x Innen M3 20mm, Schlüsselweite 5,5mm</v>
      </c>
      <c r="D110" t="s">
        <v>354</v>
      </c>
      <c r="E110" s="9"/>
      <c r="H110" s="22"/>
      <c r="I110" s="37"/>
      <c r="J110" s="38"/>
      <c r="K110" s="35"/>
      <c r="L110" t="str">
        <f t="shared" ca="1" si="4"/>
        <v>Habs</v>
      </c>
    </row>
    <row r="111" spans="2:12" ht="13.8" customHeight="1" x14ac:dyDescent="0.3">
      <c r="B111" s="33">
        <v>8</v>
      </c>
      <c r="C111" s="32" t="str">
        <f>C204</f>
        <v>Unterlegscheiben M3 Dicke 0,5mm, Außendurchmesser 7mm</v>
      </c>
      <c r="D111" t="s">
        <v>354</v>
      </c>
      <c r="E111" s="9"/>
      <c r="H111" s="22"/>
      <c r="I111" s="37"/>
      <c r="J111" s="38"/>
      <c r="K111" s="35"/>
      <c r="L111" t="str">
        <f t="shared" ca="1" si="4"/>
        <v>Habs</v>
      </c>
    </row>
    <row r="112" spans="2:12" ht="13.8" customHeight="1" x14ac:dyDescent="0.3">
      <c r="B112" s="33">
        <v>4</v>
      </c>
      <c r="C112" s="32" t="str">
        <f>C188</f>
        <v>Zylinderkopfschraube Innensechskant M3 30mm</v>
      </c>
      <c r="D112" t="s">
        <v>355</v>
      </c>
      <c r="E112" s="9"/>
      <c r="H112" s="22"/>
      <c r="I112" s="37"/>
      <c r="J112" s="38"/>
      <c r="K112" s="35"/>
      <c r="L112" t="str">
        <f t="shared" ca="1" si="4"/>
        <v>Habs</v>
      </c>
    </row>
    <row r="113" spans="1:12" ht="13.8" customHeight="1" x14ac:dyDescent="0.3">
      <c r="B113" s="33">
        <v>4</v>
      </c>
      <c r="C113" s="32" t="str">
        <f>C204</f>
        <v>Unterlegscheiben M3 Dicke 0,5mm, Außendurchmesser 7mm</v>
      </c>
      <c r="D113" t="s">
        <v>355</v>
      </c>
      <c r="E113" s="9"/>
      <c r="H113" s="22"/>
      <c r="I113" s="37"/>
      <c r="J113" s="38"/>
      <c r="K113" s="35"/>
      <c r="L113" t="str">
        <f t="shared" ca="1" si="4"/>
        <v>Habs</v>
      </c>
    </row>
    <row r="114" spans="1:12" ht="13.8" customHeight="1" x14ac:dyDescent="0.3">
      <c r="B114" s="33">
        <v>1</v>
      </c>
      <c r="C114" s="32" t="str">
        <f>C250</f>
        <v>Zahnriemen T5 340mm 10mm Breite</v>
      </c>
      <c r="D114" t="s">
        <v>538</v>
      </c>
      <c r="E114" s="9"/>
      <c r="H114" s="22"/>
      <c r="I114" s="37"/>
      <c r="J114" s="38"/>
      <c r="K114" s="35"/>
      <c r="L114" t="str">
        <f t="shared" ca="1" si="4"/>
        <v>Habs</v>
      </c>
    </row>
    <row r="115" spans="1:12" ht="13.8" customHeight="1" x14ac:dyDescent="0.3">
      <c r="B115" s="33">
        <v>1</v>
      </c>
      <c r="C115" s="32" t="str">
        <f>C249</f>
        <v>Zahnriemen T5 330mm 10mm Breite</v>
      </c>
      <c r="D115" t="s">
        <v>558</v>
      </c>
      <c r="E115" s="9"/>
      <c r="H115" s="22"/>
      <c r="I115" s="37"/>
      <c r="J115" s="38"/>
      <c r="K115" s="35"/>
      <c r="L115" t="str">
        <f t="shared" ca="1" si="4"/>
        <v>Habs</v>
      </c>
    </row>
    <row r="116" spans="1:12" ht="13.8" customHeight="1" x14ac:dyDescent="0.3">
      <c r="B116" s="33">
        <v>1</v>
      </c>
      <c r="C116" s="32" t="str">
        <f>C236</f>
        <v>Zahnriemenscheibe T5, 14 Zähne (d=22,48)</v>
      </c>
      <c r="D116" t="s">
        <v>539</v>
      </c>
      <c r="E116" s="9"/>
      <c r="H116" s="22"/>
      <c r="I116" s="37"/>
      <c r="J116" s="38"/>
      <c r="K116" s="35"/>
      <c r="L116" t="str">
        <f t="shared" ca="1" si="4"/>
        <v>Habs</v>
      </c>
    </row>
    <row r="117" spans="1:12" ht="13.8" customHeight="1" x14ac:dyDescent="0.3">
      <c r="B117" s="33">
        <v>1</v>
      </c>
      <c r="C117" s="32" t="str">
        <f>C237</f>
        <v>Zahnriemenscheibe T5, 16 Zähne (d=25,46)</v>
      </c>
      <c r="D117" t="s">
        <v>540</v>
      </c>
      <c r="E117" s="9"/>
      <c r="H117" s="22"/>
      <c r="I117" s="37"/>
      <c r="J117" s="38"/>
      <c r="K117" s="35"/>
      <c r="L117" t="str">
        <f t="shared" ca="1" si="4"/>
        <v>Habs</v>
      </c>
    </row>
    <row r="118" spans="1:12" ht="13.8" customHeight="1" x14ac:dyDescent="0.3">
      <c r="B118" s="33">
        <v>1</v>
      </c>
      <c r="C118" s="32" t="str">
        <f>C238</f>
        <v>Zahnriemenscheibe T5, 10 Zähne (d=15,92)</v>
      </c>
      <c r="D118" t="s">
        <v>506</v>
      </c>
      <c r="E118" s="9"/>
      <c r="H118" s="22"/>
      <c r="I118" s="37"/>
      <c r="J118" s="38"/>
      <c r="K118" s="35"/>
      <c r="L118" t="str">
        <f t="shared" ca="1" si="4"/>
        <v>Habs</v>
      </c>
    </row>
    <row r="119" spans="1:12" ht="13.8" customHeight="1" x14ac:dyDescent="0.3">
      <c r="B119" s="33">
        <v>1</v>
      </c>
      <c r="C119" s="32" t="str">
        <f>C239</f>
        <v>Zahnriemenscheibe T5, 12 Zähne (d=19,10)</v>
      </c>
      <c r="D119" t="s">
        <v>559</v>
      </c>
      <c r="E119" s="9"/>
      <c r="H119" s="22"/>
      <c r="I119" s="37"/>
      <c r="J119" s="38"/>
      <c r="K119" s="35"/>
      <c r="L119" t="str">
        <f t="shared" ca="1" si="4"/>
        <v>Habs</v>
      </c>
    </row>
    <row r="120" spans="1:12" ht="13.8" customHeight="1" x14ac:dyDescent="0.3">
      <c r="B120" s="33">
        <v>1</v>
      </c>
      <c r="C120" s="32" t="str">
        <f>C253</f>
        <v>Zahnriemen T5 510mm 10mm Breite</v>
      </c>
      <c r="D120" t="s">
        <v>537</v>
      </c>
      <c r="E120" s="9"/>
      <c r="H120" s="22"/>
      <c r="I120" s="37"/>
      <c r="J120" s="38"/>
      <c r="K120" s="35"/>
      <c r="L120" t="str">
        <f t="shared" ca="1" si="4"/>
        <v>Habs</v>
      </c>
    </row>
    <row r="121" spans="1:12" ht="13.8" customHeight="1" x14ac:dyDescent="0.3">
      <c r="B121" s="33">
        <v>1</v>
      </c>
      <c r="C121" s="32" t="str">
        <f>C235</f>
        <v>Zahnriemenscheibe T5, 18 Zähne (d=28,65)</v>
      </c>
      <c r="D121" t="s">
        <v>557</v>
      </c>
      <c r="E121" s="9"/>
      <c r="H121" s="22"/>
      <c r="I121" s="37"/>
      <c r="J121" s="38"/>
      <c r="K121" s="35"/>
      <c r="L121" t="str">
        <f t="shared" ca="1" si="4"/>
        <v>-</v>
      </c>
    </row>
    <row r="122" spans="1:12" s="55" customFormat="1" ht="13.8" customHeight="1" x14ac:dyDescent="0.3">
      <c r="B122" s="56"/>
      <c r="C122" s="57"/>
      <c r="E122" s="71"/>
      <c r="H122" s="59"/>
      <c r="I122" s="60"/>
      <c r="J122" s="61"/>
      <c r="K122" s="62"/>
    </row>
    <row r="123" spans="1:12" ht="13.8" customHeight="1" x14ac:dyDescent="0.3">
      <c r="B123" s="33">
        <v>1</v>
      </c>
      <c r="C123" s="32" t="str">
        <f>C260</f>
        <v xml:space="preserve">NEMA 24 - 60x60x57 - 1.9Nm - 6,35mm Achse - 2.8A - 2.ST6018M2008 </v>
      </c>
      <c r="D123" t="s">
        <v>288</v>
      </c>
      <c r="E123" s="9"/>
      <c r="H123" s="22"/>
      <c r="I123" s="37"/>
      <c r="J123" s="38"/>
      <c r="K123" s="35"/>
      <c r="L123" t="str">
        <f ca="1">INDIRECT(ADDRESS(MATCH(C123,C$186:C$301,0)+ROW($B$186)-1,12))</f>
        <v>Habs</v>
      </c>
    </row>
    <row r="124" spans="1:12" ht="13.8" customHeight="1" x14ac:dyDescent="0.3">
      <c r="B124" s="33"/>
      <c r="C124" s="32"/>
      <c r="E124" s="9"/>
      <c r="H124" s="22"/>
      <c r="I124" s="37"/>
      <c r="J124" s="38"/>
      <c r="K124" s="35"/>
    </row>
    <row r="125" spans="1:12" ht="13.8" customHeight="1" x14ac:dyDescent="0.3">
      <c r="B125" s="33"/>
      <c r="C125" s="32"/>
      <c r="E125" s="9"/>
      <c r="H125" s="22"/>
      <c r="I125" s="37"/>
      <c r="J125" s="38"/>
      <c r="K125" s="35"/>
    </row>
    <row r="126" spans="1:12" ht="13.8" customHeight="1" x14ac:dyDescent="0.3">
      <c r="A126" t="s">
        <v>470</v>
      </c>
      <c r="B126" s="33">
        <v>4</v>
      </c>
      <c r="C126" s="32" t="str">
        <f>C193</f>
        <v>Zylinderkopfschraube Innensechskant M2 6mm</v>
      </c>
      <c r="D126" t="s">
        <v>294</v>
      </c>
      <c r="E126" s="9"/>
      <c r="H126" s="22"/>
      <c r="I126" s="37"/>
      <c r="J126" s="38"/>
      <c r="K126" s="35"/>
      <c r="L126" t="str">
        <f t="shared" ref="L126:L138" ca="1" si="5">INDIRECT(ADDRESS(MATCH(C126,C$186:C$301,0)+ROW($B$186)-1,12))</f>
        <v>Habs</v>
      </c>
    </row>
    <row r="127" spans="1:12" ht="13.8" customHeight="1" x14ac:dyDescent="0.3">
      <c r="B127" s="33">
        <v>4</v>
      </c>
      <c r="C127" s="32" t="str">
        <f>C200</f>
        <v>Muttern M2</v>
      </c>
      <c r="D127" t="s">
        <v>294</v>
      </c>
      <c r="E127" s="9"/>
      <c r="H127" s="22"/>
      <c r="I127" s="37"/>
      <c r="J127" s="38"/>
      <c r="K127" s="35"/>
      <c r="L127" t="str">
        <f t="shared" ca="1" si="5"/>
        <v>Habs</v>
      </c>
    </row>
    <row r="128" spans="1:12" ht="13.8" customHeight="1" x14ac:dyDescent="0.3">
      <c r="B128" s="33">
        <v>1</v>
      </c>
      <c r="C128" s="32" t="str">
        <f>C263</f>
        <v>Rotary Sensor</v>
      </c>
      <c r="D128" t="s">
        <v>297</v>
      </c>
      <c r="E128" s="9"/>
      <c r="H128" s="22"/>
      <c r="I128" s="37"/>
      <c r="J128" s="38"/>
      <c r="K128" s="35"/>
      <c r="L128" t="str">
        <f t="shared" ca="1" si="5"/>
        <v>Habs</v>
      </c>
    </row>
    <row r="129" spans="2:12" ht="13.8" customHeight="1" x14ac:dyDescent="0.3">
      <c r="B129" s="33">
        <v>2</v>
      </c>
      <c r="C129" s="32" t="str">
        <f>C205</f>
        <v>Unterlegscheiben M2 Dicke 0,5mm</v>
      </c>
      <c r="D129" t="s">
        <v>298</v>
      </c>
      <c r="E129" s="9"/>
      <c r="H129" s="22"/>
      <c r="I129" s="37"/>
      <c r="J129" s="38"/>
      <c r="K129" s="35"/>
      <c r="L129" t="str">
        <f t="shared" ca="1" si="5"/>
        <v>Habs</v>
      </c>
    </row>
    <row r="130" spans="2:12" ht="13.8" customHeight="1" x14ac:dyDescent="0.3">
      <c r="B130" s="33">
        <v>6</v>
      </c>
      <c r="C130" s="32" t="str">
        <f>C272</f>
        <v xml:space="preserve">Rillenkugellager  4 x13 x 5 mm </v>
      </c>
      <c r="D130" t="s">
        <v>373</v>
      </c>
      <c r="E130" s="9"/>
      <c r="H130" s="22"/>
      <c r="I130" s="37"/>
      <c r="J130" s="38"/>
      <c r="K130" s="35"/>
      <c r="L130" t="str">
        <f t="shared" ca="1" si="5"/>
        <v>Habs</v>
      </c>
    </row>
    <row r="131" spans="2:12" ht="13.8" customHeight="1" x14ac:dyDescent="0.3">
      <c r="B131" s="33">
        <v>40</v>
      </c>
      <c r="C131" s="32" t="str">
        <f>C213</f>
        <v>Rohr 4mmx3.1mm (=M3)</v>
      </c>
      <c r="D131" t="s">
        <v>373</v>
      </c>
      <c r="E131" s="9"/>
      <c r="H131" s="22"/>
      <c r="I131" s="37"/>
      <c r="J131" s="38"/>
      <c r="K131" s="35"/>
      <c r="L131" t="str">
        <f t="shared" ca="1" si="5"/>
        <v>Habs</v>
      </c>
    </row>
    <row r="132" spans="2:12" ht="13.8" customHeight="1" x14ac:dyDescent="0.3">
      <c r="B132" s="33">
        <v>4</v>
      </c>
      <c r="C132" s="32" t="str">
        <f>C207</f>
        <v>Unterlegscheiben M3 Kunststoff 0,8mm, Außendurchmesser 7mm</v>
      </c>
      <c r="D132" t="s">
        <v>373</v>
      </c>
      <c r="E132" s="9"/>
      <c r="H132" s="22"/>
      <c r="I132" s="37"/>
      <c r="J132" s="38"/>
      <c r="K132" s="35"/>
      <c r="L132" t="str">
        <f t="shared" ca="1" si="5"/>
        <v>Habs</v>
      </c>
    </row>
    <row r="133" spans="2:12" ht="13.8" customHeight="1" x14ac:dyDescent="0.3">
      <c r="B133" s="33">
        <v>4</v>
      </c>
      <c r="C133" s="32" t="str">
        <f>C198</f>
        <v>Vierkant Mutter M3 Breite 5.5mm</v>
      </c>
      <c r="D133" t="s">
        <v>373</v>
      </c>
      <c r="E133" s="9"/>
      <c r="H133" s="22"/>
      <c r="I133" s="37"/>
      <c r="J133" s="38"/>
      <c r="K133" s="35"/>
      <c r="L133" t="str">
        <f t="shared" ca="1" si="5"/>
        <v>Habs</v>
      </c>
    </row>
    <row r="134" spans="2:12" ht="13.8" customHeight="1" x14ac:dyDescent="0.3">
      <c r="B134" s="33">
        <v>2</v>
      </c>
      <c r="C134" s="32" t="str">
        <f>C190</f>
        <v>Zylinderkopfschraube Innensechskant M3 20mm</v>
      </c>
      <c r="D134" t="s">
        <v>373</v>
      </c>
      <c r="E134" s="9"/>
      <c r="H134" s="22"/>
      <c r="I134" s="37"/>
      <c r="J134" s="38"/>
      <c r="K134" s="35"/>
      <c r="L134" t="str">
        <f t="shared" ca="1" si="5"/>
        <v>Habs</v>
      </c>
    </row>
    <row r="135" spans="2:12" ht="13.8" customHeight="1" x14ac:dyDescent="0.3">
      <c r="B135" s="33">
        <v>3</v>
      </c>
      <c r="C135" s="32" t="str">
        <f>C204</f>
        <v>Unterlegscheiben M3 Dicke 0,5mm, Außendurchmesser 7mm</v>
      </c>
      <c r="D135" t="s">
        <v>373</v>
      </c>
      <c r="E135" s="9"/>
      <c r="H135" s="22"/>
      <c r="I135" s="37"/>
      <c r="J135" s="38"/>
      <c r="K135" s="35"/>
      <c r="L135" t="str">
        <f t="shared" ca="1" si="5"/>
        <v>Habs</v>
      </c>
    </row>
    <row r="136" spans="2:12" ht="13.8" customHeight="1" x14ac:dyDescent="0.3">
      <c r="B136" s="33">
        <v>1</v>
      </c>
      <c r="C136" s="32" t="str">
        <f>C187</f>
        <v>Zylinderkopfschraube Innensechskant M3 40mm</v>
      </c>
      <c r="D136" t="s">
        <v>373</v>
      </c>
      <c r="E136" s="9"/>
      <c r="H136" s="22"/>
      <c r="I136" s="37"/>
      <c r="J136" s="38"/>
      <c r="K136" s="35"/>
      <c r="L136" t="str">
        <f t="shared" ca="1" si="5"/>
        <v>Habs</v>
      </c>
    </row>
    <row r="137" spans="2:12" ht="13.8" customHeight="1" x14ac:dyDescent="0.3">
      <c r="B137" s="33">
        <v>1</v>
      </c>
      <c r="C137" s="32" t="str">
        <f>C186</f>
        <v>Zylinderkopfschraube Innensechskant M3 45mm</v>
      </c>
      <c r="D137" t="s">
        <v>373</v>
      </c>
      <c r="E137" s="9"/>
      <c r="H137" s="22"/>
      <c r="I137" s="37"/>
      <c r="J137" s="38"/>
      <c r="K137" s="35"/>
      <c r="L137" t="str">
        <f t="shared" ca="1" si="5"/>
        <v>Habs</v>
      </c>
    </row>
    <row r="138" spans="2:12" ht="13.8" customHeight="1" x14ac:dyDescent="0.3">
      <c r="B138" s="33">
        <v>1</v>
      </c>
      <c r="C138" s="32" t="str">
        <f>C189</f>
        <v>Zylinderkopfschraube Innensechskant M3 25mm</v>
      </c>
      <c r="D138" t="s">
        <v>373</v>
      </c>
      <c r="E138" s="9"/>
      <c r="H138" s="22"/>
      <c r="I138" s="37"/>
      <c r="J138" s="38"/>
      <c r="K138" s="35"/>
      <c r="L138" t="str">
        <f t="shared" ca="1" si="5"/>
        <v>Habs</v>
      </c>
    </row>
    <row r="139" spans="2:12" ht="13.8" customHeight="1" x14ac:dyDescent="0.3">
      <c r="B139" s="33">
        <v>2</v>
      </c>
      <c r="C139" s="32" t="str">
        <f>C277</f>
        <v>Rillenkugellager 8x22x7</v>
      </c>
      <c r="D139" t="s">
        <v>375</v>
      </c>
      <c r="E139" s="9"/>
      <c r="H139" s="22"/>
      <c r="I139" s="37"/>
      <c r="J139" s="38"/>
      <c r="K139" s="35"/>
      <c r="L139" t="str">
        <f t="shared" ref="L139:L178" ca="1" si="6">INDIRECT(ADDRESS(MATCH(C139,C$186:C$301,0)+ROW($B$186)-1,12))</f>
        <v>Habs</v>
      </c>
    </row>
    <row r="140" spans="2:12" ht="13.8" customHeight="1" x14ac:dyDescent="0.3">
      <c r="B140" s="33">
        <v>110</v>
      </c>
      <c r="C140" s="32" t="str">
        <f>C212</f>
        <v>Silberstahlwelle 8mm Durchmesser</v>
      </c>
      <c r="D140" t="s">
        <v>375</v>
      </c>
      <c r="E140" s="9"/>
      <c r="H140" s="22"/>
      <c r="I140" s="37"/>
      <c r="J140" s="38"/>
      <c r="K140" s="35"/>
      <c r="L140" t="str">
        <f t="shared" ca="1" si="6"/>
        <v>Habs</v>
      </c>
    </row>
    <row r="141" spans="2:12" ht="13.8" customHeight="1" x14ac:dyDescent="0.3">
      <c r="B141" s="33">
        <v>1</v>
      </c>
      <c r="C141" s="32" t="str">
        <f>C233</f>
        <v>Zahnriemenscheibe T5, 48 Zähne (d=76,39)</v>
      </c>
      <c r="D141" t="s">
        <v>375</v>
      </c>
      <c r="E141" s="9"/>
      <c r="H141" s="22"/>
      <c r="I141" s="37"/>
      <c r="J141" s="38"/>
      <c r="K141" s="35"/>
      <c r="L141" t="str">
        <f t="shared" ca="1" si="6"/>
        <v>Habs</v>
      </c>
    </row>
    <row r="142" spans="2:12" ht="13.8" customHeight="1" x14ac:dyDescent="0.3">
      <c r="B142" s="33">
        <v>1</v>
      </c>
      <c r="C142" s="32" t="str">
        <f>C236</f>
        <v>Zahnriemenscheibe T5, 14 Zähne (d=22,48)</v>
      </c>
      <c r="D142" t="s">
        <v>375</v>
      </c>
      <c r="E142" s="9"/>
      <c r="H142" s="22"/>
      <c r="I142" s="37"/>
      <c r="J142" s="38"/>
      <c r="K142" s="35"/>
      <c r="L142" t="str">
        <f t="shared" ca="1" si="6"/>
        <v>Habs</v>
      </c>
    </row>
    <row r="143" spans="2:12" s="63" customFormat="1" ht="13.8" customHeight="1" x14ac:dyDescent="0.3">
      <c r="B143" s="64">
        <v>1</v>
      </c>
      <c r="C143" s="65" t="str">
        <f>C235</f>
        <v>Zahnriemenscheibe T5, 18 Zähne (d=28,65)</v>
      </c>
      <c r="D143" s="63" t="s">
        <v>375</v>
      </c>
      <c r="E143" s="66" t="s">
        <v>529</v>
      </c>
      <c r="H143" s="67"/>
      <c r="I143" s="68"/>
      <c r="J143" s="69"/>
      <c r="K143" s="70"/>
      <c r="L143" s="63" t="str">
        <f t="shared" ref="L143" ca="1" si="7">INDIRECT(ADDRESS(MATCH(C143,C$186:C$301,0)+ROW($B$186)-1,12))</f>
        <v>-</v>
      </c>
    </row>
    <row r="144" spans="2:12" ht="13.8" customHeight="1" x14ac:dyDescent="0.3">
      <c r="B144" s="33">
        <v>1</v>
      </c>
      <c r="C144" s="32" t="str">
        <f>C237</f>
        <v>Zahnriemenscheibe T5, 16 Zähne (d=25,46)</v>
      </c>
      <c r="D144" t="s">
        <v>508</v>
      </c>
      <c r="E144" s="9"/>
      <c r="H144" s="22"/>
      <c r="I144" s="37"/>
      <c r="J144" s="38"/>
      <c r="K144" s="35"/>
      <c r="L144" t="str">
        <f t="shared" ca="1" si="6"/>
        <v>Habs</v>
      </c>
    </row>
    <row r="145" spans="2:12" ht="13.8" customHeight="1" x14ac:dyDescent="0.3">
      <c r="B145" s="33">
        <v>1</v>
      </c>
      <c r="C145" s="32" t="str">
        <f>C252</f>
        <v>Zahnriemen T5 500mm 10mm Breite</v>
      </c>
      <c r="D145" t="s">
        <v>561</v>
      </c>
      <c r="E145" s="9"/>
      <c r="H145" s="22"/>
      <c r="I145" s="37"/>
      <c r="J145" s="38"/>
      <c r="K145" s="35"/>
      <c r="L145" t="str">
        <f t="shared" ca="1" si="6"/>
        <v>Habs</v>
      </c>
    </row>
    <row r="146" spans="2:12" ht="13.8" customHeight="1" x14ac:dyDescent="0.3">
      <c r="B146" s="33">
        <v>1</v>
      </c>
      <c r="C146" s="32" t="str">
        <f>C250</f>
        <v>Zahnriemen T5 340mm 10mm Breite</v>
      </c>
      <c r="D146" t="s">
        <v>562</v>
      </c>
      <c r="E146" s="9"/>
      <c r="H146" s="22"/>
      <c r="I146" s="37"/>
      <c r="J146" s="38"/>
      <c r="K146" s="35"/>
      <c r="L146" t="str">
        <f t="shared" ca="1" si="6"/>
        <v>Habs</v>
      </c>
    </row>
    <row r="147" spans="2:12" ht="13.8" customHeight="1" x14ac:dyDescent="0.3">
      <c r="B147" s="33">
        <v>1</v>
      </c>
      <c r="C147" s="32" t="str">
        <f>C236</f>
        <v>Zahnriemenscheibe T5, 14 Zähne (d=22,48)</v>
      </c>
      <c r="D147" t="s">
        <v>380</v>
      </c>
      <c r="E147" s="9"/>
      <c r="H147" s="22"/>
      <c r="I147" s="37"/>
      <c r="J147" s="38"/>
      <c r="K147" s="35"/>
      <c r="L147" t="str">
        <f t="shared" ca="1" si="6"/>
        <v>Habs</v>
      </c>
    </row>
    <row r="148" spans="2:12" ht="13.8" customHeight="1" x14ac:dyDescent="0.3">
      <c r="B148" s="33">
        <v>1</v>
      </c>
      <c r="C148" s="32" t="str">
        <f>C250</f>
        <v>Zahnriemen T5 340mm 10mm Breite</v>
      </c>
      <c r="D148" t="s">
        <v>381</v>
      </c>
      <c r="E148" s="9"/>
      <c r="H148" s="22"/>
      <c r="I148" s="37"/>
      <c r="J148" s="38"/>
      <c r="K148" s="35"/>
      <c r="L148" t="str">
        <f t="shared" ca="1" si="6"/>
        <v>Habs</v>
      </c>
    </row>
    <row r="149" spans="2:12" ht="13.8" customHeight="1" x14ac:dyDescent="0.3">
      <c r="B149" s="33">
        <v>4</v>
      </c>
      <c r="C149" s="32" t="str">
        <f>C190</f>
        <v>Zylinderkopfschraube Innensechskant M3 20mm</v>
      </c>
      <c r="D149" t="s">
        <v>382</v>
      </c>
      <c r="E149" s="9"/>
      <c r="H149" s="22"/>
      <c r="I149" s="37"/>
      <c r="J149" s="38"/>
      <c r="K149" s="35"/>
      <c r="L149" t="str">
        <f t="shared" ca="1" si="6"/>
        <v>Habs</v>
      </c>
    </row>
    <row r="150" spans="2:12" ht="13.8" customHeight="1" x14ac:dyDescent="0.3">
      <c r="B150" s="33">
        <v>4</v>
      </c>
      <c r="C150" s="32" t="str">
        <f>C199</f>
        <v>Muttern M3, Schlüsselweite 5.5 mm</v>
      </c>
      <c r="D150" t="s">
        <v>382</v>
      </c>
      <c r="E150" s="9"/>
      <c r="H150" s="22"/>
      <c r="I150" s="37"/>
      <c r="J150" s="38"/>
      <c r="K150" s="35"/>
      <c r="L150" t="str">
        <f t="shared" ca="1" si="6"/>
        <v>Habs</v>
      </c>
    </row>
    <row r="151" spans="2:12" ht="13.8" customHeight="1" x14ac:dyDescent="0.3">
      <c r="B151" s="33">
        <v>4</v>
      </c>
      <c r="C151" s="32" t="str">
        <f>C204</f>
        <v>Unterlegscheiben M3 Dicke 0,5mm, Außendurchmesser 7mm</v>
      </c>
      <c r="D151" t="s">
        <v>382</v>
      </c>
      <c r="E151" s="9"/>
      <c r="H151" s="22"/>
      <c r="I151" s="37"/>
      <c r="J151" s="38"/>
      <c r="K151" s="35"/>
      <c r="L151" t="str">
        <f t="shared" ca="1" si="6"/>
        <v>Habs</v>
      </c>
    </row>
    <row r="152" spans="2:12" ht="13.8" customHeight="1" x14ac:dyDescent="0.3">
      <c r="B152" s="33">
        <v>4</v>
      </c>
      <c r="C152" s="32" t="str">
        <f>C186</f>
        <v>Zylinderkopfschraube Innensechskant M3 45mm</v>
      </c>
      <c r="D152" t="s">
        <v>383</v>
      </c>
      <c r="E152" s="9"/>
      <c r="H152" s="22"/>
      <c r="I152" s="37"/>
      <c r="J152" s="38"/>
      <c r="K152" s="35"/>
      <c r="L152" t="str">
        <f t="shared" ca="1" si="6"/>
        <v>Habs</v>
      </c>
    </row>
    <row r="153" spans="2:12" ht="13.8" customHeight="1" x14ac:dyDescent="0.3">
      <c r="B153" s="33">
        <v>4</v>
      </c>
      <c r="C153" s="32" t="str">
        <f>C204</f>
        <v>Unterlegscheiben M3 Dicke 0,5mm, Außendurchmesser 7mm</v>
      </c>
      <c r="D153" t="s">
        <v>383</v>
      </c>
      <c r="E153" s="9"/>
      <c r="H153" s="22"/>
      <c r="I153" s="37"/>
      <c r="J153" s="38"/>
      <c r="K153" s="35"/>
      <c r="L153" t="str">
        <f t="shared" ca="1" si="6"/>
        <v>Habs</v>
      </c>
    </row>
    <row r="154" spans="2:12" ht="13.8" customHeight="1" x14ac:dyDescent="0.3">
      <c r="B154" s="33">
        <v>4</v>
      </c>
      <c r="C154" s="32" t="str">
        <f>C215</f>
        <v>Distanzbolzen 2x Innen M3 20mm, Schlüsselweite 5,5mm</v>
      </c>
      <c r="D154" t="s">
        <v>383</v>
      </c>
      <c r="E154" s="9"/>
      <c r="H154" s="22"/>
      <c r="I154" s="37"/>
      <c r="J154" s="38"/>
      <c r="K154" s="35"/>
      <c r="L154" t="str">
        <f t="shared" ca="1" si="6"/>
        <v>Habs</v>
      </c>
    </row>
    <row r="155" spans="2:12" ht="13.8" customHeight="1" x14ac:dyDescent="0.3">
      <c r="B155" s="33">
        <f>50*6</f>
        <v>300</v>
      </c>
      <c r="C155" s="32" t="str">
        <f>C217</f>
        <v>Gewindestange M3</v>
      </c>
      <c r="D155" t="s">
        <v>384</v>
      </c>
      <c r="E155" s="9"/>
      <c r="H155" s="22"/>
      <c r="I155" s="37"/>
      <c r="J155" s="38"/>
      <c r="K155" s="35"/>
      <c r="L155" t="str">
        <f t="shared" ca="1" si="6"/>
        <v>Habs</v>
      </c>
    </row>
    <row r="156" spans="2:12" ht="13.8" customHeight="1" x14ac:dyDescent="0.3">
      <c r="B156" s="33">
        <v>6</v>
      </c>
      <c r="C156" s="32" t="str">
        <f>C214</f>
        <v>Unterlegscheiben M3 Stahl  0,8mm, Außendurchmesser 9mm</v>
      </c>
      <c r="D156" t="s">
        <v>384</v>
      </c>
      <c r="E156" s="9"/>
      <c r="H156" s="22"/>
      <c r="I156" s="37"/>
      <c r="J156" s="38"/>
      <c r="K156" s="35"/>
      <c r="L156" t="str">
        <f t="shared" ca="1" si="6"/>
        <v>Habs</v>
      </c>
    </row>
    <row r="157" spans="2:12" ht="13.8" customHeight="1" x14ac:dyDescent="0.3">
      <c r="B157" s="33">
        <v>6</v>
      </c>
      <c r="C157" s="32" t="str">
        <f>C215</f>
        <v>Distanzbolzen 2x Innen M3 20mm, Schlüsselweite 5,5mm</v>
      </c>
      <c r="D157" t="s">
        <v>384</v>
      </c>
      <c r="E157" s="9"/>
      <c r="H157" s="22"/>
      <c r="I157" s="37"/>
      <c r="J157" s="38"/>
      <c r="K157" s="35"/>
      <c r="L157" t="str">
        <f t="shared" ca="1" si="6"/>
        <v>Habs</v>
      </c>
    </row>
    <row r="158" spans="2:12" ht="13.8" customHeight="1" x14ac:dyDescent="0.3">
      <c r="B158" s="33">
        <v>1</v>
      </c>
      <c r="C158" s="32" t="str">
        <f>C261</f>
        <v>NEMA 24 - 60x60x87 - 3.1Nm - 8mm Achse - 4.2A</v>
      </c>
      <c r="D158" t="s">
        <v>288</v>
      </c>
      <c r="E158" s="9"/>
      <c r="H158" s="22"/>
      <c r="I158" s="37"/>
      <c r="J158" s="38"/>
      <c r="K158" s="35"/>
      <c r="L158" t="str">
        <f t="shared" ca="1" si="6"/>
        <v>Habs</v>
      </c>
    </row>
    <row r="159" spans="2:12" ht="13.8" customHeight="1" x14ac:dyDescent="0.3">
      <c r="B159" s="33">
        <v>2</v>
      </c>
      <c r="C159" s="32" t="str">
        <f>C278</f>
        <v>Rillenkugellager DIN 625 SKF - SKF 61818 - 90x115x13</v>
      </c>
      <c r="D159" t="s">
        <v>387</v>
      </c>
      <c r="E159" s="9"/>
      <c r="H159" s="22"/>
      <c r="I159" s="37"/>
      <c r="J159" s="38"/>
      <c r="K159" s="35"/>
      <c r="L159" t="str">
        <f t="shared" ca="1" si="6"/>
        <v>Habs</v>
      </c>
    </row>
    <row r="160" spans="2:12" ht="13.8" customHeight="1" x14ac:dyDescent="0.3">
      <c r="B160" s="33"/>
      <c r="C160" s="32"/>
      <c r="E160" s="9"/>
      <c r="H160" s="22"/>
      <c r="I160" s="37"/>
      <c r="J160" s="38"/>
      <c r="K160" s="35"/>
    </row>
    <row r="161" spans="1:12" ht="13.8" customHeight="1" x14ac:dyDescent="0.3">
      <c r="A161" t="s">
        <v>471</v>
      </c>
      <c r="B161" s="33">
        <v>1</v>
      </c>
      <c r="C161" s="32" t="str">
        <f>C279</f>
        <v>Rillenkugellager DIN 625 SKF - SKF 61818 - 85x110x13</v>
      </c>
      <c r="D161" t="s">
        <v>388</v>
      </c>
      <c r="E161" s="9"/>
      <c r="H161" s="22"/>
      <c r="I161" s="37"/>
      <c r="J161" s="38"/>
      <c r="K161" s="35"/>
      <c r="L161" t="str">
        <f t="shared" ca="1" si="6"/>
        <v>Habs</v>
      </c>
    </row>
    <row r="162" spans="1:12" ht="13.8" customHeight="1" x14ac:dyDescent="0.3">
      <c r="B162" s="33">
        <v>6</v>
      </c>
      <c r="C162" s="32" t="str">
        <f>C187</f>
        <v>Zylinderkopfschraube Innensechskant M3 40mm</v>
      </c>
      <c r="D162" t="s">
        <v>384</v>
      </c>
      <c r="E162" s="9"/>
      <c r="H162" s="22"/>
      <c r="I162" s="37"/>
      <c r="J162" s="38"/>
      <c r="K162" s="35"/>
      <c r="L162" t="str">
        <f t="shared" ca="1" si="6"/>
        <v>Habs</v>
      </c>
    </row>
    <row r="163" spans="1:12" ht="13.8" customHeight="1" x14ac:dyDescent="0.3">
      <c r="B163" s="33">
        <v>6</v>
      </c>
      <c r="C163" s="32" t="str">
        <f>C214</f>
        <v>Unterlegscheiben M3 Stahl  0,8mm, Außendurchmesser 9mm</v>
      </c>
      <c r="D163" t="s">
        <v>384</v>
      </c>
      <c r="E163" s="9"/>
      <c r="H163" s="22"/>
      <c r="I163" s="37"/>
      <c r="J163" s="38"/>
      <c r="K163" s="35"/>
      <c r="L163" t="str">
        <f t="shared" ca="1" si="6"/>
        <v>Habs</v>
      </c>
    </row>
    <row r="164" spans="1:12" ht="13.8" customHeight="1" x14ac:dyDescent="0.3">
      <c r="B164" s="33">
        <v>8</v>
      </c>
      <c r="C164" s="32" t="str">
        <f>C196</f>
        <v>Senkkopfschraube Innensechskant M3 10mm</v>
      </c>
      <c r="D164" t="s">
        <v>397</v>
      </c>
      <c r="E164" s="9"/>
      <c r="H164" s="22"/>
      <c r="I164" s="37"/>
      <c r="J164" s="38"/>
      <c r="K164" s="35"/>
      <c r="L164" t="str">
        <f t="shared" ca="1" si="6"/>
        <v>Habs</v>
      </c>
    </row>
    <row r="165" spans="1:12" ht="13.8" customHeight="1" x14ac:dyDescent="0.3">
      <c r="B165" s="33">
        <v>8</v>
      </c>
      <c r="C165" s="32" t="str">
        <f>C215</f>
        <v>Distanzbolzen 2x Innen M3 20mm, Schlüsselweite 5,5mm</v>
      </c>
      <c r="D165" t="s">
        <v>397</v>
      </c>
      <c r="E165" s="9"/>
      <c r="H165" s="22"/>
      <c r="I165" s="37"/>
      <c r="J165" s="38"/>
      <c r="K165" s="35"/>
      <c r="L165" t="str">
        <f t="shared" ca="1" si="6"/>
        <v>Habs</v>
      </c>
    </row>
    <row r="166" spans="1:12" ht="13.8" customHeight="1" x14ac:dyDescent="0.3">
      <c r="B166" s="33">
        <v>8</v>
      </c>
      <c r="C166" s="32" t="str">
        <f>C188</f>
        <v>Zylinderkopfschraube Innensechskant M3 30mm</v>
      </c>
      <c r="D166" t="s">
        <v>397</v>
      </c>
      <c r="E166" s="9"/>
      <c r="H166" s="22"/>
      <c r="I166" s="37"/>
      <c r="J166" s="38"/>
      <c r="K166" s="35"/>
      <c r="L166" t="str">
        <f t="shared" ca="1" si="6"/>
        <v>Habs</v>
      </c>
    </row>
    <row r="167" spans="1:12" ht="13.8" customHeight="1" x14ac:dyDescent="0.3">
      <c r="B167" s="33">
        <v>1</v>
      </c>
      <c r="C167" s="32" t="str">
        <f>C263</f>
        <v>Rotary Sensor</v>
      </c>
      <c r="D167" t="s">
        <v>297</v>
      </c>
      <c r="E167" s="9"/>
      <c r="H167" s="22"/>
      <c r="I167" s="37"/>
      <c r="J167" s="38"/>
      <c r="K167" s="35"/>
      <c r="L167" t="str">
        <f t="shared" ca="1" si="6"/>
        <v>Habs</v>
      </c>
    </row>
    <row r="168" spans="1:12" ht="13.8" customHeight="1" x14ac:dyDescent="0.3">
      <c r="B168" s="33">
        <v>4</v>
      </c>
      <c r="C168" s="32" t="str">
        <f>C193</f>
        <v>Zylinderkopfschraube Innensechskant M2 6mm</v>
      </c>
      <c r="D168" t="s">
        <v>297</v>
      </c>
      <c r="E168" s="9"/>
      <c r="H168" s="22"/>
      <c r="I168" s="37"/>
      <c r="J168" s="38"/>
      <c r="K168" s="35"/>
      <c r="L168" t="str">
        <f t="shared" ca="1" si="6"/>
        <v>Habs</v>
      </c>
    </row>
    <row r="169" spans="1:12" ht="13.8" customHeight="1" x14ac:dyDescent="0.3">
      <c r="B169" s="33">
        <v>4</v>
      </c>
      <c r="C169" s="32" t="str">
        <f>C200</f>
        <v>Muttern M2</v>
      </c>
      <c r="D169" t="s">
        <v>297</v>
      </c>
      <c r="E169" s="9"/>
      <c r="H169" s="22"/>
      <c r="I169" s="37"/>
      <c r="J169" s="38"/>
      <c r="K169" s="35"/>
      <c r="L169" t="str">
        <f t="shared" ca="1" si="6"/>
        <v>Habs</v>
      </c>
    </row>
    <row r="170" spans="1:12" ht="13.8" customHeight="1" x14ac:dyDescent="0.3">
      <c r="B170" s="33">
        <v>4</v>
      </c>
      <c r="C170" s="32" t="str">
        <f>C199</f>
        <v>Muttern M3, Schlüsselweite 5.5 mm</v>
      </c>
      <c r="D170" t="s">
        <v>398</v>
      </c>
      <c r="E170" s="9"/>
      <c r="H170" s="22"/>
      <c r="I170" s="37"/>
      <c r="J170" s="38"/>
      <c r="K170" s="35"/>
      <c r="L170" t="str">
        <f t="shared" ca="1" si="6"/>
        <v>Habs</v>
      </c>
    </row>
    <row r="171" spans="1:12" ht="13.8" customHeight="1" x14ac:dyDescent="0.3">
      <c r="B171" s="33">
        <v>4</v>
      </c>
      <c r="C171" s="32" t="str">
        <f>C190</f>
        <v>Zylinderkopfschraube Innensechskant M3 20mm</v>
      </c>
      <c r="D171" t="s">
        <v>398</v>
      </c>
      <c r="E171" s="9"/>
      <c r="H171" s="22"/>
      <c r="I171" s="37"/>
      <c r="J171" s="38"/>
      <c r="K171" s="35"/>
      <c r="L171" t="str">
        <f t="shared" ca="1" si="6"/>
        <v>Habs</v>
      </c>
    </row>
    <row r="172" spans="1:12" ht="13.8" customHeight="1" x14ac:dyDescent="0.3">
      <c r="B172" s="33">
        <v>4</v>
      </c>
      <c r="C172" s="32" t="str">
        <f>C204</f>
        <v>Unterlegscheiben M3 Dicke 0,5mm, Außendurchmesser 7mm</v>
      </c>
      <c r="D172" t="s">
        <v>398</v>
      </c>
      <c r="E172" s="9"/>
      <c r="H172" s="22"/>
      <c r="I172" s="37"/>
      <c r="J172" s="38"/>
      <c r="K172" s="35"/>
      <c r="L172" t="str">
        <f t="shared" ca="1" si="6"/>
        <v>Habs</v>
      </c>
    </row>
    <row r="173" spans="1:12" ht="13.8" customHeight="1" x14ac:dyDescent="0.3">
      <c r="B173" s="33">
        <v>6</v>
      </c>
      <c r="C173" s="32" t="str">
        <f>C272</f>
        <v xml:space="preserve">Rillenkugellager  4 x13 x 5 mm </v>
      </c>
      <c r="D173" t="s">
        <v>399</v>
      </c>
      <c r="E173" s="9"/>
      <c r="H173" s="22"/>
      <c r="I173" s="37"/>
      <c r="J173" s="38"/>
      <c r="K173" s="35"/>
      <c r="L173" t="str">
        <f t="shared" ca="1" si="6"/>
        <v>Habs</v>
      </c>
    </row>
    <row r="174" spans="1:12" ht="13.8" customHeight="1" x14ac:dyDescent="0.3">
      <c r="B174" s="33">
        <v>40</v>
      </c>
      <c r="C174" s="32" t="str">
        <f>C213</f>
        <v>Rohr 4mmx3.1mm (=M3)</v>
      </c>
      <c r="D174" t="s">
        <v>399</v>
      </c>
      <c r="E174" s="9"/>
      <c r="H174" s="22"/>
      <c r="I174" s="37"/>
      <c r="J174" s="38"/>
      <c r="K174" s="35"/>
      <c r="L174" t="str">
        <f t="shared" ca="1" si="6"/>
        <v>Habs</v>
      </c>
    </row>
    <row r="175" spans="1:12" ht="13.8" customHeight="1" x14ac:dyDescent="0.3">
      <c r="B175" s="33">
        <v>8</v>
      </c>
      <c r="C175" s="32" t="str">
        <f>C207</f>
        <v>Unterlegscheiben M3 Kunststoff 0,8mm, Außendurchmesser 7mm</v>
      </c>
      <c r="D175" t="s">
        <v>399</v>
      </c>
      <c r="E175" s="9"/>
      <c r="H175" s="22"/>
      <c r="I175" s="37"/>
      <c r="J175" s="38"/>
      <c r="K175" s="35"/>
      <c r="L175" t="str">
        <f t="shared" ca="1" si="6"/>
        <v>Habs</v>
      </c>
    </row>
    <row r="176" spans="1:12" ht="13.8" customHeight="1" x14ac:dyDescent="0.3">
      <c r="B176" s="33">
        <v>1</v>
      </c>
      <c r="C176" s="32" t="str">
        <f>C236</f>
        <v>Zahnriemenscheibe T5, 14 Zähne (d=22,48)</v>
      </c>
      <c r="D176" t="s">
        <v>509</v>
      </c>
      <c r="E176" s="9"/>
      <c r="H176" s="22"/>
      <c r="I176" s="37"/>
      <c r="J176" s="38"/>
      <c r="K176" s="35"/>
      <c r="L176" t="str">
        <f t="shared" ca="1" si="6"/>
        <v>Habs</v>
      </c>
    </row>
    <row r="177" spans="1:12" ht="13.8" customHeight="1" x14ac:dyDescent="0.3">
      <c r="B177" s="33">
        <v>1</v>
      </c>
      <c r="C177" s="32" t="str">
        <f>C262</f>
        <v>NEMA 23 - 57x57x56 - 1,26Nm - 6,35mm Achse - 2.8A</v>
      </c>
      <c r="D177" t="s">
        <v>400</v>
      </c>
      <c r="E177" s="9"/>
      <c r="H177" s="22"/>
      <c r="I177" s="37"/>
      <c r="J177" s="38"/>
      <c r="K177" s="35"/>
      <c r="L177" t="str">
        <f t="shared" ca="1" si="6"/>
        <v>Habs</v>
      </c>
    </row>
    <row r="178" spans="1:12" ht="13.8" customHeight="1" x14ac:dyDescent="0.3">
      <c r="B178" s="33">
        <v>1</v>
      </c>
      <c r="C178" s="32" t="str">
        <f>C254</f>
        <v>Zahnriemen T5 560mm 10mm Breite</v>
      </c>
      <c r="D178" t="s">
        <v>401</v>
      </c>
      <c r="E178" s="9"/>
      <c r="H178" s="22"/>
      <c r="I178" s="37"/>
      <c r="J178" s="38"/>
      <c r="K178" s="35"/>
      <c r="L178" t="str">
        <f t="shared" ca="1" si="6"/>
        <v>Habs</v>
      </c>
    </row>
    <row r="179" spans="1:12" ht="13.8" customHeight="1" x14ac:dyDescent="0.3">
      <c r="B179" s="33"/>
      <c r="C179" s="32"/>
      <c r="E179" s="9"/>
      <c r="H179" s="22"/>
      <c r="I179" s="37"/>
      <c r="J179" s="38"/>
      <c r="K179" s="35"/>
    </row>
    <row r="180" spans="1:12" ht="13.8" customHeight="1" x14ac:dyDescent="0.3">
      <c r="B180" s="33"/>
      <c r="C180" s="32"/>
      <c r="E180" s="9"/>
      <c r="H180" s="22"/>
      <c r="I180" s="37"/>
      <c r="J180" s="38"/>
      <c r="K180" s="35"/>
    </row>
    <row r="181" spans="1:12" ht="13.8" customHeight="1" x14ac:dyDescent="0.3">
      <c r="B181" s="33"/>
      <c r="C181" s="32"/>
      <c r="E181" s="9"/>
      <c r="H181" s="22"/>
      <c r="I181" s="37"/>
      <c r="J181" s="38"/>
      <c r="K181" s="35"/>
    </row>
    <row r="182" spans="1:12" ht="13.8" customHeight="1" x14ac:dyDescent="0.3">
      <c r="B182" s="33"/>
      <c r="C182" s="32"/>
      <c r="E182" s="9"/>
      <c r="H182" s="22"/>
      <c r="I182" s="37"/>
      <c r="J182" s="38"/>
      <c r="K182" s="35"/>
    </row>
    <row r="183" spans="1:12" ht="13.8" customHeight="1" x14ac:dyDescent="0.3">
      <c r="B183" s="33"/>
      <c r="C183" s="32"/>
      <c r="E183" s="9"/>
      <c r="H183" s="22"/>
      <c r="I183" s="37"/>
      <c r="J183" s="38"/>
      <c r="K183" s="35"/>
    </row>
    <row r="184" spans="1:12" ht="13.8" customHeight="1" x14ac:dyDescent="0.3">
      <c r="A184" s="6" t="s">
        <v>0</v>
      </c>
      <c r="C184" s="32"/>
      <c r="E184" s="9"/>
      <c r="H184" s="22"/>
      <c r="I184" s="36"/>
    </row>
    <row r="185" spans="1:12" ht="13.8" customHeight="1" x14ac:dyDescent="0.3">
      <c r="B185" t="s">
        <v>472</v>
      </c>
      <c r="C185" s="32" t="s">
        <v>530</v>
      </c>
      <c r="E185" s="9"/>
      <c r="G185" t="s">
        <v>473</v>
      </c>
      <c r="H185" s="22" t="s">
        <v>474</v>
      </c>
      <c r="I185" s="36" t="s">
        <v>475</v>
      </c>
      <c r="J185" s="1" t="s">
        <v>477</v>
      </c>
      <c r="K185" s="1" t="s">
        <v>476</v>
      </c>
    </row>
    <row r="186" spans="1:12" ht="13.8" customHeight="1" x14ac:dyDescent="0.3">
      <c r="B186" s="33">
        <f t="shared" ref="B186:B216" si="8">ROUNDUP(I186/G186,0)</f>
        <v>1</v>
      </c>
      <c r="C186" s="32" t="s">
        <v>338</v>
      </c>
      <c r="E186" s="9" t="s">
        <v>374</v>
      </c>
      <c r="G186">
        <v>50</v>
      </c>
      <c r="H186" s="22">
        <v>2.5</v>
      </c>
      <c r="I186" s="37">
        <f t="shared" ref="I186:I194" si="9">SUMIF(C$1:C$184,"="&amp;C186,B$1:B$184)</f>
        <v>14</v>
      </c>
      <c r="J186" s="38">
        <f t="shared" ref="J186:J190" si="10">G186*B186-I186</f>
        <v>36</v>
      </c>
      <c r="K186" s="35">
        <f>B186*H186</f>
        <v>2.5</v>
      </c>
      <c r="L186" t="s">
        <v>478</v>
      </c>
    </row>
    <row r="187" spans="1:12" ht="13.8" customHeight="1" x14ac:dyDescent="0.3">
      <c r="B187" s="33">
        <f t="shared" si="8"/>
        <v>1</v>
      </c>
      <c r="C187" s="32" t="s">
        <v>332</v>
      </c>
      <c r="E187" s="9" t="s">
        <v>433</v>
      </c>
      <c r="G187">
        <v>50</v>
      </c>
      <c r="H187" s="22">
        <v>2.5</v>
      </c>
      <c r="I187" s="37">
        <f t="shared" si="9"/>
        <v>11</v>
      </c>
      <c r="J187" s="38">
        <f t="shared" si="10"/>
        <v>39</v>
      </c>
      <c r="K187" s="35">
        <f>B187*H187</f>
        <v>2.5</v>
      </c>
      <c r="L187" t="s">
        <v>478</v>
      </c>
    </row>
    <row r="188" spans="1:12" ht="13.8" customHeight="1" x14ac:dyDescent="0.3">
      <c r="B188" s="33">
        <f t="shared" ref="B188" si="11">ROUNDUP(I188/G188,0)</f>
        <v>1</v>
      </c>
      <c r="C188" s="32" t="s">
        <v>333</v>
      </c>
      <c r="E188" s="9" t="s">
        <v>433</v>
      </c>
      <c r="G188">
        <v>50</v>
      </c>
      <c r="H188" s="22">
        <v>2.5</v>
      </c>
      <c r="I188" s="37">
        <f t="shared" si="9"/>
        <v>22</v>
      </c>
      <c r="J188" s="38">
        <f t="shared" si="10"/>
        <v>28</v>
      </c>
      <c r="K188" s="35">
        <f>B188*H188</f>
        <v>2.5</v>
      </c>
      <c r="L188" t="s">
        <v>478</v>
      </c>
    </row>
    <row r="189" spans="1:12" ht="13.8" customHeight="1" x14ac:dyDescent="0.3">
      <c r="B189" s="33">
        <f t="shared" ref="B189" si="12">ROUNDUP(I189/G189,0)</f>
        <v>1</v>
      </c>
      <c r="C189" s="32" t="s">
        <v>322</v>
      </c>
      <c r="E189" s="9" t="s">
        <v>433</v>
      </c>
      <c r="G189">
        <v>50</v>
      </c>
      <c r="H189" s="22">
        <v>2.5</v>
      </c>
      <c r="I189" s="37">
        <f t="shared" si="9"/>
        <v>7</v>
      </c>
      <c r="J189" s="38">
        <f>G189*B189-I189</f>
        <v>43</v>
      </c>
      <c r="K189" s="35">
        <f t="shared" ref="K189" si="13">B189*H189</f>
        <v>2.5</v>
      </c>
      <c r="L189" t="s">
        <v>478</v>
      </c>
    </row>
    <row r="190" spans="1:12" ht="13.8" customHeight="1" x14ac:dyDescent="0.3">
      <c r="B190" s="33">
        <f t="shared" si="8"/>
        <v>1</v>
      </c>
      <c r="C190" s="32" t="s">
        <v>275</v>
      </c>
      <c r="E190" s="9" t="s">
        <v>433</v>
      </c>
      <c r="G190">
        <v>50</v>
      </c>
      <c r="H190" s="22">
        <v>2.5</v>
      </c>
      <c r="I190" s="37">
        <f t="shared" si="9"/>
        <v>39</v>
      </c>
      <c r="J190" s="38">
        <f t="shared" si="10"/>
        <v>11</v>
      </c>
      <c r="K190" s="35">
        <f>B190*H190</f>
        <v>2.5</v>
      </c>
      <c r="L190" t="s">
        <v>478</v>
      </c>
    </row>
    <row r="191" spans="1:12" ht="13.8" customHeight="1" x14ac:dyDescent="0.3">
      <c r="B191" s="33">
        <f t="shared" ref="B191" si="14">ROUNDUP(I191/G191,0)</f>
        <v>1</v>
      </c>
      <c r="C191" s="32" t="s">
        <v>320</v>
      </c>
      <c r="E191" s="9" t="s">
        <v>321</v>
      </c>
      <c r="G191">
        <v>50</v>
      </c>
      <c r="H191" s="22">
        <v>2.5</v>
      </c>
      <c r="I191" s="37">
        <f t="shared" si="9"/>
        <v>4</v>
      </c>
      <c r="J191" s="38">
        <f t="shared" ref="J191" si="15">G191*B191-I191</f>
        <v>46</v>
      </c>
      <c r="K191" s="35">
        <f t="shared" ref="K191:K276" si="16">B191*H191</f>
        <v>2.5</v>
      </c>
      <c r="L191" t="s">
        <v>478</v>
      </c>
    </row>
    <row r="192" spans="1:12" ht="13.8" customHeight="1" x14ac:dyDescent="0.3">
      <c r="B192" s="33">
        <f t="shared" ref="B192" si="17">ROUNDUP(I192/G192,0)</f>
        <v>0</v>
      </c>
      <c r="C192" s="32" t="s">
        <v>459</v>
      </c>
      <c r="E192" s="9" t="s">
        <v>433</v>
      </c>
      <c r="G192">
        <v>50</v>
      </c>
      <c r="H192" s="22">
        <v>2.5</v>
      </c>
      <c r="I192" s="37">
        <f t="shared" si="9"/>
        <v>0</v>
      </c>
      <c r="J192" s="38">
        <f t="shared" ref="J192" si="18">G192*B192-I192</f>
        <v>0</v>
      </c>
      <c r="K192" s="35">
        <f t="shared" ref="K192" si="19">B192*H192</f>
        <v>0</v>
      </c>
      <c r="L192" t="s">
        <v>478</v>
      </c>
    </row>
    <row r="193" spans="2:12" ht="13.8" customHeight="1" x14ac:dyDescent="0.3">
      <c r="B193" s="33">
        <f>ROUNDUP(I193/G193,0)</f>
        <v>1</v>
      </c>
      <c r="C193" s="32" t="s">
        <v>293</v>
      </c>
      <c r="E193" s="9" t="s">
        <v>432</v>
      </c>
      <c r="G193">
        <v>20</v>
      </c>
      <c r="H193" s="22">
        <v>1.8</v>
      </c>
      <c r="I193" s="37">
        <f t="shared" si="9"/>
        <v>16</v>
      </c>
      <c r="J193" s="38">
        <f>G193*B193-I193</f>
        <v>4</v>
      </c>
      <c r="K193" s="35">
        <f>B193*H193</f>
        <v>1.8</v>
      </c>
      <c r="L193" t="s">
        <v>478</v>
      </c>
    </row>
    <row r="194" spans="2:12" ht="13.8" customHeight="1" x14ac:dyDescent="0.3">
      <c r="B194" s="33">
        <f>ROUNDUP(I194/G194,0)</f>
        <v>1</v>
      </c>
      <c r="C194" s="32" t="s">
        <v>408</v>
      </c>
      <c r="E194" s="9" t="s">
        <v>431</v>
      </c>
      <c r="G194">
        <v>20</v>
      </c>
      <c r="H194" s="22">
        <v>1.8</v>
      </c>
      <c r="I194" s="37">
        <f t="shared" si="9"/>
        <v>4</v>
      </c>
      <c r="J194" s="38">
        <f>G194*B194-I194</f>
        <v>16</v>
      </c>
      <c r="K194" s="35">
        <f>B194*H194</f>
        <v>1.8</v>
      </c>
      <c r="L194" t="s">
        <v>478</v>
      </c>
    </row>
    <row r="195" spans="2:12" ht="13.8" customHeight="1" x14ac:dyDescent="0.3">
      <c r="B195" s="33"/>
      <c r="C195" s="32"/>
      <c r="E195" s="9"/>
      <c r="H195" s="22"/>
      <c r="I195" s="37"/>
      <c r="J195" s="38"/>
      <c r="K195" s="35"/>
    </row>
    <row r="196" spans="2:12" ht="13.8" customHeight="1" x14ac:dyDescent="0.3">
      <c r="B196" s="33">
        <f t="shared" ref="B196" si="20">ROUNDUP(I196/G196,0)</f>
        <v>1</v>
      </c>
      <c r="C196" s="32" t="s">
        <v>329</v>
      </c>
      <c r="E196" s="9" t="s">
        <v>434</v>
      </c>
      <c r="G196">
        <v>50</v>
      </c>
      <c r="H196" s="22">
        <v>2.99</v>
      </c>
      <c r="I196" s="37">
        <f>SUMIF(C$1:C$184,"="&amp;C196,B$1:B$184)</f>
        <v>20</v>
      </c>
      <c r="J196" s="38">
        <f t="shared" ref="J196" si="21">G196*B196-I196</f>
        <v>30</v>
      </c>
      <c r="K196" s="35">
        <f t="shared" ref="K196" si="22">B196*H196</f>
        <v>2.99</v>
      </c>
      <c r="L196" t="s">
        <v>478</v>
      </c>
    </row>
    <row r="197" spans="2:12" ht="13.8" customHeight="1" x14ac:dyDescent="0.3">
      <c r="B197" s="33">
        <f t="shared" ref="B197" si="23">ROUNDUP(I197/G197,0)</f>
        <v>0</v>
      </c>
      <c r="C197" s="32" t="s">
        <v>353</v>
      </c>
      <c r="E197" s="9" t="s">
        <v>435</v>
      </c>
      <c r="F197" t="s">
        <v>331</v>
      </c>
      <c r="G197">
        <v>20</v>
      </c>
      <c r="H197" s="22">
        <v>2.95</v>
      </c>
      <c r="I197" s="37">
        <f>SUMIF(C$1:C$184,"="&amp;C197,B$1:B$184)</f>
        <v>0</v>
      </c>
      <c r="J197" s="38">
        <f t="shared" ref="J197" si="24">G197*B197-I197</f>
        <v>0</v>
      </c>
      <c r="K197" s="35">
        <f t="shared" ref="K197" si="25">B197*H197</f>
        <v>0</v>
      </c>
      <c r="L197" t="s">
        <v>478</v>
      </c>
    </row>
    <row r="198" spans="2:12" ht="13.8" customHeight="1" x14ac:dyDescent="0.3">
      <c r="B198" s="33">
        <f t="shared" si="8"/>
        <v>1</v>
      </c>
      <c r="C198" s="32" t="s">
        <v>325</v>
      </c>
      <c r="E198" s="9" t="s">
        <v>269</v>
      </c>
      <c r="G198">
        <v>100</v>
      </c>
      <c r="H198" s="22">
        <v>2.09</v>
      </c>
      <c r="I198" s="37">
        <f>SUMIF(C$1:C$184,"="&amp;C198,B$1:B$184)</f>
        <v>9</v>
      </c>
      <c r="J198" s="38">
        <f t="shared" ref="J198:J273" si="26">G198*B198-I198</f>
        <v>91</v>
      </c>
      <c r="K198" s="35">
        <f t="shared" si="16"/>
        <v>2.09</v>
      </c>
      <c r="L198" t="s">
        <v>478</v>
      </c>
    </row>
    <row r="199" spans="2:12" ht="13.8" customHeight="1" x14ac:dyDescent="0.3">
      <c r="B199" s="33">
        <f t="shared" ref="B199" si="27">ROUNDUP(I199/G199,0)</f>
        <v>1</v>
      </c>
      <c r="C199" s="32" t="s">
        <v>324</v>
      </c>
      <c r="E199" s="9" t="s">
        <v>277</v>
      </c>
      <c r="G199">
        <v>100</v>
      </c>
      <c r="H199" s="22">
        <v>2.09</v>
      </c>
      <c r="I199" s="37">
        <f>SUMIF(C$1:C$184,"="&amp;C199,B$1:B$184)</f>
        <v>23</v>
      </c>
      <c r="J199" s="38">
        <f t="shared" ref="J199" si="28">G199*B199-I199</f>
        <v>77</v>
      </c>
      <c r="K199" s="35">
        <f t="shared" si="16"/>
        <v>2.09</v>
      </c>
      <c r="L199" t="s">
        <v>478</v>
      </c>
    </row>
    <row r="200" spans="2:12" ht="13.8" customHeight="1" x14ac:dyDescent="0.3">
      <c r="B200" s="33">
        <f t="shared" ref="B200:B202" si="29">ROUNDUP(I200/G200,0)</f>
        <v>1</v>
      </c>
      <c r="C200" s="32" t="s">
        <v>326</v>
      </c>
      <c r="E200" s="9" t="s">
        <v>426</v>
      </c>
      <c r="G200">
        <v>100</v>
      </c>
      <c r="H200" s="22">
        <v>2.09</v>
      </c>
      <c r="I200" s="37">
        <f>SUMIF(C$1:C$184,"="&amp;C200,B$1:B$184)</f>
        <v>16</v>
      </c>
      <c r="J200" s="38">
        <f t="shared" ref="J200:J202" si="30">G200*B200-I200</f>
        <v>84</v>
      </c>
      <c r="K200" s="35">
        <f t="shared" ref="K200:K202" si="31">B200*H200</f>
        <v>2.09</v>
      </c>
      <c r="L200" t="s">
        <v>478</v>
      </c>
    </row>
    <row r="201" spans="2:12" ht="13.8" customHeight="1" x14ac:dyDescent="0.3">
      <c r="B201" s="33"/>
      <c r="C201" s="32"/>
      <c r="E201" s="9"/>
      <c r="H201" s="22"/>
      <c r="I201" s="37"/>
      <c r="J201" s="38"/>
      <c r="K201" s="35"/>
    </row>
    <row r="202" spans="2:12" ht="13.8" customHeight="1" x14ac:dyDescent="0.3">
      <c r="B202" s="33">
        <f t="shared" si="29"/>
        <v>1</v>
      </c>
      <c r="C202" s="32" t="s">
        <v>349</v>
      </c>
      <c r="E202" s="9" t="s">
        <v>458</v>
      </c>
      <c r="G202">
        <v>50</v>
      </c>
      <c r="H202" s="22">
        <v>4.8899999999999997</v>
      </c>
      <c r="I202" s="37">
        <f t="shared" ref="I202:I217" si="32">SUMIF(C$1:C$184,"="&amp;C202,B$1:B$184)</f>
        <v>1</v>
      </c>
      <c r="J202" s="38">
        <f t="shared" si="30"/>
        <v>49</v>
      </c>
      <c r="K202" s="35">
        <f t="shared" si="31"/>
        <v>4.8899999999999997</v>
      </c>
      <c r="L202" t="s">
        <v>478</v>
      </c>
    </row>
    <row r="203" spans="2:12" ht="13.8" customHeight="1" x14ac:dyDescent="0.3">
      <c r="B203" s="33">
        <f t="shared" ref="B203" si="33">ROUNDUP(I203/G203,0)</f>
        <v>1</v>
      </c>
      <c r="C203" s="32" t="s">
        <v>348</v>
      </c>
      <c r="E203" s="9" t="s">
        <v>458</v>
      </c>
      <c r="G203">
        <v>50</v>
      </c>
      <c r="H203" s="22">
        <v>2.29</v>
      </c>
      <c r="I203" s="37">
        <f t="shared" si="32"/>
        <v>2</v>
      </c>
      <c r="J203" s="38">
        <f t="shared" ref="J203" si="34">G203*B203-I203</f>
        <v>48</v>
      </c>
      <c r="K203" s="35">
        <f t="shared" ref="K203" si="35">B203*H203</f>
        <v>2.29</v>
      </c>
      <c r="L203" t="s">
        <v>478</v>
      </c>
    </row>
    <row r="204" spans="2:12" ht="13.8" customHeight="1" x14ac:dyDescent="0.3">
      <c r="B204" s="33">
        <f t="shared" si="8"/>
        <v>1</v>
      </c>
      <c r="C204" s="32" t="s">
        <v>372</v>
      </c>
      <c r="E204" s="9" t="s">
        <v>290</v>
      </c>
      <c r="G204">
        <v>100</v>
      </c>
      <c r="H204" s="22">
        <v>1.79</v>
      </c>
      <c r="I204" s="37">
        <f t="shared" si="32"/>
        <v>73</v>
      </c>
      <c r="J204" s="38">
        <f t="shared" si="26"/>
        <v>27</v>
      </c>
      <c r="K204" s="35">
        <f t="shared" si="16"/>
        <v>1.79</v>
      </c>
      <c r="L204" t="s">
        <v>478</v>
      </c>
    </row>
    <row r="205" spans="2:12" ht="13.8" customHeight="1" x14ac:dyDescent="0.3">
      <c r="B205" s="33">
        <f t="shared" si="8"/>
        <v>1</v>
      </c>
      <c r="C205" s="32" t="s">
        <v>299</v>
      </c>
      <c r="E205" s="9" t="s">
        <v>300</v>
      </c>
      <c r="G205">
        <v>100</v>
      </c>
      <c r="H205" s="22">
        <v>1.79</v>
      </c>
      <c r="I205" s="37">
        <f t="shared" si="32"/>
        <v>6</v>
      </c>
      <c r="J205" s="38">
        <f>G205*B205-I205</f>
        <v>94</v>
      </c>
      <c r="K205" s="35">
        <f t="shared" si="16"/>
        <v>1.79</v>
      </c>
      <c r="L205" t="s">
        <v>478</v>
      </c>
    </row>
    <row r="206" spans="2:12" ht="13.8" customHeight="1" x14ac:dyDescent="0.3">
      <c r="B206" s="33">
        <f t="shared" ref="B206:B207" si="36">ROUNDUP(I206/G206,0)</f>
        <v>1</v>
      </c>
      <c r="C206" s="32" t="s">
        <v>350</v>
      </c>
      <c r="E206" s="9" t="s">
        <v>453</v>
      </c>
      <c r="G206">
        <v>50</v>
      </c>
      <c r="H206" s="22">
        <v>4.33</v>
      </c>
      <c r="I206" s="37">
        <f t="shared" si="32"/>
        <v>4</v>
      </c>
      <c r="J206" s="38">
        <f>G206*B206-I206</f>
        <v>46</v>
      </c>
      <c r="K206" s="35">
        <f t="shared" ref="K206:K207" si="37">B206*H206</f>
        <v>4.33</v>
      </c>
      <c r="L206" t="s">
        <v>419</v>
      </c>
    </row>
    <row r="207" spans="2:12" ht="13.8" customHeight="1" x14ac:dyDescent="0.3">
      <c r="B207" s="33">
        <f t="shared" si="36"/>
        <v>2</v>
      </c>
      <c r="C207" s="32" t="s">
        <v>371</v>
      </c>
      <c r="E207" s="9" t="s">
        <v>370</v>
      </c>
      <c r="G207">
        <v>10</v>
      </c>
      <c r="H207" s="22">
        <v>1.98</v>
      </c>
      <c r="I207" s="37">
        <f t="shared" si="32"/>
        <v>16</v>
      </c>
      <c r="J207" s="38">
        <f>G207*B207-I207</f>
        <v>4</v>
      </c>
      <c r="K207" s="35">
        <f t="shared" si="37"/>
        <v>3.96</v>
      </c>
      <c r="L207" t="s">
        <v>478</v>
      </c>
    </row>
    <row r="208" spans="2:12" ht="13.8" customHeight="1" x14ac:dyDescent="0.3">
      <c r="B208" s="33">
        <f t="shared" ref="B208:B209" si="38">ROUNDUP(I208/G208,0)</f>
        <v>0</v>
      </c>
      <c r="C208" s="32" t="s">
        <v>483</v>
      </c>
      <c r="E208" s="9" t="s">
        <v>466</v>
      </c>
      <c r="G208">
        <v>10</v>
      </c>
      <c r="H208" s="22">
        <v>1.98</v>
      </c>
      <c r="I208" s="37">
        <f t="shared" si="32"/>
        <v>0</v>
      </c>
      <c r="J208" s="38">
        <f>G208*B208-I208</f>
        <v>0</v>
      </c>
      <c r="K208" s="35">
        <f t="shared" ref="K208:K209" si="39">B208*H208</f>
        <v>0</v>
      </c>
      <c r="L208" t="s">
        <v>478</v>
      </c>
    </row>
    <row r="209" spans="2:12" ht="13.8" customHeight="1" x14ac:dyDescent="0.3">
      <c r="B209" s="33">
        <f t="shared" si="38"/>
        <v>0</v>
      </c>
      <c r="C209" s="32" t="s">
        <v>465</v>
      </c>
      <c r="E209" s="9" t="s">
        <v>393</v>
      </c>
      <c r="G209">
        <v>10</v>
      </c>
      <c r="H209" s="22">
        <v>1.98</v>
      </c>
      <c r="I209" s="37">
        <f t="shared" si="32"/>
        <v>0</v>
      </c>
      <c r="J209" s="38">
        <f>G209*B209-I209</f>
        <v>0</v>
      </c>
      <c r="K209" s="35">
        <f t="shared" si="39"/>
        <v>0</v>
      </c>
      <c r="L209" t="s">
        <v>478</v>
      </c>
    </row>
    <row r="210" spans="2:12" ht="13.8" customHeight="1" x14ac:dyDescent="0.3">
      <c r="B210" s="33">
        <f>ROUNDUP(I210/G210,0)</f>
        <v>1</v>
      </c>
      <c r="C210" s="32" t="s">
        <v>302</v>
      </c>
      <c r="E210" s="9" t="s">
        <v>287</v>
      </c>
      <c r="G210">
        <v>500</v>
      </c>
      <c r="H210" s="22">
        <v>4.49</v>
      </c>
      <c r="I210" s="37">
        <f t="shared" si="32"/>
        <v>86</v>
      </c>
      <c r="J210" s="38">
        <f t="shared" ref="J210" si="40">G210*B210-I210</f>
        <v>414</v>
      </c>
      <c r="K210" s="35">
        <f t="shared" si="16"/>
        <v>4.49</v>
      </c>
      <c r="L210" t="s">
        <v>478</v>
      </c>
    </row>
    <row r="211" spans="2:12" ht="13.8" customHeight="1" x14ac:dyDescent="0.3">
      <c r="B211" s="33">
        <f>ROUNDUP(I211/G211,0)</f>
        <v>1</v>
      </c>
      <c r="C211" s="32" t="s">
        <v>317</v>
      </c>
      <c r="E211" s="9" t="s">
        <v>268</v>
      </c>
      <c r="G211">
        <v>500</v>
      </c>
      <c r="H211" s="22">
        <v>2.4900000000000002</v>
      </c>
      <c r="I211" s="37">
        <f t="shared" si="32"/>
        <v>142</v>
      </c>
      <c r="J211" s="38">
        <f t="shared" ref="J211:J212" si="41">G211*B211-I211</f>
        <v>358</v>
      </c>
      <c r="K211" s="35">
        <f t="shared" si="16"/>
        <v>2.4900000000000002</v>
      </c>
      <c r="L211" t="s">
        <v>478</v>
      </c>
    </row>
    <row r="212" spans="2:12" ht="13.8" customHeight="1" x14ac:dyDescent="0.3">
      <c r="B212" s="33">
        <f>ROUNDUP(I212/G212,0)</f>
        <v>1</v>
      </c>
      <c r="C212" s="32" t="s">
        <v>340</v>
      </c>
      <c r="E212" s="9" t="s">
        <v>341</v>
      </c>
      <c r="G212">
        <v>500</v>
      </c>
      <c r="H212" s="22">
        <v>4.49</v>
      </c>
      <c r="I212" s="37">
        <f t="shared" si="32"/>
        <v>182</v>
      </c>
      <c r="J212" s="38">
        <f t="shared" si="41"/>
        <v>318</v>
      </c>
      <c r="K212" s="35">
        <f t="shared" ref="K212" si="42">B212*H212</f>
        <v>4.49</v>
      </c>
      <c r="L212" t="s">
        <v>478</v>
      </c>
    </row>
    <row r="213" spans="2:12" ht="13.8" customHeight="1" x14ac:dyDescent="0.3">
      <c r="B213" s="33">
        <f>ROUNDUP(I213/G213,0)</f>
        <v>1</v>
      </c>
      <c r="C213" s="32" t="s">
        <v>421</v>
      </c>
      <c r="E213" s="9" t="s">
        <v>341</v>
      </c>
      <c r="G213">
        <v>500</v>
      </c>
      <c r="H213" s="22">
        <v>4.49</v>
      </c>
      <c r="I213" s="37">
        <f t="shared" si="32"/>
        <v>160</v>
      </c>
      <c r="J213" s="38">
        <f t="shared" ref="J213" si="43">G213*B213-I213</f>
        <v>340</v>
      </c>
      <c r="K213" s="35">
        <f t="shared" ref="K213" si="44">B213*H213</f>
        <v>4.49</v>
      </c>
      <c r="L213" t="s">
        <v>478</v>
      </c>
    </row>
    <row r="214" spans="2:12" ht="13.8" customHeight="1" x14ac:dyDescent="0.3">
      <c r="B214" s="33">
        <f>ROUNDUP(I214/G214,0)</f>
        <v>1</v>
      </c>
      <c r="C214" s="32" t="s">
        <v>394</v>
      </c>
      <c r="E214" s="9" t="s">
        <v>393</v>
      </c>
      <c r="G214">
        <v>100</v>
      </c>
      <c r="H214" s="22">
        <v>1.59</v>
      </c>
      <c r="I214" s="37">
        <f t="shared" si="32"/>
        <v>12</v>
      </c>
      <c r="J214" s="38">
        <f t="shared" ref="J214" si="45">G214*B214-I214</f>
        <v>88</v>
      </c>
      <c r="K214" s="35">
        <f t="shared" ref="K214" si="46">B214*H214</f>
        <v>1.59</v>
      </c>
      <c r="L214" t="s">
        <v>478</v>
      </c>
    </row>
    <row r="215" spans="2:12" ht="13.8" customHeight="1" x14ac:dyDescent="0.3">
      <c r="B215" s="33">
        <f t="shared" si="8"/>
        <v>37</v>
      </c>
      <c r="C215" s="32" t="s">
        <v>390</v>
      </c>
      <c r="E215" s="9" t="s">
        <v>389</v>
      </c>
      <c r="G215">
        <v>1</v>
      </c>
      <c r="H215" s="22">
        <v>0.3</v>
      </c>
      <c r="I215" s="37">
        <f t="shared" si="32"/>
        <v>37</v>
      </c>
      <c r="J215" s="38">
        <f t="shared" ref="J215" si="47">G215*B215-I215</f>
        <v>0</v>
      </c>
      <c r="K215" s="35">
        <f t="shared" ref="K215" si="48">B215*H215</f>
        <v>11.1</v>
      </c>
      <c r="L215" t="s">
        <v>478</v>
      </c>
    </row>
    <row r="216" spans="2:12" ht="13.8" customHeight="1" x14ac:dyDescent="0.3">
      <c r="B216" s="33">
        <f t="shared" si="8"/>
        <v>1</v>
      </c>
      <c r="C216" s="32" t="s">
        <v>423</v>
      </c>
      <c r="E216" s="9" t="s">
        <v>422</v>
      </c>
      <c r="G216">
        <v>10</v>
      </c>
      <c r="H216" s="22">
        <v>2.09</v>
      </c>
      <c r="I216" s="37">
        <f t="shared" si="32"/>
        <v>3</v>
      </c>
      <c r="J216" s="38">
        <f t="shared" ref="J216" si="49">G216*B216-I216</f>
        <v>7</v>
      </c>
      <c r="K216" s="35">
        <f t="shared" ref="K216" si="50">B216*H216</f>
        <v>2.09</v>
      </c>
      <c r="L216" t="s">
        <v>478</v>
      </c>
    </row>
    <row r="217" spans="2:12" ht="13.8" customHeight="1" x14ac:dyDescent="0.3">
      <c r="B217" s="33">
        <f>ROUNDUP(I217/G217,0)</f>
        <v>1</v>
      </c>
      <c r="C217" s="32" t="s">
        <v>392</v>
      </c>
      <c r="E217" s="9" t="s">
        <v>391</v>
      </c>
      <c r="G217">
        <v>500</v>
      </c>
      <c r="H217" s="22">
        <v>1.69</v>
      </c>
      <c r="I217" s="37">
        <f t="shared" si="32"/>
        <v>300</v>
      </c>
      <c r="J217" s="38">
        <f t="shared" ref="J217" si="51">G217*B217-I217</f>
        <v>200</v>
      </c>
      <c r="K217" s="35">
        <f>B217*H217</f>
        <v>1.69</v>
      </c>
      <c r="L217" t="s">
        <v>478</v>
      </c>
    </row>
    <row r="218" spans="2:12" ht="13.8" customHeight="1" x14ac:dyDescent="0.3">
      <c r="E218" s="9"/>
      <c r="H218" s="22"/>
      <c r="I218" s="37"/>
      <c r="J218" s="38"/>
      <c r="K218" s="35"/>
    </row>
    <row r="219" spans="2:12" ht="13.8" customHeight="1" x14ac:dyDescent="0.3">
      <c r="B219" s="33">
        <f t="shared" ref="B219" si="52">ROUNDUP(I219/G219,0)</f>
        <v>1</v>
      </c>
      <c r="C219" s="32" t="s">
        <v>520</v>
      </c>
      <c r="E219" s="32" t="s">
        <v>496</v>
      </c>
      <c r="G219">
        <v>1</v>
      </c>
      <c r="H219" s="22">
        <v>4.54</v>
      </c>
      <c r="I219" s="37">
        <f t="shared" ref="I219:I233" si="53">SUMIF(C$1:C$184,"="&amp;C219,B$1:B$184)</f>
        <v>1</v>
      </c>
      <c r="J219" s="38">
        <f t="shared" ref="J219" si="54">G219*B219-I219</f>
        <v>0</v>
      </c>
      <c r="K219" s="35">
        <f t="shared" ref="K219" si="55">B219*H219</f>
        <v>4.54</v>
      </c>
      <c r="L219" t="s">
        <v>478</v>
      </c>
    </row>
    <row r="220" spans="2:12" ht="13.8" customHeight="1" x14ac:dyDescent="0.3">
      <c r="B220" s="33">
        <f t="shared" ref="B220" si="56">ROUNDUP(I220/G220,0)</f>
        <v>0</v>
      </c>
      <c r="C220" s="32" t="s">
        <v>521</v>
      </c>
      <c r="E220" s="32" t="s">
        <v>494</v>
      </c>
      <c r="G220">
        <v>1</v>
      </c>
      <c r="H220" s="22">
        <v>4.54</v>
      </c>
      <c r="I220" s="37">
        <f t="shared" si="53"/>
        <v>0</v>
      </c>
      <c r="J220" s="38">
        <f t="shared" ref="J220" si="57">G220*B220-I220</f>
        <v>0</v>
      </c>
      <c r="K220" s="35">
        <f t="shared" ref="K220" si="58">B220*H220</f>
        <v>0</v>
      </c>
      <c r="L220" t="s">
        <v>478</v>
      </c>
    </row>
    <row r="221" spans="2:12" ht="13.8" customHeight="1" x14ac:dyDescent="0.3">
      <c r="B221" s="33">
        <f t="shared" ref="B221:B223" si="59">ROUNDUP(I221/G221,0)</f>
        <v>0</v>
      </c>
      <c r="C221" s="32" t="s">
        <v>522</v>
      </c>
      <c r="E221" s="54" t="s">
        <v>493</v>
      </c>
      <c r="G221">
        <v>1</v>
      </c>
      <c r="H221" s="22">
        <v>4.54</v>
      </c>
      <c r="I221" s="37">
        <f t="shared" si="53"/>
        <v>0</v>
      </c>
      <c r="J221" s="38">
        <f t="shared" ref="J221:J223" si="60">G221*B221-I221</f>
        <v>0</v>
      </c>
      <c r="K221" s="35">
        <f t="shared" ref="K221:K223" si="61">B221*H221</f>
        <v>0</v>
      </c>
      <c r="L221" t="s">
        <v>478</v>
      </c>
    </row>
    <row r="222" spans="2:12" ht="13.8" customHeight="1" x14ac:dyDescent="0.3">
      <c r="B222" s="33">
        <f t="shared" si="59"/>
        <v>0</v>
      </c>
      <c r="C222" s="32" t="s">
        <v>534</v>
      </c>
      <c r="E222" s="9" t="s">
        <v>481</v>
      </c>
      <c r="G222">
        <v>1</v>
      </c>
      <c r="H222" s="22">
        <v>4.96</v>
      </c>
      <c r="I222" s="37">
        <f t="shared" si="53"/>
        <v>0</v>
      </c>
      <c r="J222" s="38">
        <f t="shared" si="60"/>
        <v>0</v>
      </c>
      <c r="K222" s="35">
        <f t="shared" si="61"/>
        <v>0</v>
      </c>
      <c r="L222" t="s">
        <v>419</v>
      </c>
    </row>
    <row r="223" spans="2:12" ht="13.8" customHeight="1" x14ac:dyDescent="0.3">
      <c r="B223" s="33">
        <f t="shared" si="59"/>
        <v>2</v>
      </c>
      <c r="C223" s="32" t="s">
        <v>523</v>
      </c>
      <c r="E223" s="9" t="s">
        <v>511</v>
      </c>
      <c r="G223">
        <v>1</v>
      </c>
      <c r="H223" s="22">
        <v>5.0999999999999996</v>
      </c>
      <c r="I223" s="37">
        <f t="shared" si="53"/>
        <v>2</v>
      </c>
      <c r="J223" s="38">
        <f t="shared" si="60"/>
        <v>0</v>
      </c>
      <c r="K223" s="35">
        <f t="shared" si="61"/>
        <v>10.199999999999999</v>
      </c>
      <c r="L223" t="s">
        <v>478</v>
      </c>
    </row>
    <row r="224" spans="2:12" ht="13.8" customHeight="1" x14ac:dyDescent="0.3">
      <c r="B224" s="33">
        <f t="shared" ref="B224:B279" si="62">ROUNDUP(I224/G224,0)</f>
        <v>1</v>
      </c>
      <c r="C224" s="32" t="s">
        <v>533</v>
      </c>
      <c r="E224" t="s">
        <v>532</v>
      </c>
      <c r="G224">
        <v>1</v>
      </c>
      <c r="H224" s="22">
        <v>5.0999999999999996</v>
      </c>
      <c r="I224" s="37">
        <f t="shared" si="53"/>
        <v>1</v>
      </c>
      <c r="J224" s="38">
        <f t="shared" ref="J224" si="63">G224*B224-I224</f>
        <v>0</v>
      </c>
      <c r="K224" s="35">
        <f t="shared" si="16"/>
        <v>5.0999999999999996</v>
      </c>
      <c r="L224" t="s">
        <v>419</v>
      </c>
    </row>
    <row r="225" spans="2:12" ht="13.8" customHeight="1" x14ac:dyDescent="0.3">
      <c r="B225" s="33">
        <f t="shared" ref="B225:B228" si="64">ROUNDUP(I225/G225,0)</f>
        <v>0</v>
      </c>
      <c r="C225" s="32" t="s">
        <v>524</v>
      </c>
      <c r="E225" s="9" t="s">
        <v>481</v>
      </c>
      <c r="G225">
        <v>1</v>
      </c>
      <c r="H225" s="22">
        <v>4.96</v>
      </c>
      <c r="I225" s="37">
        <f t="shared" si="53"/>
        <v>0</v>
      </c>
      <c r="J225" s="38">
        <f t="shared" ref="J225:J228" si="65">G225*B225-I225</f>
        <v>0</v>
      </c>
      <c r="K225" s="35">
        <f t="shared" ref="K225:K228" si="66">B225*H225</f>
        <v>0</v>
      </c>
      <c r="L225" t="s">
        <v>419</v>
      </c>
    </row>
    <row r="226" spans="2:12" ht="13.8" customHeight="1" x14ac:dyDescent="0.3">
      <c r="B226" s="33">
        <f t="shared" ref="B226:B227" si="67">ROUNDUP(I226/G226,0)</f>
        <v>0</v>
      </c>
      <c r="C226" s="32" t="s">
        <v>525</v>
      </c>
      <c r="E226" s="9" t="s">
        <v>497</v>
      </c>
      <c r="G226">
        <v>1</v>
      </c>
      <c r="H226" s="22">
        <v>5.44</v>
      </c>
      <c r="I226" s="37">
        <f t="shared" si="53"/>
        <v>0</v>
      </c>
      <c r="J226" s="38">
        <f t="shared" ref="J226:J227" si="68">G226*B226-I226</f>
        <v>0</v>
      </c>
      <c r="K226" s="35">
        <f t="shared" ref="K226:K227" si="69">B226*H226</f>
        <v>0</v>
      </c>
      <c r="L226" t="s">
        <v>478</v>
      </c>
    </row>
    <row r="227" spans="2:12" ht="13.8" customHeight="1" x14ac:dyDescent="0.3">
      <c r="B227" s="33">
        <f t="shared" si="67"/>
        <v>0</v>
      </c>
      <c r="C227" s="32" t="s">
        <v>553</v>
      </c>
      <c r="E227" s="9" t="s">
        <v>552</v>
      </c>
      <c r="G227">
        <v>1</v>
      </c>
      <c r="H227" s="22">
        <v>5.44</v>
      </c>
      <c r="I227" s="37">
        <f t="shared" si="53"/>
        <v>0</v>
      </c>
      <c r="J227" s="38">
        <f t="shared" si="68"/>
        <v>0</v>
      </c>
      <c r="K227" s="35">
        <f t="shared" si="69"/>
        <v>0</v>
      </c>
      <c r="L227" t="s">
        <v>478</v>
      </c>
    </row>
    <row r="228" spans="2:12" ht="13.8" customHeight="1" x14ac:dyDescent="0.3">
      <c r="B228" s="33">
        <f t="shared" si="64"/>
        <v>0</v>
      </c>
      <c r="C228" s="32" t="s">
        <v>526</v>
      </c>
      <c r="E228" s="9" t="s">
        <v>495</v>
      </c>
      <c r="G228">
        <v>1</v>
      </c>
      <c r="H228" s="22">
        <v>5.44</v>
      </c>
      <c r="I228" s="37">
        <f t="shared" si="53"/>
        <v>0</v>
      </c>
      <c r="J228" s="38">
        <f t="shared" si="65"/>
        <v>0</v>
      </c>
      <c r="K228" s="35">
        <f t="shared" si="66"/>
        <v>0</v>
      </c>
      <c r="L228" t="s">
        <v>419</v>
      </c>
    </row>
    <row r="229" spans="2:12" ht="13.8" customHeight="1" x14ac:dyDescent="0.3">
      <c r="B229" s="33">
        <f t="shared" si="62"/>
        <v>0</v>
      </c>
      <c r="C229" s="32" t="s">
        <v>528</v>
      </c>
      <c r="E229" s="9" t="s">
        <v>283</v>
      </c>
      <c r="G229">
        <v>1</v>
      </c>
      <c r="H229" s="22">
        <v>5.44</v>
      </c>
      <c r="I229" s="37">
        <f t="shared" si="53"/>
        <v>0</v>
      </c>
      <c r="J229" s="38">
        <f t="shared" ref="J229" si="70">G229*B229-I229</f>
        <v>0</v>
      </c>
      <c r="K229" s="35">
        <f t="shared" si="16"/>
        <v>0</v>
      </c>
      <c r="L229" t="s">
        <v>419</v>
      </c>
    </row>
    <row r="230" spans="2:12" ht="13.8" customHeight="1" x14ac:dyDescent="0.3">
      <c r="B230" s="33">
        <f t="shared" si="62"/>
        <v>0</v>
      </c>
      <c r="C230" s="32" t="s">
        <v>527</v>
      </c>
      <c r="E230" s="9" t="s">
        <v>323</v>
      </c>
      <c r="G230">
        <v>1</v>
      </c>
      <c r="H230" s="22">
        <v>6.34</v>
      </c>
      <c r="I230" s="37">
        <f t="shared" si="53"/>
        <v>0</v>
      </c>
      <c r="J230" s="38">
        <f t="shared" ref="J230:J231" si="71">G230*B230-I230</f>
        <v>0</v>
      </c>
      <c r="K230" s="35">
        <f t="shared" ref="K230:K231" si="72">B230*H230</f>
        <v>0</v>
      </c>
      <c r="L230" t="s">
        <v>419</v>
      </c>
    </row>
    <row r="231" spans="2:12" ht="13.8" customHeight="1" x14ac:dyDescent="0.3">
      <c r="B231" s="33">
        <f t="shared" ref="B231" si="73">ROUNDUP(I231/G231,0)</f>
        <v>0</v>
      </c>
      <c r="C231" s="32" t="s">
        <v>542</v>
      </c>
      <c r="E231" s="9" t="s">
        <v>541</v>
      </c>
      <c r="G231">
        <v>1</v>
      </c>
      <c r="H231" s="22">
        <v>6.67</v>
      </c>
      <c r="I231" s="37">
        <f t="shared" si="53"/>
        <v>0</v>
      </c>
      <c r="J231" s="38">
        <f t="shared" si="71"/>
        <v>0</v>
      </c>
      <c r="K231" s="35">
        <f t="shared" si="72"/>
        <v>0</v>
      </c>
      <c r="L231" t="s">
        <v>419</v>
      </c>
    </row>
    <row r="232" spans="2:12" ht="13.8" customHeight="1" x14ac:dyDescent="0.3">
      <c r="B232" s="33">
        <f t="shared" ref="B232" si="74">ROUNDUP(I232/G232,0)</f>
        <v>0</v>
      </c>
      <c r="C232" s="32" t="s">
        <v>544</v>
      </c>
      <c r="E232" s="9" t="s">
        <v>543</v>
      </c>
      <c r="G232">
        <v>1</v>
      </c>
      <c r="H232" s="22">
        <v>6.67</v>
      </c>
      <c r="I232" s="37">
        <f t="shared" si="53"/>
        <v>0</v>
      </c>
      <c r="J232" s="38">
        <f t="shared" ref="J232" si="75">G232*B232-I232</f>
        <v>0</v>
      </c>
      <c r="K232" s="35">
        <f t="shared" ref="K232" si="76">B232*H232</f>
        <v>0</v>
      </c>
      <c r="L232" t="s">
        <v>419</v>
      </c>
    </row>
    <row r="233" spans="2:12" ht="13.8" customHeight="1" x14ac:dyDescent="0.3">
      <c r="B233" s="33">
        <f t="shared" si="62"/>
        <v>2</v>
      </c>
      <c r="C233" s="32" t="s">
        <v>560</v>
      </c>
      <c r="E233" s="9" t="s">
        <v>343</v>
      </c>
      <c r="G233">
        <v>1</v>
      </c>
      <c r="H233" s="22">
        <v>11.6</v>
      </c>
      <c r="I233" s="37">
        <f t="shared" si="53"/>
        <v>2</v>
      </c>
      <c r="J233" s="38">
        <f t="shared" ref="J233:J235" si="77">G233*B233-I233</f>
        <v>0</v>
      </c>
      <c r="K233" s="35">
        <f t="shared" ref="K233:K235" si="78">B233*H233</f>
        <v>23.2</v>
      </c>
      <c r="L233" t="s">
        <v>478</v>
      </c>
    </row>
    <row r="234" spans="2:12" ht="13.8" customHeight="1" x14ac:dyDescent="0.3">
      <c r="B234" s="33"/>
      <c r="C234" s="32"/>
      <c r="E234" s="9"/>
      <c r="H234" s="22"/>
      <c r="I234" s="37"/>
      <c r="J234" s="38"/>
      <c r="K234" s="35"/>
    </row>
    <row r="235" spans="2:12" ht="13.8" customHeight="1" x14ac:dyDescent="0.3">
      <c r="B235" s="33">
        <f t="shared" si="62"/>
        <v>2</v>
      </c>
      <c r="C235" s="32" t="s">
        <v>536</v>
      </c>
      <c r="E235" s="9" t="s">
        <v>535</v>
      </c>
      <c r="G235">
        <v>1</v>
      </c>
      <c r="H235" s="22">
        <v>5.23</v>
      </c>
      <c r="I235" s="37">
        <f t="shared" ref="I235:I254" si="79">SUMIF(C$1:C$184,"="&amp;C235,B$1:B$184)</f>
        <v>2</v>
      </c>
      <c r="J235" s="38">
        <f t="shared" si="77"/>
        <v>0</v>
      </c>
      <c r="K235" s="35">
        <f t="shared" si="78"/>
        <v>10.46</v>
      </c>
      <c r="L235" t="s">
        <v>419</v>
      </c>
    </row>
    <row r="236" spans="2:12" ht="13.8" customHeight="1" x14ac:dyDescent="0.3">
      <c r="B236" s="33">
        <f t="shared" si="62"/>
        <v>5</v>
      </c>
      <c r="C236" s="32" t="s">
        <v>548</v>
      </c>
      <c r="E236" s="9" t="s">
        <v>344</v>
      </c>
      <c r="G236">
        <v>1</v>
      </c>
      <c r="H236" s="22">
        <v>5.23</v>
      </c>
      <c r="I236" s="37">
        <f t="shared" si="79"/>
        <v>5</v>
      </c>
      <c r="J236" s="38">
        <f t="shared" ref="J236" si="80">G236*B236-I236</f>
        <v>0</v>
      </c>
      <c r="K236" s="35">
        <f t="shared" ref="K236" si="81">B236*H236</f>
        <v>26.150000000000002</v>
      </c>
      <c r="L236" t="s">
        <v>478</v>
      </c>
    </row>
    <row r="237" spans="2:12" ht="13.8" customHeight="1" x14ac:dyDescent="0.3">
      <c r="B237" s="33">
        <f t="shared" ref="B237" si="82">ROUNDUP(I237/G237,0)</f>
        <v>2</v>
      </c>
      <c r="C237" s="32" t="s">
        <v>547</v>
      </c>
      <c r="E237" s="9" t="s">
        <v>512</v>
      </c>
      <c r="G237">
        <v>1</v>
      </c>
      <c r="H237" s="22">
        <v>5.23</v>
      </c>
      <c r="I237" s="37">
        <f t="shared" si="79"/>
        <v>2</v>
      </c>
      <c r="J237" s="38">
        <f t="shared" ref="J237" si="83">G237*B237-I237</f>
        <v>0</v>
      </c>
      <c r="K237" s="35">
        <f t="shared" ref="K237" si="84">B237*H237</f>
        <v>10.46</v>
      </c>
      <c r="L237" t="s">
        <v>478</v>
      </c>
    </row>
    <row r="238" spans="2:12" ht="13.8" customHeight="1" x14ac:dyDescent="0.3">
      <c r="B238" s="33">
        <f t="shared" si="62"/>
        <v>1</v>
      </c>
      <c r="C238" s="32" t="s">
        <v>556</v>
      </c>
      <c r="E238" s="9" t="s">
        <v>482</v>
      </c>
      <c r="G238">
        <v>1</v>
      </c>
      <c r="H238" s="22">
        <v>4.3899999999999997</v>
      </c>
      <c r="I238" s="37">
        <f t="shared" si="79"/>
        <v>1</v>
      </c>
      <c r="J238" s="38">
        <f t="shared" ref="J238" si="85">G238*B238-I238</f>
        <v>0</v>
      </c>
      <c r="K238" s="35">
        <f t="shared" ref="K238" si="86">B238*H238</f>
        <v>4.3899999999999997</v>
      </c>
      <c r="L238" t="s">
        <v>478</v>
      </c>
    </row>
    <row r="239" spans="2:12" ht="13.8" customHeight="1" x14ac:dyDescent="0.3">
      <c r="B239" s="33">
        <f t="shared" ref="B239" si="87">ROUNDUP(I239/G239,0)</f>
        <v>1</v>
      </c>
      <c r="C239" s="32" t="s">
        <v>549</v>
      </c>
      <c r="E239" s="9" t="s">
        <v>507</v>
      </c>
      <c r="G239">
        <v>1</v>
      </c>
      <c r="H239" s="22">
        <v>5.07</v>
      </c>
      <c r="I239" s="37">
        <f t="shared" si="79"/>
        <v>1</v>
      </c>
      <c r="J239" s="38">
        <f t="shared" ref="J239" si="88">G239*B239-I239</f>
        <v>0</v>
      </c>
      <c r="K239" s="35">
        <f t="shared" ref="K239" si="89">B239*H239</f>
        <v>5.07</v>
      </c>
      <c r="L239" t="s">
        <v>478</v>
      </c>
    </row>
    <row r="240" spans="2:12" ht="13.8" customHeight="1" x14ac:dyDescent="0.3">
      <c r="B240" s="33">
        <f t="shared" ref="B240" si="90">ROUNDUP(I240/G240,0)</f>
        <v>1</v>
      </c>
      <c r="C240" s="32" t="s">
        <v>501</v>
      </c>
      <c r="E240" s="9" t="s">
        <v>502</v>
      </c>
      <c r="G240">
        <v>1</v>
      </c>
      <c r="H240" s="22">
        <v>4</v>
      </c>
      <c r="I240" s="37">
        <f t="shared" si="79"/>
        <v>1</v>
      </c>
      <c r="J240" s="38">
        <f>G240*B240-I240</f>
        <v>0</v>
      </c>
      <c r="K240" s="35">
        <f t="shared" ref="K240:K245" si="91">B240*H240</f>
        <v>4</v>
      </c>
      <c r="L240" t="s">
        <v>478</v>
      </c>
    </row>
    <row r="241" spans="2:12" ht="13.8" customHeight="1" x14ac:dyDescent="0.3">
      <c r="B241" s="33">
        <f t="shared" ref="B241" si="92">ROUNDUP(I241/G241,0)</f>
        <v>0</v>
      </c>
      <c r="C241" s="32" t="s">
        <v>500</v>
      </c>
      <c r="E241" s="9" t="s">
        <v>499</v>
      </c>
      <c r="G241">
        <v>1</v>
      </c>
      <c r="H241" s="22">
        <v>4.24</v>
      </c>
      <c r="I241" s="37">
        <f t="shared" si="79"/>
        <v>0</v>
      </c>
      <c r="J241" s="38">
        <f t="shared" ref="J241" si="93">G241*B241-I241</f>
        <v>0</v>
      </c>
      <c r="K241" s="35">
        <f t="shared" si="91"/>
        <v>0</v>
      </c>
      <c r="L241" t="s">
        <v>478</v>
      </c>
    </row>
    <row r="242" spans="2:12" ht="13.8" customHeight="1" x14ac:dyDescent="0.3">
      <c r="B242" s="33">
        <f>ROUNDUP(I242/G242,0)</f>
        <v>0</v>
      </c>
      <c r="C242" s="32" t="s">
        <v>361</v>
      </c>
      <c r="E242" s="9" t="s">
        <v>303</v>
      </c>
      <c r="G242">
        <v>1</v>
      </c>
      <c r="H242" s="22">
        <v>4.24</v>
      </c>
      <c r="I242" s="37">
        <f t="shared" si="79"/>
        <v>0</v>
      </c>
      <c r="J242" s="38">
        <f t="shared" ref="J242" si="94">G242*B242-I242</f>
        <v>0</v>
      </c>
      <c r="K242" s="35">
        <f t="shared" si="91"/>
        <v>0</v>
      </c>
      <c r="L242" t="s">
        <v>478</v>
      </c>
    </row>
    <row r="243" spans="2:12" ht="13.8" customHeight="1" x14ac:dyDescent="0.3">
      <c r="B243" s="33">
        <f t="shared" ref="B243" si="95">ROUNDUP(I243/G243,0)</f>
        <v>1</v>
      </c>
      <c r="C243" s="32" t="s">
        <v>504</v>
      </c>
      <c r="E243" s="9" t="s">
        <v>503</v>
      </c>
      <c r="G243">
        <v>1</v>
      </c>
      <c r="H243" s="22">
        <v>4</v>
      </c>
      <c r="I243" s="37">
        <f t="shared" si="79"/>
        <v>1</v>
      </c>
      <c r="J243" s="38">
        <f>G243*B243-I243</f>
        <v>0</v>
      </c>
      <c r="K243" s="35">
        <f t="shared" si="91"/>
        <v>4</v>
      </c>
      <c r="L243" t="s">
        <v>478</v>
      </c>
    </row>
    <row r="244" spans="2:12" ht="13.8" customHeight="1" x14ac:dyDescent="0.3">
      <c r="B244" s="33">
        <f>ROUNDUP(I244/G244,0)</f>
        <v>0</v>
      </c>
      <c r="C244" s="32" t="s">
        <v>364</v>
      </c>
      <c r="E244" s="9" t="s">
        <v>319</v>
      </c>
      <c r="G244">
        <v>1</v>
      </c>
      <c r="H244" s="22">
        <v>4.4400000000000004</v>
      </c>
      <c r="I244" s="37">
        <f t="shared" si="79"/>
        <v>0</v>
      </c>
      <c r="J244" s="38">
        <f t="shared" ref="J244" si="96">G244*B244-I244</f>
        <v>0</v>
      </c>
      <c r="K244" s="35">
        <f t="shared" si="91"/>
        <v>0</v>
      </c>
      <c r="L244" t="s">
        <v>478</v>
      </c>
    </row>
    <row r="245" spans="2:12" ht="13.8" customHeight="1" x14ac:dyDescent="0.3">
      <c r="B245" s="33">
        <f t="shared" si="62"/>
        <v>1</v>
      </c>
      <c r="C245" s="32" t="s">
        <v>360</v>
      </c>
      <c r="E245" s="9" t="s">
        <v>292</v>
      </c>
      <c r="G245">
        <v>1</v>
      </c>
      <c r="H245" s="22">
        <v>4.96</v>
      </c>
      <c r="I245" s="37">
        <f t="shared" si="79"/>
        <v>1</v>
      </c>
      <c r="J245" s="38">
        <f>G245*B245-I245</f>
        <v>0</v>
      </c>
      <c r="K245" s="35">
        <f t="shared" si="91"/>
        <v>4.96</v>
      </c>
      <c r="L245" t="s">
        <v>478</v>
      </c>
    </row>
    <row r="246" spans="2:12" ht="13.8" customHeight="1" x14ac:dyDescent="0.3">
      <c r="B246" s="33">
        <f t="shared" ref="B246:B249" si="97">ROUNDUP(I246/G246,0)</f>
        <v>1</v>
      </c>
      <c r="C246" s="32" t="s">
        <v>518</v>
      </c>
      <c r="E246" s="32" t="s">
        <v>517</v>
      </c>
      <c r="G246">
        <v>1</v>
      </c>
      <c r="H246" s="22">
        <v>4.96</v>
      </c>
      <c r="I246" s="37">
        <f t="shared" si="79"/>
        <v>1</v>
      </c>
      <c r="J246" s="38">
        <f>G246*B246-I246</f>
        <v>0</v>
      </c>
      <c r="K246" s="35">
        <f t="shared" ref="K246:K248" si="98">B246*H246</f>
        <v>4.96</v>
      </c>
      <c r="L246" t="s">
        <v>478</v>
      </c>
    </row>
    <row r="247" spans="2:12" ht="13.8" customHeight="1" x14ac:dyDescent="0.3">
      <c r="B247" s="33">
        <f t="shared" si="97"/>
        <v>0</v>
      </c>
      <c r="C247" s="32" t="s">
        <v>551</v>
      </c>
      <c r="E247" s="9" t="s">
        <v>550</v>
      </c>
      <c r="G247">
        <v>1</v>
      </c>
      <c r="H247" s="22">
        <v>4</v>
      </c>
      <c r="I247" s="37">
        <f t="shared" si="79"/>
        <v>0</v>
      </c>
      <c r="J247" s="38">
        <f>G247*B247-I247</f>
        <v>0</v>
      </c>
      <c r="K247" s="35">
        <f t="shared" si="98"/>
        <v>0</v>
      </c>
      <c r="L247" t="s">
        <v>478</v>
      </c>
    </row>
    <row r="248" spans="2:12" ht="13.8" customHeight="1" x14ac:dyDescent="0.3">
      <c r="B248" s="33">
        <f t="shared" ref="B248" si="99">ROUNDUP(I248/G248,0)</f>
        <v>0</v>
      </c>
      <c r="C248" s="32" t="s">
        <v>564</v>
      </c>
      <c r="E248" t="s">
        <v>563</v>
      </c>
      <c r="G248">
        <v>1</v>
      </c>
      <c r="H248" s="22">
        <v>4.96</v>
      </c>
      <c r="I248" s="37">
        <f t="shared" si="79"/>
        <v>0</v>
      </c>
      <c r="J248" s="38">
        <f>G248*B248-I248</f>
        <v>0</v>
      </c>
      <c r="K248" s="35">
        <f t="shared" si="98"/>
        <v>0</v>
      </c>
      <c r="L248" t="s">
        <v>478</v>
      </c>
    </row>
    <row r="249" spans="2:12" ht="13.8" customHeight="1" x14ac:dyDescent="0.3">
      <c r="B249" s="33">
        <f t="shared" si="97"/>
        <v>1</v>
      </c>
      <c r="C249" s="32" t="s">
        <v>546</v>
      </c>
      <c r="E249" t="s">
        <v>545</v>
      </c>
      <c r="G249">
        <v>1</v>
      </c>
      <c r="H249" s="22">
        <v>4.96</v>
      </c>
      <c r="I249" s="37">
        <f t="shared" si="79"/>
        <v>1</v>
      </c>
      <c r="J249" s="38">
        <f>G249*B249-I249</f>
        <v>0</v>
      </c>
      <c r="K249" s="35">
        <f t="shared" ref="K249" si="100">B249*H249</f>
        <v>4.96</v>
      </c>
      <c r="L249" t="s">
        <v>478</v>
      </c>
    </row>
    <row r="250" spans="2:12" ht="13.8" customHeight="1" x14ac:dyDescent="0.3">
      <c r="B250" s="33">
        <f>ROUNDUP(I250/G250,0)</f>
        <v>3</v>
      </c>
      <c r="C250" s="32" t="s">
        <v>362</v>
      </c>
      <c r="E250" s="9" t="s">
        <v>357</v>
      </c>
      <c r="G250">
        <v>1</v>
      </c>
      <c r="H250" s="22">
        <v>7.13</v>
      </c>
      <c r="I250" s="37">
        <f t="shared" si="79"/>
        <v>3</v>
      </c>
      <c r="J250" s="38">
        <f t="shared" ref="J250" si="101">G250*B250-I250</f>
        <v>0</v>
      </c>
      <c r="K250" s="35">
        <f t="shared" ref="K250" si="102">B250*H250</f>
        <v>21.39</v>
      </c>
      <c r="L250" t="s">
        <v>478</v>
      </c>
    </row>
    <row r="251" spans="2:12" ht="13.8" customHeight="1" x14ac:dyDescent="0.3">
      <c r="B251" s="33">
        <f>ROUNDUP(I251/G251,0)</f>
        <v>0</v>
      </c>
      <c r="C251" s="32" t="s">
        <v>378</v>
      </c>
      <c r="E251" s="9" t="s">
        <v>379</v>
      </c>
      <c r="G251">
        <v>1</v>
      </c>
      <c r="H251" s="22">
        <v>7.88</v>
      </c>
      <c r="I251" s="37">
        <f t="shared" si="79"/>
        <v>0</v>
      </c>
      <c r="J251" s="38">
        <f t="shared" ref="J251" si="103">G251*B251-I251</f>
        <v>0</v>
      </c>
      <c r="K251" s="35">
        <f t="shared" ref="K251" si="104">B251*H251</f>
        <v>0</v>
      </c>
      <c r="L251" t="s">
        <v>478</v>
      </c>
    </row>
    <row r="252" spans="2:12" ht="13.8" customHeight="1" x14ac:dyDescent="0.3">
      <c r="B252" s="33">
        <f>ROUNDUP(I252/G252,0)</f>
        <v>1</v>
      </c>
      <c r="C252" s="32" t="s">
        <v>377</v>
      </c>
      <c r="E252" s="9" t="s">
        <v>376</v>
      </c>
      <c r="G252">
        <v>1</v>
      </c>
      <c r="H252" s="22">
        <v>7.88</v>
      </c>
      <c r="I252" s="37">
        <f t="shared" si="79"/>
        <v>1</v>
      </c>
      <c r="J252" s="38">
        <f t="shared" ref="J252" si="105">G252*B252-I252</f>
        <v>0</v>
      </c>
      <c r="K252" s="35">
        <f t="shared" ref="K252" si="106">B252*H252</f>
        <v>7.88</v>
      </c>
      <c r="L252" t="s">
        <v>478</v>
      </c>
    </row>
    <row r="253" spans="2:12" ht="13.8" customHeight="1" x14ac:dyDescent="0.3">
      <c r="B253" s="33">
        <f t="shared" si="62"/>
        <v>1</v>
      </c>
      <c r="C253" s="32" t="s">
        <v>363</v>
      </c>
      <c r="E253" s="9" t="s">
        <v>510</v>
      </c>
      <c r="G253">
        <v>1</v>
      </c>
      <c r="H253" s="22">
        <v>8.8699999999999992</v>
      </c>
      <c r="I253" s="37">
        <f t="shared" si="79"/>
        <v>1</v>
      </c>
      <c r="J253" s="38">
        <f t="shared" ref="J253" si="107">G253*B253-I253</f>
        <v>0</v>
      </c>
      <c r="K253" s="35">
        <f t="shared" ref="K253" si="108">B253*H253</f>
        <v>8.8699999999999992</v>
      </c>
      <c r="L253" t="s">
        <v>478</v>
      </c>
    </row>
    <row r="254" spans="2:12" ht="13.8" customHeight="1" x14ac:dyDescent="0.3">
      <c r="B254" s="33">
        <f t="shared" si="62"/>
        <v>1</v>
      </c>
      <c r="C254" s="32" t="s">
        <v>403</v>
      </c>
      <c r="E254" s="9" t="s">
        <v>402</v>
      </c>
      <c r="G254">
        <v>1</v>
      </c>
      <c r="H254" s="22">
        <v>7.13</v>
      </c>
      <c r="I254" s="37">
        <f t="shared" si="79"/>
        <v>1</v>
      </c>
      <c r="J254" s="38">
        <f t="shared" ref="J254" si="109">G254*B254-I254</f>
        <v>0</v>
      </c>
      <c r="K254" s="35">
        <f t="shared" ref="K254" si="110">B254*H254</f>
        <v>7.13</v>
      </c>
      <c r="L254" t="s">
        <v>478</v>
      </c>
    </row>
    <row r="255" spans="2:12" ht="13.8" customHeight="1" x14ac:dyDescent="0.3">
      <c r="B255" s="33"/>
      <c r="C255" s="32"/>
      <c r="H255" s="22"/>
      <c r="I255" s="37"/>
      <c r="J255" s="38"/>
      <c r="K255" s="35"/>
    </row>
    <row r="256" spans="2:12" ht="13.8" customHeight="1" x14ac:dyDescent="0.3">
      <c r="B256" s="33">
        <f t="shared" ref="B256" si="111">ROUNDUP(I256/G256,0)</f>
        <v>0</v>
      </c>
      <c r="C256" s="32" t="s">
        <v>586</v>
      </c>
      <c r="E256" s="9" t="s">
        <v>583</v>
      </c>
      <c r="G256">
        <v>1</v>
      </c>
      <c r="H256" s="22">
        <v>14.5</v>
      </c>
      <c r="I256" s="37">
        <f t="shared" ref="I256:I264" si="112">SUMIF(C$1:C$184,"="&amp;C256,B$1:B$184)</f>
        <v>0</v>
      </c>
      <c r="J256" s="38">
        <f t="shared" ref="J256" si="113">G256*B256-I256</f>
        <v>0</v>
      </c>
      <c r="K256" s="35">
        <f t="shared" ref="K256" si="114">B256*H256</f>
        <v>0</v>
      </c>
      <c r="L256" t="s">
        <v>478</v>
      </c>
    </row>
    <row r="257" spans="2:12" ht="13.8" customHeight="1" x14ac:dyDescent="0.3">
      <c r="B257" s="33">
        <f t="shared" ref="B257" si="115">ROUNDUP(I257/G257,0)</f>
        <v>1</v>
      </c>
      <c r="C257" s="32" t="s">
        <v>589</v>
      </c>
      <c r="E257" t="s">
        <v>588</v>
      </c>
      <c r="G257">
        <v>1</v>
      </c>
      <c r="H257" s="22">
        <v>14.5</v>
      </c>
      <c r="I257" s="37">
        <f t="shared" si="112"/>
        <v>1</v>
      </c>
      <c r="J257" s="38">
        <f t="shared" ref="J257" si="116">G257*B257-I257</f>
        <v>0</v>
      </c>
      <c r="K257" s="35">
        <f t="shared" ref="K257" si="117">B257*H257</f>
        <v>14.5</v>
      </c>
      <c r="L257" t="s">
        <v>478</v>
      </c>
    </row>
    <row r="258" spans="2:12" ht="13.8" customHeight="1" x14ac:dyDescent="0.3">
      <c r="B258" s="33">
        <f t="shared" si="62"/>
        <v>0</v>
      </c>
      <c r="C258" s="32" t="s">
        <v>568</v>
      </c>
      <c r="E258" s="9" t="s">
        <v>567</v>
      </c>
      <c r="G258">
        <v>1</v>
      </c>
      <c r="H258" s="22">
        <v>14.5</v>
      </c>
      <c r="I258" s="37">
        <f t="shared" si="112"/>
        <v>0</v>
      </c>
      <c r="J258" s="38">
        <f t="shared" si="26"/>
        <v>0</v>
      </c>
      <c r="K258" s="35">
        <f t="shared" si="16"/>
        <v>0</v>
      </c>
      <c r="L258" t="s">
        <v>478</v>
      </c>
    </row>
    <row r="259" spans="2:12" ht="13.8" customHeight="1" x14ac:dyDescent="0.3">
      <c r="B259" s="33">
        <f t="shared" si="62"/>
        <v>1</v>
      </c>
      <c r="C259" s="32" t="s">
        <v>587</v>
      </c>
      <c r="E259" s="9" t="s">
        <v>461</v>
      </c>
      <c r="G259">
        <v>1</v>
      </c>
      <c r="H259" s="22">
        <v>8.5</v>
      </c>
      <c r="I259" s="37">
        <f t="shared" si="112"/>
        <v>1</v>
      </c>
      <c r="J259" s="38">
        <f t="shared" ref="J259" si="118">G259*B259-I259</f>
        <v>0</v>
      </c>
      <c r="K259" s="35">
        <f t="shared" ref="K259" si="119">B259*H259</f>
        <v>8.5</v>
      </c>
      <c r="L259" t="s">
        <v>478</v>
      </c>
    </row>
    <row r="260" spans="2:12" ht="13.8" customHeight="1" x14ac:dyDescent="0.3">
      <c r="B260" s="33">
        <f t="shared" si="62"/>
        <v>1</v>
      </c>
      <c r="C260" s="32" t="s">
        <v>437</v>
      </c>
      <c r="E260" s="9" t="s">
        <v>359</v>
      </c>
      <c r="G260">
        <v>1</v>
      </c>
      <c r="H260" s="22">
        <v>54.2</v>
      </c>
      <c r="I260" s="37">
        <f t="shared" si="112"/>
        <v>1</v>
      </c>
      <c r="J260" s="38">
        <f t="shared" ref="J260" si="120">G260*B260-I260</f>
        <v>0</v>
      </c>
      <c r="K260" s="35">
        <f t="shared" ref="K260" si="121">B260*H260</f>
        <v>54.2</v>
      </c>
      <c r="L260" t="s">
        <v>478</v>
      </c>
    </row>
    <row r="261" spans="2:12" ht="13.8" customHeight="1" x14ac:dyDescent="0.3">
      <c r="B261" s="33">
        <f t="shared" si="62"/>
        <v>1</v>
      </c>
      <c r="C261" s="32" t="s">
        <v>436</v>
      </c>
      <c r="E261" s="9" t="s">
        <v>462</v>
      </c>
      <c r="G261">
        <v>1</v>
      </c>
      <c r="H261" s="22">
        <v>37</v>
      </c>
      <c r="I261" s="37">
        <f t="shared" si="112"/>
        <v>1</v>
      </c>
      <c r="J261" s="38">
        <f t="shared" ref="J261" si="122">G261*B261-I261</f>
        <v>0</v>
      </c>
      <c r="K261" s="35">
        <f t="shared" ref="K261" si="123">B261*H261</f>
        <v>37</v>
      </c>
      <c r="L261" t="s">
        <v>478</v>
      </c>
    </row>
    <row r="262" spans="2:12" ht="13.8" customHeight="1" x14ac:dyDescent="0.3">
      <c r="B262" s="33">
        <f t="shared" si="62"/>
        <v>1</v>
      </c>
      <c r="C262" s="32" t="s">
        <v>457</v>
      </c>
      <c r="E262" s="9" t="s">
        <v>460</v>
      </c>
      <c r="G262">
        <v>1</v>
      </c>
      <c r="H262" s="22">
        <v>18</v>
      </c>
      <c r="I262" s="37">
        <f t="shared" si="112"/>
        <v>1</v>
      </c>
      <c r="J262" s="38">
        <f t="shared" ref="J262" si="124">G262*B262-I262</f>
        <v>0</v>
      </c>
      <c r="K262" s="35">
        <f t="shared" ref="K262" si="125">B262*H262</f>
        <v>18</v>
      </c>
      <c r="L262" t="s">
        <v>478</v>
      </c>
    </row>
    <row r="263" spans="2:12" ht="13.8" customHeight="1" x14ac:dyDescent="0.3">
      <c r="B263" s="33">
        <f t="shared" si="62"/>
        <v>5</v>
      </c>
      <c r="C263" s="32" t="s">
        <v>295</v>
      </c>
      <c r="E263" s="9" t="s">
        <v>235</v>
      </c>
      <c r="G263">
        <v>1</v>
      </c>
      <c r="H263" s="22">
        <v>14.53</v>
      </c>
      <c r="I263" s="37">
        <f t="shared" si="112"/>
        <v>5</v>
      </c>
      <c r="J263" s="38">
        <f t="shared" si="26"/>
        <v>0</v>
      </c>
      <c r="K263" s="35">
        <f t="shared" si="16"/>
        <v>72.649999999999991</v>
      </c>
      <c r="L263" t="s">
        <v>478</v>
      </c>
    </row>
    <row r="264" spans="2:12" ht="13.8" customHeight="1" x14ac:dyDescent="0.3">
      <c r="B264" s="33">
        <f t="shared" si="62"/>
        <v>2</v>
      </c>
      <c r="C264" s="32" t="s">
        <v>579</v>
      </c>
      <c r="E264" s="9" t="s">
        <v>366</v>
      </c>
      <c r="G264">
        <v>1</v>
      </c>
      <c r="H264" s="22">
        <v>36.42</v>
      </c>
      <c r="I264" s="37">
        <f t="shared" si="112"/>
        <v>2</v>
      </c>
      <c r="J264" s="38">
        <f t="shared" ref="J264" si="126">G264*B264-I264</f>
        <v>0</v>
      </c>
      <c r="K264" s="35">
        <f t="shared" ref="K264" si="127">B264*H264</f>
        <v>72.84</v>
      </c>
      <c r="L264" t="s">
        <v>478</v>
      </c>
    </row>
    <row r="265" spans="2:12" ht="13.8" customHeight="1" x14ac:dyDescent="0.3">
      <c r="B265" s="33"/>
      <c r="C265" s="32"/>
      <c r="E265" s="9"/>
      <c r="H265" s="22"/>
      <c r="I265" s="37"/>
      <c r="J265" s="38"/>
      <c r="K265" s="35"/>
    </row>
    <row r="266" spans="2:12" ht="13.8" customHeight="1" x14ac:dyDescent="0.3">
      <c r="B266" s="33">
        <f>ROUNDUP(I266/G266,0)</f>
        <v>16</v>
      </c>
      <c r="C266" s="32" t="s">
        <v>577</v>
      </c>
      <c r="E266" s="9" t="s">
        <v>578</v>
      </c>
      <c r="G266">
        <v>1</v>
      </c>
      <c r="H266" s="22">
        <v>1.35</v>
      </c>
      <c r="I266" s="37">
        <f t="shared" ref="I266:I279" si="128">SUMIF(C$1:C$184,"="&amp;C266,B$1:B$184)</f>
        <v>16</v>
      </c>
      <c r="J266" s="38">
        <f t="shared" ref="J266" si="129">G266*B266-I266</f>
        <v>0</v>
      </c>
      <c r="K266" s="35">
        <f>B266*H266</f>
        <v>21.6</v>
      </c>
      <c r="L266" t="s">
        <v>478</v>
      </c>
    </row>
    <row r="267" spans="2:12" ht="13.8" customHeight="1" x14ac:dyDescent="0.3">
      <c r="B267" s="33">
        <f>ROUNDUP(I267/G267,0)</f>
        <v>0</v>
      </c>
      <c r="C267" s="32" t="s">
        <v>582</v>
      </c>
      <c r="E267" s="9" t="s">
        <v>581</v>
      </c>
      <c r="G267">
        <v>1</v>
      </c>
      <c r="H267" s="22">
        <v>1.35</v>
      </c>
      <c r="I267" s="37">
        <f t="shared" si="128"/>
        <v>0</v>
      </c>
      <c r="J267" s="38">
        <f t="shared" ref="J267" si="130">G267*B267-I267</f>
        <v>0</v>
      </c>
      <c r="K267" s="35">
        <f>B267*H267</f>
        <v>0</v>
      </c>
      <c r="L267" t="s">
        <v>478</v>
      </c>
    </row>
    <row r="268" spans="2:12" ht="13.8" customHeight="1" x14ac:dyDescent="0.3">
      <c r="B268" s="33">
        <f>ROUNDUP(I268/G268,0)</f>
        <v>7</v>
      </c>
      <c r="C268" s="32" t="s">
        <v>316</v>
      </c>
      <c r="E268" s="9" t="s">
        <v>315</v>
      </c>
      <c r="G268">
        <v>1</v>
      </c>
      <c r="H268" s="22">
        <v>1.05</v>
      </c>
      <c r="I268" s="37">
        <f t="shared" si="128"/>
        <v>7</v>
      </c>
      <c r="J268" s="38">
        <f t="shared" ref="J268" si="131">G268*B268-I268</f>
        <v>0</v>
      </c>
      <c r="K268" s="35">
        <f>B268*H268</f>
        <v>7.3500000000000005</v>
      </c>
      <c r="L268" t="s">
        <v>478</v>
      </c>
    </row>
    <row r="269" spans="2:12" ht="13.8" customHeight="1" x14ac:dyDescent="0.3">
      <c r="B269" s="33">
        <f>ROUNDUP(I269/G269,0)</f>
        <v>0</v>
      </c>
      <c r="C269" s="32" t="s">
        <v>574</v>
      </c>
      <c r="E269" s="9" t="s">
        <v>573</v>
      </c>
      <c r="G269">
        <v>1</v>
      </c>
      <c r="H269" s="22">
        <v>1.35</v>
      </c>
      <c r="I269" s="37">
        <f t="shared" si="128"/>
        <v>0</v>
      </c>
      <c r="J269" s="38">
        <f t="shared" ref="J269" si="132">G269*B269-I269</f>
        <v>0</v>
      </c>
      <c r="K269" s="35">
        <f>B269*H269</f>
        <v>0</v>
      </c>
      <c r="L269" t="s">
        <v>478</v>
      </c>
    </row>
    <row r="270" spans="2:12" ht="13.8" customHeight="1" x14ac:dyDescent="0.3">
      <c r="B270" s="33">
        <f>ROUNDUP(I270/G270,0)</f>
        <v>0</v>
      </c>
      <c r="C270" s="32" t="s">
        <v>570</v>
      </c>
      <c r="E270" s="9" t="s">
        <v>569</v>
      </c>
      <c r="G270">
        <v>1</v>
      </c>
      <c r="H270" s="22">
        <v>2.19</v>
      </c>
      <c r="I270" s="37">
        <f t="shared" si="128"/>
        <v>0</v>
      </c>
      <c r="J270" s="38">
        <f t="shared" ref="J270" si="133">G270*B270-I270</f>
        <v>0</v>
      </c>
      <c r="K270" s="35">
        <f>B270*H270</f>
        <v>0</v>
      </c>
      <c r="L270" t="s">
        <v>419</v>
      </c>
    </row>
    <row r="271" spans="2:12" ht="13.8" customHeight="1" x14ac:dyDescent="0.3">
      <c r="B271" s="33">
        <f t="shared" si="62"/>
        <v>8</v>
      </c>
      <c r="C271" s="32" t="s">
        <v>356</v>
      </c>
      <c r="E271" s="9" t="s">
        <v>367</v>
      </c>
      <c r="G271">
        <v>1</v>
      </c>
      <c r="H271" s="22">
        <v>1.54</v>
      </c>
      <c r="I271" s="37">
        <f t="shared" si="128"/>
        <v>8</v>
      </c>
      <c r="J271" s="38">
        <f t="shared" ref="J271" si="134">G271*B271-I271</f>
        <v>0</v>
      </c>
      <c r="K271" s="35">
        <f t="shared" ref="K271" si="135">B271*H271</f>
        <v>12.32</v>
      </c>
      <c r="L271" t="s">
        <v>478</v>
      </c>
    </row>
    <row r="272" spans="2:12" ht="13.8" customHeight="1" x14ac:dyDescent="0.3">
      <c r="B272" s="33">
        <f t="shared" si="62"/>
        <v>14</v>
      </c>
      <c r="C272" s="32" t="s">
        <v>369</v>
      </c>
      <c r="E272" s="9" t="s">
        <v>368</v>
      </c>
      <c r="G272">
        <v>1</v>
      </c>
      <c r="H272" s="22">
        <v>1.54</v>
      </c>
      <c r="I272" s="37">
        <f t="shared" si="128"/>
        <v>14</v>
      </c>
      <c r="J272" s="38">
        <f t="shared" ref="J272" si="136">G272*B272-I272</f>
        <v>0</v>
      </c>
      <c r="K272" s="35">
        <f t="shared" ref="K272" si="137">B272*H272</f>
        <v>21.560000000000002</v>
      </c>
      <c r="L272" t="s">
        <v>478</v>
      </c>
    </row>
    <row r="273" spans="1:12" ht="13.8" customHeight="1" x14ac:dyDescent="0.3">
      <c r="B273" s="33">
        <f t="shared" si="62"/>
        <v>2</v>
      </c>
      <c r="C273" s="32" t="s">
        <v>285</v>
      </c>
      <c r="E273" s="9" t="s">
        <v>284</v>
      </c>
      <c r="G273">
        <v>1</v>
      </c>
      <c r="H273" s="22">
        <v>1.95</v>
      </c>
      <c r="I273" s="37">
        <f t="shared" si="128"/>
        <v>2</v>
      </c>
      <c r="J273" s="38">
        <f t="shared" si="26"/>
        <v>0</v>
      </c>
      <c r="K273" s="35">
        <f t="shared" si="16"/>
        <v>3.9</v>
      </c>
      <c r="L273" t="s">
        <v>478</v>
      </c>
    </row>
    <row r="274" spans="1:12" ht="13.8" customHeight="1" x14ac:dyDescent="0.3">
      <c r="B274" s="33">
        <f>ROUNDUP(I274/G274,0)</f>
        <v>2</v>
      </c>
      <c r="C274" s="32" t="s">
        <v>311</v>
      </c>
      <c r="E274" s="9" t="s">
        <v>312</v>
      </c>
      <c r="G274">
        <v>1</v>
      </c>
      <c r="H274" s="22">
        <v>1</v>
      </c>
      <c r="I274" s="37">
        <f t="shared" si="128"/>
        <v>2</v>
      </c>
      <c r="J274" s="38">
        <f t="shared" ref="J274" si="138">G274*B274-I274</f>
        <v>0</v>
      </c>
      <c r="K274" s="35">
        <f>B274*H274</f>
        <v>2</v>
      </c>
      <c r="L274" t="s">
        <v>478</v>
      </c>
    </row>
    <row r="275" spans="1:12" ht="13.8" customHeight="1" x14ac:dyDescent="0.3">
      <c r="B275" s="33">
        <f t="shared" si="62"/>
        <v>2</v>
      </c>
      <c r="C275" s="32" t="s">
        <v>279</v>
      </c>
      <c r="E275" s="9" t="s">
        <v>281</v>
      </c>
      <c r="G275">
        <v>1</v>
      </c>
      <c r="H275" s="22">
        <v>1.39</v>
      </c>
      <c r="I275" s="37">
        <f t="shared" si="128"/>
        <v>2</v>
      </c>
      <c r="J275" s="38">
        <f t="shared" ref="J275" si="139">G275*B275-I275</f>
        <v>0</v>
      </c>
      <c r="K275" s="35">
        <f t="shared" si="16"/>
        <v>2.78</v>
      </c>
      <c r="L275" t="s">
        <v>478</v>
      </c>
    </row>
    <row r="276" spans="1:12" ht="13.8" customHeight="1" x14ac:dyDescent="0.3">
      <c r="B276" s="33">
        <f t="shared" si="62"/>
        <v>5</v>
      </c>
      <c r="C276" s="32" t="s">
        <v>272</v>
      </c>
      <c r="E276" s="9" t="s">
        <v>233</v>
      </c>
      <c r="G276">
        <v>1</v>
      </c>
      <c r="H276" s="22">
        <v>3.29</v>
      </c>
      <c r="I276" s="37">
        <f t="shared" si="128"/>
        <v>5</v>
      </c>
      <c r="J276" s="38">
        <f t="shared" ref="J276" si="140">G276*B276-I276</f>
        <v>0</v>
      </c>
      <c r="K276" s="35">
        <f t="shared" si="16"/>
        <v>16.45</v>
      </c>
      <c r="L276" t="s">
        <v>478</v>
      </c>
    </row>
    <row r="277" spans="1:12" ht="13.8" customHeight="1" x14ac:dyDescent="0.3">
      <c r="B277" s="33">
        <f t="shared" si="62"/>
        <v>4</v>
      </c>
      <c r="C277" s="32" t="s">
        <v>385</v>
      </c>
      <c r="E277" s="9" t="s">
        <v>386</v>
      </c>
      <c r="G277">
        <v>1</v>
      </c>
      <c r="H277" s="22">
        <v>1</v>
      </c>
      <c r="I277" s="37">
        <f t="shared" si="128"/>
        <v>4</v>
      </c>
      <c r="J277" s="38">
        <f t="shared" ref="J277" si="141">G277*B277-I277</f>
        <v>0</v>
      </c>
      <c r="K277" s="35">
        <f t="shared" ref="K277" si="142">B277*H277</f>
        <v>4</v>
      </c>
      <c r="L277" t="s">
        <v>478</v>
      </c>
    </row>
    <row r="278" spans="1:12" ht="13.8" customHeight="1" x14ac:dyDescent="0.3">
      <c r="B278" s="33">
        <f t="shared" si="62"/>
        <v>2</v>
      </c>
      <c r="C278" s="32" t="s">
        <v>266</v>
      </c>
      <c r="E278" s="9" t="s">
        <v>395</v>
      </c>
      <c r="G278">
        <v>1</v>
      </c>
      <c r="H278" s="22">
        <v>20</v>
      </c>
      <c r="I278" s="37">
        <f t="shared" si="128"/>
        <v>2</v>
      </c>
      <c r="J278" s="38">
        <f t="shared" ref="J278" si="143">G278*B278-I278</f>
        <v>0</v>
      </c>
      <c r="K278" s="35">
        <f t="shared" ref="K278" si="144">B278*H278</f>
        <v>40</v>
      </c>
      <c r="L278" t="s">
        <v>478</v>
      </c>
    </row>
    <row r="279" spans="1:12" ht="13.8" customHeight="1" x14ac:dyDescent="0.3">
      <c r="B279" s="33">
        <f t="shared" si="62"/>
        <v>1</v>
      </c>
      <c r="C279" s="32" t="s">
        <v>396</v>
      </c>
      <c r="E279" s="9" t="s">
        <v>407</v>
      </c>
      <c r="G279">
        <v>1</v>
      </c>
      <c r="H279" s="22">
        <v>18.079999999999998</v>
      </c>
      <c r="I279" s="37">
        <f t="shared" si="128"/>
        <v>1</v>
      </c>
      <c r="J279" s="38">
        <f t="shared" ref="J279" si="145">G279*B279-I279</f>
        <v>0</v>
      </c>
      <c r="K279" s="35">
        <f t="shared" ref="K279" si="146">B279*H279</f>
        <v>18.079999999999998</v>
      </c>
      <c r="L279" t="s">
        <v>478</v>
      </c>
    </row>
    <row r="280" spans="1:12" ht="13.8" customHeight="1" x14ac:dyDescent="0.3">
      <c r="B280" s="33"/>
      <c r="C280" s="32"/>
      <c r="E280" s="9"/>
      <c r="H280" s="22"/>
      <c r="I280" s="37"/>
      <c r="J280" s="38"/>
      <c r="K280" s="35"/>
    </row>
    <row r="281" spans="1:12" ht="13.8" customHeight="1" x14ac:dyDescent="0.3">
      <c r="A281" s="6" t="s">
        <v>347</v>
      </c>
      <c r="B281" s="33"/>
      <c r="E281"/>
      <c r="H281" s="22"/>
      <c r="I281" s="37"/>
      <c r="J281" s="38"/>
      <c r="K281" s="35"/>
    </row>
    <row r="282" spans="1:12" ht="13.8" customHeight="1" x14ac:dyDescent="0.3">
      <c r="A282" s="6"/>
      <c r="B282" s="33">
        <v>1</v>
      </c>
      <c r="C282" s="32" t="s">
        <v>464</v>
      </c>
      <c r="E282" t="s">
        <v>463</v>
      </c>
      <c r="G282">
        <v>1</v>
      </c>
      <c r="H282" s="22">
        <v>10.99</v>
      </c>
      <c r="I282" s="37">
        <f t="shared" ref="I282:I291" si="147">SUMIF(C$1:C$184,"="&amp;C282,B$1:B$184)</f>
        <v>0</v>
      </c>
      <c r="J282" s="38">
        <f t="shared" ref="J282" si="148">G282*B282-I282</f>
        <v>1</v>
      </c>
      <c r="K282" s="35">
        <f t="shared" ref="K282" si="149">B282*H282</f>
        <v>10.99</v>
      </c>
      <c r="L282" t="s">
        <v>478</v>
      </c>
    </row>
    <row r="283" spans="1:12" ht="13.8" customHeight="1" x14ac:dyDescent="0.3">
      <c r="B283" s="33">
        <v>1</v>
      </c>
      <c r="C283" s="32" t="s">
        <v>339</v>
      </c>
      <c r="E283" s="9" t="s">
        <v>445</v>
      </c>
      <c r="G283">
        <v>1</v>
      </c>
      <c r="H283" s="22">
        <v>10.99</v>
      </c>
      <c r="I283" s="37">
        <f t="shared" si="147"/>
        <v>3</v>
      </c>
      <c r="J283" s="38">
        <f t="shared" ref="J283:J284" si="150">G283*B283-I283</f>
        <v>-2</v>
      </c>
      <c r="K283" s="35">
        <f t="shared" ref="K283:K284" si="151">B283*H283</f>
        <v>10.99</v>
      </c>
      <c r="L283" t="s">
        <v>478</v>
      </c>
    </row>
    <row r="284" spans="1:12" ht="13.8" customHeight="1" x14ac:dyDescent="0.3">
      <c r="B284" s="33">
        <v>1</v>
      </c>
      <c r="C284" s="32" t="s">
        <v>345</v>
      </c>
      <c r="E284" s="9" t="s">
        <v>448</v>
      </c>
      <c r="G284">
        <v>1</v>
      </c>
      <c r="H284" s="22">
        <v>2.8</v>
      </c>
      <c r="I284" s="37">
        <f t="shared" si="147"/>
        <v>1</v>
      </c>
      <c r="J284" s="38">
        <f t="shared" si="150"/>
        <v>0</v>
      </c>
      <c r="K284" s="35">
        <f t="shared" si="151"/>
        <v>2.8</v>
      </c>
      <c r="L284" t="s">
        <v>478</v>
      </c>
    </row>
    <row r="285" spans="1:12" ht="13.8" customHeight="1" x14ac:dyDescent="0.3">
      <c r="B285" s="33">
        <v>1</v>
      </c>
      <c r="C285" s="32" t="s">
        <v>346</v>
      </c>
      <c r="E285" s="9" t="s">
        <v>449</v>
      </c>
      <c r="G285">
        <v>1</v>
      </c>
      <c r="H285" s="22">
        <v>2.8</v>
      </c>
      <c r="I285" s="37">
        <f t="shared" si="147"/>
        <v>2</v>
      </c>
      <c r="J285" s="38">
        <f t="shared" ref="J285" si="152">G285*B285-I285</f>
        <v>-1</v>
      </c>
      <c r="K285" s="35">
        <f t="shared" ref="K285" si="153">B285*H285</f>
        <v>2.8</v>
      </c>
      <c r="L285" t="s">
        <v>478</v>
      </c>
    </row>
    <row r="286" spans="1:12" ht="13.8" customHeight="1" x14ac:dyDescent="0.3">
      <c r="B286" s="33">
        <v>1</v>
      </c>
      <c r="C286" s="32" t="s">
        <v>447</v>
      </c>
      <c r="E286" s="9" t="s">
        <v>450</v>
      </c>
      <c r="G286">
        <v>1</v>
      </c>
      <c r="H286" s="22">
        <v>2.8</v>
      </c>
      <c r="I286" s="37">
        <f t="shared" si="147"/>
        <v>0</v>
      </c>
      <c r="J286" s="38">
        <f>G286*B286-I286</f>
        <v>1</v>
      </c>
      <c r="K286" s="35">
        <f>B286*H286</f>
        <v>2.8</v>
      </c>
      <c r="L286" t="s">
        <v>478</v>
      </c>
    </row>
    <row r="287" spans="1:12" ht="13.8" customHeight="1" x14ac:dyDescent="0.3">
      <c r="B287" s="33">
        <v>1</v>
      </c>
      <c r="C287" s="32" t="s">
        <v>446</v>
      </c>
      <c r="E287" s="9" t="s">
        <v>451</v>
      </c>
      <c r="G287">
        <v>1</v>
      </c>
      <c r="H287" s="22">
        <v>2.8</v>
      </c>
      <c r="I287" s="37">
        <f t="shared" si="147"/>
        <v>3</v>
      </c>
      <c r="J287" s="38">
        <f t="shared" ref="J287" si="154">G287*B287-I287</f>
        <v>-2</v>
      </c>
      <c r="K287" s="35">
        <f t="shared" ref="K287" si="155">B287*H287</f>
        <v>2.8</v>
      </c>
      <c r="L287" t="s">
        <v>478</v>
      </c>
    </row>
    <row r="288" spans="1:12" ht="13.8" customHeight="1" x14ac:dyDescent="0.3">
      <c r="B288" s="33">
        <v>1</v>
      </c>
      <c r="C288" s="32" t="s">
        <v>231</v>
      </c>
      <c r="E288" s="9" t="s">
        <v>416</v>
      </c>
      <c r="G288">
        <v>1</v>
      </c>
      <c r="H288" s="22">
        <v>1839</v>
      </c>
      <c r="I288" s="37">
        <f t="shared" si="147"/>
        <v>0</v>
      </c>
      <c r="J288" s="38">
        <f t="shared" ref="J288" si="156">G288*B288-I288</f>
        <v>1</v>
      </c>
      <c r="K288" s="35">
        <f t="shared" ref="K288" si="157">B288*H288</f>
        <v>1839</v>
      </c>
      <c r="L288" t="s">
        <v>478</v>
      </c>
    </row>
    <row r="289" spans="1:12" ht="13.8" customHeight="1" x14ac:dyDescent="0.3">
      <c r="B289" s="33">
        <v>1</v>
      </c>
      <c r="C289" s="32" t="s">
        <v>417</v>
      </c>
      <c r="E289" s="9" t="s">
        <v>418</v>
      </c>
      <c r="G289">
        <v>1</v>
      </c>
      <c r="H289" s="22">
        <v>31.5</v>
      </c>
      <c r="I289" s="37">
        <f t="shared" si="147"/>
        <v>0</v>
      </c>
      <c r="J289" s="38">
        <f t="shared" ref="J289" si="158">G289*B289-I289</f>
        <v>1</v>
      </c>
      <c r="K289" s="35">
        <f t="shared" ref="K289" si="159">B289*H289</f>
        <v>31.5</v>
      </c>
      <c r="L289" t="s">
        <v>478</v>
      </c>
    </row>
    <row r="290" spans="1:12" ht="13.8" customHeight="1" x14ac:dyDescent="0.3">
      <c r="B290" s="33">
        <v>1</v>
      </c>
      <c r="C290" s="32" t="s">
        <v>425</v>
      </c>
      <c r="E290" s="9" t="s">
        <v>418</v>
      </c>
      <c r="G290">
        <v>1</v>
      </c>
      <c r="H290" s="22">
        <v>49</v>
      </c>
      <c r="I290" s="37">
        <f t="shared" si="147"/>
        <v>0</v>
      </c>
      <c r="J290" s="38">
        <f t="shared" ref="J290" si="160">G290*B290-I290</f>
        <v>1</v>
      </c>
      <c r="K290" s="35">
        <f t="shared" ref="K290" si="161">B290*H290</f>
        <v>49</v>
      </c>
      <c r="L290" t="s">
        <v>478</v>
      </c>
    </row>
    <row r="291" spans="1:12" ht="13.8" customHeight="1" x14ac:dyDescent="0.3">
      <c r="B291" s="33">
        <v>1</v>
      </c>
      <c r="C291" s="32" t="s">
        <v>452</v>
      </c>
      <c r="E291" s="9" t="s">
        <v>453</v>
      </c>
      <c r="H291" s="22"/>
      <c r="I291" s="37">
        <f t="shared" si="147"/>
        <v>0</v>
      </c>
      <c r="J291" s="38"/>
      <c r="K291" s="35"/>
      <c r="L291" t="s">
        <v>478</v>
      </c>
    </row>
    <row r="292" spans="1:12" ht="13.8" customHeight="1" x14ac:dyDescent="0.3">
      <c r="B292" s="33"/>
      <c r="H292" s="22"/>
      <c r="I292" s="37"/>
      <c r="J292" s="38"/>
      <c r="K292" s="35"/>
    </row>
    <row r="293" spans="1:12" ht="13.8" customHeight="1" x14ac:dyDescent="0.3">
      <c r="A293" s="6" t="s">
        <v>414</v>
      </c>
      <c r="H293" s="22"/>
      <c r="I293" s="37"/>
      <c r="J293" s="38"/>
      <c r="K293" s="35"/>
    </row>
    <row r="294" spans="1:12" ht="13.8" customHeight="1" x14ac:dyDescent="0.3">
      <c r="B294" s="33">
        <v>1</v>
      </c>
      <c r="C294" s="32" t="s">
        <v>415</v>
      </c>
      <c r="E294" s="9" t="s">
        <v>455</v>
      </c>
      <c r="G294">
        <v>1</v>
      </c>
      <c r="H294" s="22">
        <v>0.87</v>
      </c>
      <c r="I294" s="37">
        <f t="shared" ref="I294:I299" si="162">SUMIF(C$1:C$184,"="&amp;C294,B$1:B$184)</f>
        <v>0</v>
      </c>
      <c r="J294" s="38">
        <f t="shared" ref="J294:J295" si="163">G294*B294-I294</f>
        <v>1</v>
      </c>
      <c r="K294" s="35">
        <f t="shared" ref="K294:K295" si="164">B294*H294</f>
        <v>0.87</v>
      </c>
      <c r="L294" t="s">
        <v>478</v>
      </c>
    </row>
    <row r="295" spans="1:12" ht="13.8" customHeight="1" x14ac:dyDescent="0.3">
      <c r="B295" s="33">
        <v>1</v>
      </c>
      <c r="C295" s="32" t="s">
        <v>420</v>
      </c>
      <c r="E295" s="9" t="s">
        <v>454</v>
      </c>
      <c r="G295">
        <v>1</v>
      </c>
      <c r="H295" s="22">
        <v>0.8</v>
      </c>
      <c r="I295" s="37">
        <f t="shared" si="162"/>
        <v>0</v>
      </c>
      <c r="J295" s="38">
        <f t="shared" si="163"/>
        <v>1</v>
      </c>
      <c r="K295" s="35">
        <f t="shared" si="164"/>
        <v>0.8</v>
      </c>
      <c r="L295" t="s">
        <v>478</v>
      </c>
    </row>
    <row r="296" spans="1:12" ht="13.8" customHeight="1" x14ac:dyDescent="0.3">
      <c r="B296" s="33">
        <v>5</v>
      </c>
      <c r="C296" s="32" t="s">
        <v>438</v>
      </c>
      <c r="E296" s="9" t="s">
        <v>456</v>
      </c>
      <c r="G296">
        <v>1</v>
      </c>
      <c r="H296" s="22">
        <v>19.989999999999998</v>
      </c>
      <c r="I296" s="37">
        <f t="shared" si="162"/>
        <v>0</v>
      </c>
      <c r="J296" s="38">
        <f t="shared" ref="J296:J297" si="165">G296*B296-I296</f>
        <v>5</v>
      </c>
      <c r="K296" s="35">
        <f t="shared" ref="K296:K297" si="166">B296*H296</f>
        <v>99.949999999999989</v>
      </c>
      <c r="L296" t="s">
        <v>478</v>
      </c>
    </row>
    <row r="297" spans="1:12" ht="13.8" customHeight="1" x14ac:dyDescent="0.3">
      <c r="B297" s="33">
        <v>1</v>
      </c>
      <c r="C297" s="32" t="s">
        <v>444</v>
      </c>
      <c r="E297" s="9" t="s">
        <v>443</v>
      </c>
      <c r="G297">
        <v>1</v>
      </c>
      <c r="H297" s="22">
        <v>44</v>
      </c>
      <c r="I297" s="37">
        <f t="shared" si="162"/>
        <v>0</v>
      </c>
      <c r="J297" s="38">
        <f t="shared" si="165"/>
        <v>1</v>
      </c>
      <c r="K297" s="35">
        <f t="shared" si="166"/>
        <v>44</v>
      </c>
      <c r="L297" t="s">
        <v>419</v>
      </c>
    </row>
    <row r="298" spans="1:12" ht="13.8" customHeight="1" x14ac:dyDescent="0.3">
      <c r="B298" s="33">
        <v>5</v>
      </c>
      <c r="C298" s="32" t="s">
        <v>439</v>
      </c>
      <c r="E298" s="9" t="s">
        <v>440</v>
      </c>
      <c r="G298">
        <v>1</v>
      </c>
      <c r="H298" s="22">
        <v>2.0499999999999998</v>
      </c>
      <c r="I298" s="37">
        <f t="shared" si="162"/>
        <v>0</v>
      </c>
      <c r="J298" s="38">
        <f t="shared" ref="J298:J299" si="167">G298*B298-I298</f>
        <v>5</v>
      </c>
      <c r="K298" s="35">
        <f t="shared" ref="K298:K299" si="168">B298*H298</f>
        <v>10.25</v>
      </c>
      <c r="L298" t="s">
        <v>478</v>
      </c>
    </row>
    <row r="299" spans="1:12" ht="13.8" customHeight="1" x14ac:dyDescent="0.3">
      <c r="B299" s="33">
        <v>5</v>
      </c>
      <c r="C299" s="32" t="s">
        <v>441</v>
      </c>
      <c r="E299" s="9" t="s">
        <v>442</v>
      </c>
      <c r="G299">
        <v>1</v>
      </c>
      <c r="H299" s="22">
        <v>1.95</v>
      </c>
      <c r="I299" s="37">
        <f t="shared" si="162"/>
        <v>0</v>
      </c>
      <c r="J299" s="38">
        <f t="shared" si="167"/>
        <v>5</v>
      </c>
      <c r="K299" s="35">
        <f t="shared" si="168"/>
        <v>9.75</v>
      </c>
      <c r="L299" t="s">
        <v>478</v>
      </c>
    </row>
    <row r="300" spans="1:12" ht="13.8" customHeight="1" x14ac:dyDescent="0.3">
      <c r="B300" s="33"/>
      <c r="C300" s="32"/>
      <c r="E300" s="9"/>
      <c r="H300" s="22"/>
      <c r="I300" s="37"/>
      <c r="J300" s="38"/>
      <c r="K300" s="35"/>
    </row>
    <row r="301" spans="1:12" ht="13.8" customHeight="1" x14ac:dyDescent="0.3">
      <c r="B301" s="33"/>
      <c r="E301" s="9"/>
      <c r="H301" s="22"/>
      <c r="I301" s="37"/>
      <c r="J301" s="38"/>
      <c r="K301" s="35"/>
    </row>
    <row r="302" spans="1:12" ht="13.8" customHeight="1" x14ac:dyDescent="0.3">
      <c r="B302" s="33"/>
      <c r="H302" s="22"/>
      <c r="I302" s="37"/>
      <c r="J302" s="38"/>
      <c r="K302" s="35"/>
    </row>
    <row r="303" spans="1:12" ht="13.8" customHeight="1" x14ac:dyDescent="0.3">
      <c r="H303" s="22"/>
      <c r="I303" s="37"/>
      <c r="J303" s="38"/>
      <c r="K303" s="35" t="s">
        <v>405</v>
      </c>
      <c r="L303" s="1" t="s">
        <v>406</v>
      </c>
    </row>
    <row r="304" spans="1:12" ht="13.8" customHeight="1" x14ac:dyDescent="0.35">
      <c r="B304" s="33"/>
      <c r="E304" s="26"/>
      <c r="H304" s="22"/>
      <c r="I304" s="37"/>
      <c r="J304" s="38"/>
      <c r="K304" s="39">
        <f>SUM(K186:K302)</f>
        <v>2793.09</v>
      </c>
      <c r="L304" s="34">
        <f ca="1">SUMIF(L1:L302,"=-",K1:K302)</f>
        <v>63.89</v>
      </c>
    </row>
    <row r="305" spans="2:10" ht="13.8" customHeight="1" x14ac:dyDescent="0.3">
      <c r="B305" s="33"/>
      <c r="E305" s="26"/>
      <c r="H305" s="22"/>
      <c r="I305" s="37"/>
      <c r="J305" s="38"/>
    </row>
    <row r="306" spans="2:10" ht="13.8" customHeight="1" x14ac:dyDescent="0.3">
      <c r="B306" s="33"/>
      <c r="E306" s="26"/>
      <c r="H306" s="22"/>
      <c r="I306" s="37"/>
      <c r="J306" s="38"/>
    </row>
    <row r="307" spans="2:10" ht="13.8" customHeight="1" x14ac:dyDescent="0.3">
      <c r="B307" s="33"/>
      <c r="E307" s="26"/>
      <c r="H307" s="22"/>
      <c r="I307" s="37"/>
      <c r="J307" s="38"/>
    </row>
    <row r="308" spans="2:10" x14ac:dyDescent="0.3">
      <c r="D308" s="6"/>
      <c r="H308" s="22"/>
      <c r="I308" s="36"/>
    </row>
    <row r="309" spans="2:10" x14ac:dyDescent="0.3">
      <c r="E309" s="30"/>
      <c r="I309" s="36"/>
    </row>
    <row r="311" spans="2:10" x14ac:dyDescent="0.3">
      <c r="E311" s="26"/>
      <c r="I311" s="36"/>
    </row>
    <row r="312" spans="2:10" x14ac:dyDescent="0.3">
      <c r="E312" s="26"/>
      <c r="I312" s="36"/>
    </row>
    <row r="313" spans="2:10" x14ac:dyDescent="0.3">
      <c r="D313" s="6"/>
      <c r="E313" s="26"/>
      <c r="I313" s="36"/>
    </row>
    <row r="314" spans="2:10" x14ac:dyDescent="0.3">
      <c r="D314" s="8"/>
      <c r="I314" s="36"/>
    </row>
    <row r="315" spans="2:10" x14ac:dyDescent="0.3">
      <c r="E315" s="26"/>
      <c r="I315" s="36"/>
    </row>
    <row r="316" spans="2:10" x14ac:dyDescent="0.3">
      <c r="E316" s="30"/>
      <c r="I316" s="36"/>
    </row>
    <row r="317" spans="2:10" x14ac:dyDescent="0.3">
      <c r="E317" s="26"/>
      <c r="I317" s="36"/>
    </row>
    <row r="318" spans="2:10" x14ac:dyDescent="0.3">
      <c r="I318" s="36"/>
    </row>
    <row r="319" spans="2:10" x14ac:dyDescent="0.3">
      <c r="E319" s="26"/>
      <c r="I319" s="36"/>
    </row>
    <row r="320" spans="2:10" x14ac:dyDescent="0.3">
      <c r="D320" s="6"/>
      <c r="E320" s="26"/>
      <c r="I320" s="36"/>
    </row>
    <row r="321" spans="5:9" x14ac:dyDescent="0.3">
      <c r="E321" s="25"/>
      <c r="I321" s="36"/>
    </row>
    <row r="322" spans="5:9" ht="15" customHeight="1" x14ac:dyDescent="0.3">
      <c r="E322" s="26"/>
      <c r="I322" s="36"/>
    </row>
    <row r="323" spans="5:9" x14ac:dyDescent="0.3">
      <c r="E323" s="25"/>
      <c r="I323" s="36"/>
    </row>
    <row r="324" spans="5:9" x14ac:dyDescent="0.3">
      <c r="E324" s="26"/>
      <c r="I324" s="36"/>
    </row>
    <row r="325" spans="5:9" x14ac:dyDescent="0.3">
      <c r="E325" s="25"/>
      <c r="I325" s="36"/>
    </row>
    <row r="326" spans="5:9" ht="15" customHeight="1" x14ac:dyDescent="0.3">
      <c r="E326" s="25"/>
      <c r="I326" s="36"/>
    </row>
    <row r="327" spans="5:9" ht="15" customHeight="1" x14ac:dyDescent="0.3">
      <c r="E327" s="25"/>
      <c r="I327" s="36"/>
    </row>
    <row r="328" spans="5:9" x14ac:dyDescent="0.3">
      <c r="E328" s="25"/>
      <c r="I328" s="36"/>
    </row>
    <row r="329" spans="5:9" x14ac:dyDescent="0.3">
      <c r="H329" s="22"/>
      <c r="I329" s="36"/>
    </row>
    <row r="330" spans="5:9" x14ac:dyDescent="0.3">
      <c r="H330" s="23"/>
      <c r="I330" s="36"/>
    </row>
  </sheetData>
  <conditionalFormatting sqref="B4:K14 B26:D26 F26:K26 B19:K25 B121:D122 F121:K122 L189 B186:K217 D218:K218 B219:D221 F219:K221 B283:K291 D301:K301 B301 B294:K300 C282 G282:K282 B250:K254 B224:D224 F224:K224 B222:K223 B225:K245 B123:K183 F246:K249 B246:D249 B258:K280 B255:C255 E256 F255:K257 B256:D257 B27:K121">
    <cfRule type="expression" dxfId="22" priority="174">
      <formula>$L4=$O$6</formula>
    </cfRule>
  </conditionalFormatting>
  <conditionalFormatting sqref="N4:XFD6 M7:XFD13 A4:L13 A14:XFD14 A218 D218:XFD218 A186:XFD217 A219:D221 A301:B301 D301:XFD301 C282 G282:L282 A283:XFD291 A294:XFD300 F219:XFD221 A250:XFD254 A224:D224 F224:XFD224 A222:XFD223 A225:XFD245 A246:D249 F246:XFD249 A255:C255 E256 A256:D257 F255:XFD257 A19:XFD183 A258:XFD280">
    <cfRule type="expression" dxfId="21" priority="175">
      <formula>$L4=$O$5</formula>
    </cfRule>
    <cfRule type="expression" dxfId="20" priority="176">
      <formula>$L4=$O$4</formula>
    </cfRule>
  </conditionalFormatting>
  <conditionalFormatting sqref="E221">
    <cfRule type="expression" dxfId="19" priority="178">
      <formula>$L218=$O$6</formula>
    </cfRule>
  </conditionalFormatting>
  <conditionalFormatting sqref="E221">
    <cfRule type="expression" dxfId="18" priority="181">
      <formula>$L218=$O$5</formula>
    </cfRule>
    <cfRule type="expression" dxfId="17" priority="182">
      <formula>$L218=$O$4</formula>
    </cfRule>
  </conditionalFormatting>
  <conditionalFormatting sqref="E219:E220 E257">
    <cfRule type="expression" dxfId="16" priority="184">
      <formula>$L217=$O$6</formula>
    </cfRule>
  </conditionalFormatting>
  <conditionalFormatting sqref="E219:E220 E257">
    <cfRule type="expression" dxfId="15" priority="187">
      <formula>$L217=$O$5</formula>
    </cfRule>
    <cfRule type="expression" dxfId="14" priority="188">
      <formula>$L217=$O$4</formula>
    </cfRule>
  </conditionalFormatting>
  <conditionalFormatting sqref="E246">
    <cfRule type="expression" dxfId="13" priority="190">
      <formula>$L256=$O$6</formula>
    </cfRule>
  </conditionalFormatting>
  <conditionalFormatting sqref="E246">
    <cfRule type="expression" dxfId="12" priority="194">
      <formula>$L256=$O$5</formula>
    </cfRule>
    <cfRule type="expression" dxfId="11" priority="195">
      <formula>$L256=$O$4</formula>
    </cfRule>
  </conditionalFormatting>
  <conditionalFormatting sqref="B15:K16">
    <cfRule type="expression" dxfId="10" priority="54">
      <formula>$L15=$O$6</formula>
    </cfRule>
  </conditionalFormatting>
  <conditionalFormatting sqref="A15:XFD16">
    <cfRule type="expression" dxfId="9" priority="55">
      <formula>$L15=$O$5</formula>
    </cfRule>
    <cfRule type="expression" dxfId="8" priority="56">
      <formula>$L15=$O$4</formula>
    </cfRule>
  </conditionalFormatting>
  <conditionalFormatting sqref="A18 M18:XFD18">
    <cfRule type="expression" dxfId="7" priority="46">
      <formula>$L18=$O$5</formula>
    </cfRule>
    <cfRule type="expression" dxfId="6" priority="47">
      <formula>$L18=$O$4</formula>
    </cfRule>
  </conditionalFormatting>
  <conditionalFormatting sqref="B18:K18">
    <cfRule type="expression" dxfId="5" priority="43">
      <formula>$L18=$O$6</formula>
    </cfRule>
  </conditionalFormatting>
  <conditionalFormatting sqref="B18:L18">
    <cfRule type="expression" dxfId="4" priority="44">
      <formula>$L18=$O$5</formula>
    </cfRule>
    <cfRule type="expression" dxfId="3" priority="45">
      <formula>$L18=$O$4</formula>
    </cfRule>
  </conditionalFormatting>
  <conditionalFormatting sqref="B17:K17">
    <cfRule type="expression" dxfId="2" priority="1">
      <formula>$L17=$O$6</formula>
    </cfRule>
  </conditionalFormatting>
  <conditionalFormatting sqref="A17:XFD17">
    <cfRule type="expression" dxfId="1" priority="2">
      <formula>$L17=$O$5</formula>
    </cfRule>
    <cfRule type="expression" dxfId="0" priority="3">
      <formula>$L17=$O$4</formula>
    </cfRule>
  </conditionalFormatting>
  <dataValidations count="1">
    <dataValidation type="list" allowBlank="1" showInputMessage="1" showErrorMessage="1" sqref="L186:L217 L294:L299 L282:L291 L219:L264 L266:L279">
      <formula1>$O$1:$O$6</formula1>
    </dataValidation>
  </dataValidations>
  <hyperlinks>
    <hyperlink ref="E273" r:id="rId1"/>
    <hyperlink ref="E263" r:id="rId2"/>
    <hyperlink ref="E260" r:id="rId3"/>
    <hyperlink ref="E221" r:id="rId4"/>
    <hyperlink ref="E247" r:id="rId5"/>
    <hyperlink ref="E258" r:id="rId6"/>
  </hyperlinks>
  <pageMargins left="0.70866141732283472" right="0.70866141732283472" top="0.78740157480314965" bottom="0.78740157480314965" header="0.31496062992125984" footer="0.31496062992125984"/>
  <pageSetup paperSize="9" scale="34" orientation="landscape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9</vt:i4>
      </vt:variant>
      <vt:variant>
        <vt:lpstr>Benannte Bereiche</vt:lpstr>
      </vt:variant>
      <vt:variant>
        <vt:i4>3</vt:i4>
      </vt:variant>
    </vt:vector>
  </HeadingPairs>
  <TitlesOfParts>
    <vt:vector size="12" baseType="lpstr">
      <vt:lpstr>Kräfte</vt:lpstr>
      <vt:lpstr>Zahnriemenscheiben</vt:lpstr>
      <vt:lpstr>Stepper</vt:lpstr>
      <vt:lpstr>DIN</vt:lpstr>
      <vt:lpstr>Rotary Encoder</vt:lpstr>
      <vt:lpstr>Linearlager</vt:lpstr>
      <vt:lpstr>Herkulex Servo</vt:lpstr>
      <vt:lpstr>PiBot Stepper Driver</vt:lpstr>
      <vt:lpstr>BOM</vt:lpstr>
      <vt:lpstr>BOM!Druckbereich</vt:lpstr>
      <vt:lpstr>Kaufstatus</vt:lpstr>
      <vt:lpstr>ShoppingStatus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2016-07-30T17:18:03Z</dcterms:modified>
</cp:coreProperties>
</file>