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516" yWindow="516" windowWidth="4380" windowHeight="3396" tabRatio="709" activeTab="7"/>
  </bookViews>
  <sheets>
    <sheet name="Kräfte" sheetId="3" r:id="rId1"/>
    <sheet name="Zahnriemenscheiben" sheetId="5" r:id="rId2"/>
    <sheet name="DIN" sheetId="8" r:id="rId3"/>
    <sheet name="Rotary Encoder" sheetId="6" r:id="rId4"/>
    <sheet name="Linearlager" sheetId="12" r:id="rId5"/>
    <sheet name="Herkulex Servo" sheetId="10" r:id="rId6"/>
    <sheet name="PiBot Stepper Driver" sheetId="11" r:id="rId7"/>
    <sheet name="BOM" sheetId="7" r:id="rId8"/>
  </sheets>
  <definedNames>
    <definedName name="_xlnm.Print_Area" localSheetId="7">BOM!$A$170:$K$299</definedName>
    <definedName name="Kaufstatus">BOM!$L:$L</definedName>
    <definedName name="ShoppingStatus">BOM!$L:$L</definedName>
  </definedNames>
  <calcPr calcId="152511"/>
</workbook>
</file>

<file path=xl/calcChain.xml><?xml version="1.0" encoding="utf-8"?>
<calcChain xmlns="http://schemas.openxmlformats.org/spreadsheetml/2006/main">
  <c r="C163" i="7" l="1"/>
  <c r="C162" i="7"/>
  <c r="C132" i="7"/>
  <c r="C130" i="7"/>
  <c r="L163" i="7"/>
  <c r="C143" i="7" l="1"/>
  <c r="I274" i="7"/>
  <c r="B274" i="7" s="1"/>
  <c r="C145" i="7"/>
  <c r="I243" i="7"/>
  <c r="B243" i="7" s="1"/>
  <c r="K274" i="7" l="1"/>
  <c r="J274" i="7"/>
  <c r="K243" i="7"/>
  <c r="J243" i="7"/>
  <c r="I215" i="7"/>
  <c r="B215" i="7" s="1"/>
  <c r="C65" i="7"/>
  <c r="C64" i="7"/>
  <c r="C107" i="7"/>
  <c r="C105" i="7"/>
  <c r="C104" i="7"/>
  <c r="I241" i="7"/>
  <c r="B241" i="7" s="1"/>
  <c r="I242" i="7"/>
  <c r="B242" i="7" s="1"/>
  <c r="K215" i="7" l="1"/>
  <c r="J215" i="7"/>
  <c r="K241" i="7"/>
  <c r="J241" i="7"/>
  <c r="K242" i="7"/>
  <c r="J242" i="7"/>
  <c r="D25" i="3" l="1"/>
  <c r="D23" i="3"/>
  <c r="D21" i="3"/>
  <c r="D19" i="3"/>
  <c r="D16" i="3"/>
  <c r="C62" i="7"/>
  <c r="D35" i="3" l="1"/>
  <c r="D33" i="3"/>
  <c r="D31" i="3"/>
  <c r="D29" i="3"/>
  <c r="D26" i="3"/>
  <c r="D45" i="3"/>
  <c r="D43" i="3"/>
  <c r="D41" i="3"/>
  <c r="D39" i="3"/>
  <c r="D36" i="3"/>
  <c r="C129" i="7" l="1"/>
  <c r="C166" i="7" l="1"/>
  <c r="C161" i="7"/>
  <c r="B159" i="7"/>
  <c r="C158" i="7"/>
  <c r="L158" i="7"/>
  <c r="C165" i="7" l="1"/>
  <c r="C117" i="7"/>
  <c r="C81" i="7"/>
  <c r="L165" i="7"/>
  <c r="L117" i="7"/>
  <c r="C106" i="7" l="1"/>
  <c r="C108" i="7"/>
  <c r="L81" i="7"/>
  <c r="C27" i="7" l="1"/>
  <c r="C8" i="3"/>
  <c r="P74" i="3" l="1"/>
  <c r="R70" i="3" l="1"/>
  <c r="R71" i="3"/>
  <c r="R72" i="3"/>
  <c r="R73" i="3"/>
  <c r="R74" i="3"/>
  <c r="C20" i="7" l="1"/>
  <c r="C18" i="7"/>
  <c r="C17" i="7"/>
  <c r="L20" i="7"/>
  <c r="C22" i="7" l="1"/>
  <c r="C21" i="7"/>
  <c r="C19" i="7"/>
  <c r="C14" i="7"/>
  <c r="L22" i="7"/>
  <c r="L14" i="7"/>
  <c r="L17" i="7"/>
  <c r="L18" i="7"/>
  <c r="L19" i="7"/>
  <c r="L21" i="7"/>
  <c r="C66" i="7" l="1"/>
  <c r="C25" i="7"/>
  <c r="C46" i="3"/>
  <c r="L107" i="7"/>
  <c r="L66" i="7"/>
  <c r="L108" i="7"/>
  <c r="L104" i="7"/>
  <c r="C26" i="7" l="1"/>
  <c r="L64" i="7"/>
  <c r="L62" i="7"/>
  <c r="C99" i="7" l="1"/>
  <c r="C98" i="7"/>
  <c r="L26" i="7"/>
  <c r="L25" i="7"/>
  <c r="C41" i="7" l="1"/>
  <c r="C40" i="7"/>
  <c r="L41" i="7"/>
  <c r="L40" i="7"/>
  <c r="L98" i="7"/>
  <c r="L99" i="7"/>
  <c r="C63" i="7" l="1"/>
  <c r="L161" i="7"/>
  <c r="L132" i="7"/>
  <c r="C39" i="7" l="1"/>
  <c r="C33" i="7"/>
  <c r="L63" i="7"/>
  <c r="L106" i="7"/>
  <c r="L65" i="7"/>
  <c r="K277" i="7" l="1"/>
  <c r="K290" i="7"/>
  <c r="L33" i="7"/>
  <c r="L39" i="7"/>
  <c r="C84" i="7" l="1"/>
  <c r="K281" i="7"/>
  <c r="K294" i="7"/>
  <c r="K293" i="7"/>
  <c r="L84" i="7"/>
  <c r="K292" i="7" l="1"/>
  <c r="K291" i="7"/>
  <c r="K285" i="7"/>
  <c r="B52" i="7"/>
  <c r="C6" i="7"/>
  <c r="C96" i="7"/>
  <c r="C95" i="7"/>
  <c r="C32" i="7"/>
  <c r="C159" i="7"/>
  <c r="C118" i="7"/>
  <c r="C82" i="7"/>
  <c r="K284" i="7"/>
  <c r="C131" i="7"/>
  <c r="C28" i="7"/>
  <c r="C121" i="7"/>
  <c r="K289" i="7"/>
  <c r="C10" i="7"/>
  <c r="K283" i="7"/>
  <c r="C59" i="7"/>
  <c r="C57" i="7"/>
  <c r="C56" i="7"/>
  <c r="C42" i="7"/>
  <c r="C37" i="7"/>
  <c r="C30" i="7"/>
  <c r="C9" i="7"/>
  <c r="C5" i="7"/>
  <c r="C164" i="7"/>
  <c r="C150" i="7"/>
  <c r="C160" i="7"/>
  <c r="C157" i="7"/>
  <c r="C156" i="7"/>
  <c r="C155" i="7"/>
  <c r="C154" i="7"/>
  <c r="C152" i="7"/>
  <c r="C153" i="7"/>
  <c r="C151" i="7"/>
  <c r="C149" i="7"/>
  <c r="C148" i="7"/>
  <c r="C146" i="7"/>
  <c r="C147" i="7"/>
  <c r="C77" i="7"/>
  <c r="C138" i="7"/>
  <c r="C100" i="7"/>
  <c r="L153" i="7"/>
  <c r="L146" i="7"/>
  <c r="L57" i="7"/>
  <c r="L129" i="7"/>
  <c r="L121" i="7"/>
  <c r="L157" i="7"/>
  <c r="L5" i="7"/>
  <c r="L6" i="7"/>
  <c r="L150" i="7"/>
  <c r="L100" i="7"/>
  <c r="C140" i="7" l="1"/>
  <c r="C141" i="7"/>
  <c r="C139" i="7"/>
  <c r="B139" i="7"/>
  <c r="L162" i="7"/>
  <c r="L59" i="7"/>
  <c r="L56" i="7"/>
  <c r="L82" i="7"/>
  <c r="L131" i="7"/>
  <c r="L147" i="7"/>
  <c r="L160" i="7"/>
  <c r="L10" i="7"/>
  <c r="L149" i="7"/>
  <c r="L154" i="7"/>
  <c r="L77" i="7"/>
  <c r="L30" i="7"/>
  <c r="L148" i="7"/>
  <c r="L95" i="7"/>
  <c r="L159" i="7"/>
  <c r="L37" i="7"/>
  <c r="L155" i="7"/>
  <c r="L42" i="7"/>
  <c r="L139" i="7"/>
  <c r="L9" i="7"/>
  <c r="L164" i="7"/>
  <c r="L28" i="7"/>
  <c r="L141" i="7"/>
  <c r="L156" i="7"/>
  <c r="L151" i="7"/>
  <c r="L96" i="7"/>
  <c r="L152" i="7"/>
  <c r="L118" i="7"/>
  <c r="L138" i="7"/>
  <c r="L145" i="7"/>
  <c r="C48" i="7" l="1"/>
  <c r="C72" i="7"/>
  <c r="C125" i="7"/>
  <c r="C142" i="7"/>
  <c r="C137" i="7"/>
  <c r="C136" i="7"/>
  <c r="C135" i="7"/>
  <c r="C134" i="7"/>
  <c r="C133" i="7"/>
  <c r="C128" i="7"/>
  <c r="C127" i="7"/>
  <c r="C126" i="7"/>
  <c r="C124" i="7"/>
  <c r="C123" i="7"/>
  <c r="C122" i="7"/>
  <c r="C120" i="7"/>
  <c r="C119" i="7"/>
  <c r="C116" i="7"/>
  <c r="C115" i="7"/>
  <c r="C114" i="7"/>
  <c r="C113" i="7"/>
  <c r="C112" i="7"/>
  <c r="C97" i="7"/>
  <c r="C13" i="7"/>
  <c r="C109" i="7"/>
  <c r="C60" i="5"/>
  <c r="C61" i="5" s="1"/>
  <c r="C91" i="7"/>
  <c r="C103" i="7"/>
  <c r="C102" i="7"/>
  <c r="C101" i="7"/>
  <c r="C94" i="7"/>
  <c r="C93" i="7"/>
  <c r="C90" i="7"/>
  <c r="C92" i="7"/>
  <c r="C89" i="7"/>
  <c r="C88" i="7"/>
  <c r="C87" i="7"/>
  <c r="C86" i="7"/>
  <c r="C55" i="7"/>
  <c r="C54" i="7"/>
  <c r="C53" i="7"/>
  <c r="C52" i="7"/>
  <c r="C85" i="7"/>
  <c r="C79" i="7"/>
  <c r="C83" i="7"/>
  <c r="C80" i="7"/>
  <c r="C78" i="7"/>
  <c r="C76" i="7"/>
  <c r="C75" i="7"/>
  <c r="C74" i="7"/>
  <c r="C73" i="7"/>
  <c r="C71" i="7"/>
  <c r="C70" i="7"/>
  <c r="C69" i="7"/>
  <c r="C68" i="7"/>
  <c r="C34" i="7"/>
  <c r="C8" i="7"/>
  <c r="C11" i="7"/>
  <c r="C12" i="7"/>
  <c r="C29" i="7"/>
  <c r="C31" i="7"/>
  <c r="C35" i="7"/>
  <c r="C36" i="7"/>
  <c r="C38" i="7"/>
  <c r="C43" i="7"/>
  <c r="C44" i="7"/>
  <c r="C49" i="7"/>
  <c r="C51" i="7"/>
  <c r="C50" i="7"/>
  <c r="C58" i="7"/>
  <c r="C60" i="7"/>
  <c r="C61" i="7"/>
  <c r="L134" i="7"/>
  <c r="L140" i="7"/>
  <c r="I261" i="7" l="1"/>
  <c r="B261" i="7" s="1"/>
  <c r="K261" i="7" s="1"/>
  <c r="I205" i="7"/>
  <c r="B205" i="7" s="1"/>
  <c r="I174" i="7"/>
  <c r="B174" i="7" s="1"/>
  <c r="K174" i="7" s="1"/>
  <c r="I238" i="7"/>
  <c r="B238" i="7" s="1"/>
  <c r="K238" i="7" s="1"/>
  <c r="I250" i="7"/>
  <c r="B250" i="7" s="1"/>
  <c r="K250" i="7" s="1"/>
  <c r="I249" i="7"/>
  <c r="B249" i="7" s="1"/>
  <c r="I260" i="7"/>
  <c r="B260" i="7" s="1"/>
  <c r="I259" i="7"/>
  <c r="B259" i="7" s="1"/>
  <c r="I263" i="7"/>
  <c r="B263" i="7" s="1"/>
  <c r="I264" i="7"/>
  <c r="B264" i="7" s="1"/>
  <c r="I216" i="7"/>
  <c r="B216" i="7" s="1"/>
  <c r="I237" i="7"/>
  <c r="B237" i="7" s="1"/>
  <c r="I226" i="7"/>
  <c r="B226" i="7" s="1"/>
  <c r="I239" i="7"/>
  <c r="B239" i="7" s="1"/>
  <c r="I227" i="7"/>
  <c r="B227" i="7" s="1"/>
  <c r="I225" i="7"/>
  <c r="B225" i="7" s="1"/>
  <c r="L133" i="7"/>
  <c r="L97" i="7"/>
  <c r="J261" i="7" l="1"/>
  <c r="K205" i="7"/>
  <c r="J205" i="7"/>
  <c r="J174" i="7"/>
  <c r="J238" i="7"/>
  <c r="J250" i="7"/>
  <c r="K260" i="7"/>
  <c r="J260" i="7"/>
  <c r="K249" i="7"/>
  <c r="J249" i="7"/>
  <c r="K264" i="7"/>
  <c r="J264" i="7"/>
  <c r="K263" i="7"/>
  <c r="J263" i="7"/>
  <c r="K259" i="7"/>
  <c r="J259" i="7"/>
  <c r="K237" i="7"/>
  <c r="J237" i="7"/>
  <c r="K216" i="7"/>
  <c r="J216" i="7"/>
  <c r="K225" i="7"/>
  <c r="J225" i="7"/>
  <c r="K227" i="7"/>
  <c r="J227" i="7"/>
  <c r="K239" i="7"/>
  <c r="J239" i="7"/>
  <c r="K226" i="7"/>
  <c r="J226" i="7"/>
  <c r="L27" i="7"/>
  <c r="L78" i="7"/>
  <c r="L90" i="7"/>
  <c r="L76" i="7"/>
  <c r="L109" i="7"/>
  <c r="L32" i="7"/>
  <c r="L75" i="7"/>
  <c r="L114" i="7"/>
  <c r="I210" i="7" l="1"/>
  <c r="B210" i="7" s="1"/>
  <c r="I209" i="7"/>
  <c r="B209" i="7" s="1"/>
  <c r="I236" i="7"/>
  <c r="B236" i="7" s="1"/>
  <c r="L79" i="7"/>
  <c r="L128" i="7"/>
  <c r="L53" i="7"/>
  <c r="L94" i="7"/>
  <c r="L73" i="7"/>
  <c r="L102" i="7"/>
  <c r="L44" i="7"/>
  <c r="L36" i="7"/>
  <c r="L34" i="7"/>
  <c r="L116" i="7"/>
  <c r="L124" i="7"/>
  <c r="L55" i="7"/>
  <c r="L68" i="7"/>
  <c r="L135" i="7"/>
  <c r="L143" i="7"/>
  <c r="L91" i="7"/>
  <c r="L126" i="7"/>
  <c r="L83" i="7"/>
  <c r="L49" i="7"/>
  <c r="L58" i="7"/>
  <c r="L123" i="7"/>
  <c r="L52" i="7"/>
  <c r="L61" i="7"/>
  <c r="L86" i="7"/>
  <c r="L51" i="7"/>
  <c r="L43" i="7"/>
  <c r="L112" i="7"/>
  <c r="L130" i="7"/>
  <c r="L38" i="7"/>
  <c r="L93" i="7"/>
  <c r="L54" i="7"/>
  <c r="L103" i="7"/>
  <c r="L31" i="7"/>
  <c r="L48" i="7"/>
  <c r="L12" i="7"/>
  <c r="L136" i="7"/>
  <c r="L69" i="7"/>
  <c r="L29" i="7"/>
  <c r="L72" i="7"/>
  <c r="L60" i="7"/>
  <c r="L8" i="7"/>
  <c r="L13" i="7"/>
  <c r="L88" i="7"/>
  <c r="L122" i="7"/>
  <c r="L89" i="7"/>
  <c r="L92" i="7"/>
  <c r="L11" i="7"/>
  <c r="L119" i="7"/>
  <c r="L137" i="7"/>
  <c r="L101" i="7"/>
  <c r="L125" i="7"/>
  <c r="L80" i="7"/>
  <c r="L85" i="7"/>
  <c r="L120" i="7"/>
  <c r="L142" i="7"/>
  <c r="L113" i="7"/>
  <c r="L70" i="7"/>
  <c r="L127" i="7"/>
  <c r="L115" i="7"/>
  <c r="L71" i="7"/>
  <c r="L105" i="7"/>
  <c r="K209" i="7" l="1"/>
  <c r="J209" i="7"/>
  <c r="J210" i="7"/>
  <c r="K210" i="7"/>
  <c r="K236" i="7"/>
  <c r="J236" i="7"/>
  <c r="L87" i="7"/>
  <c r="L50" i="7"/>
  <c r="L74" i="7"/>
  <c r="I240" i="7" l="1"/>
  <c r="B240" i="7" s="1"/>
  <c r="J240" i="7" s="1"/>
  <c r="I224" i="7"/>
  <c r="B224" i="7" s="1"/>
  <c r="I222" i="7"/>
  <c r="B222" i="7" s="1"/>
  <c r="I230" i="7"/>
  <c r="B230" i="7" s="1"/>
  <c r="I233" i="7"/>
  <c r="B233" i="7" s="1"/>
  <c r="I214" i="7"/>
  <c r="B214" i="7" s="1"/>
  <c r="I231" i="7"/>
  <c r="B231" i="7" s="1"/>
  <c r="I217" i="7"/>
  <c r="B217" i="7" s="1"/>
  <c r="I212" i="7"/>
  <c r="B212" i="7" s="1"/>
  <c r="I213" i="7"/>
  <c r="B213" i="7" s="1"/>
  <c r="I211" i="7"/>
  <c r="B211" i="7" s="1"/>
  <c r="I221" i="7"/>
  <c r="B221" i="7" s="1"/>
  <c r="I207" i="7"/>
  <c r="B207" i="7" s="1"/>
  <c r="I196" i="7"/>
  <c r="B196" i="7" s="1"/>
  <c r="I195" i="7"/>
  <c r="B195" i="7" s="1"/>
  <c r="L35" i="7"/>
  <c r="K240" i="7" l="1"/>
  <c r="K222" i="7"/>
  <c r="J222" i="7"/>
  <c r="K224" i="7"/>
  <c r="J224" i="7"/>
  <c r="K233" i="7"/>
  <c r="J233" i="7"/>
  <c r="K230" i="7"/>
  <c r="J230" i="7"/>
  <c r="K231" i="7"/>
  <c r="J231" i="7"/>
  <c r="J214" i="7"/>
  <c r="K214" i="7"/>
  <c r="K211" i="7"/>
  <c r="J211" i="7"/>
  <c r="K213" i="7"/>
  <c r="J213" i="7"/>
  <c r="K212" i="7"/>
  <c r="J212" i="7"/>
  <c r="K217" i="7"/>
  <c r="J217" i="7"/>
  <c r="K221" i="7"/>
  <c r="J221" i="7"/>
  <c r="K195" i="7"/>
  <c r="J195" i="7"/>
  <c r="J196" i="7"/>
  <c r="K196" i="7"/>
  <c r="K207" i="7"/>
  <c r="J207" i="7"/>
  <c r="I286" i="7" l="1"/>
  <c r="I179" i="7"/>
  <c r="B179" i="7" s="1"/>
  <c r="K179" i="7" s="1"/>
  <c r="I290" i="7"/>
  <c r="J290" i="7" s="1"/>
  <c r="I277" i="7"/>
  <c r="J277" i="7" s="1"/>
  <c r="I281" i="7"/>
  <c r="J281" i="7" s="1"/>
  <c r="I203" i="7"/>
  <c r="B203" i="7" s="1"/>
  <c r="J203" i="7" s="1"/>
  <c r="I294" i="7"/>
  <c r="J294" i="7" s="1"/>
  <c r="I293" i="7"/>
  <c r="J293" i="7" s="1"/>
  <c r="I285" i="7"/>
  <c r="J285" i="7" s="1"/>
  <c r="I292" i="7"/>
  <c r="J292" i="7" s="1"/>
  <c r="I291" i="7"/>
  <c r="J291" i="7" s="1"/>
  <c r="I284" i="7"/>
  <c r="J284" i="7" s="1"/>
  <c r="I200" i="7"/>
  <c r="B200" i="7" s="1"/>
  <c r="J200" i="7" s="1"/>
  <c r="I181" i="7"/>
  <c r="B181" i="7" s="1"/>
  <c r="I289" i="7"/>
  <c r="J289" i="7" s="1"/>
  <c r="I247" i="7"/>
  <c r="I283" i="7"/>
  <c r="J283" i="7" s="1"/>
  <c r="I273" i="7"/>
  <c r="I255" i="7"/>
  <c r="I244" i="7"/>
  <c r="I201" i="7"/>
  <c r="B201" i="7" s="1"/>
  <c r="K201" i="7" s="1"/>
  <c r="I204" i="7"/>
  <c r="B204" i="7" s="1"/>
  <c r="I202" i="7"/>
  <c r="B202" i="7" s="1"/>
  <c r="I272" i="7"/>
  <c r="I254" i="7"/>
  <c r="I245" i="7"/>
  <c r="I194" i="7"/>
  <c r="B194" i="7" s="1"/>
  <c r="J194" i="7" s="1"/>
  <c r="I262" i="7"/>
  <c r="I266" i="7"/>
  <c r="I257" i="7"/>
  <c r="I268" i="7"/>
  <c r="I253" i="7"/>
  <c r="I234" i="7"/>
  <c r="I256" i="7"/>
  <c r="I246" i="7"/>
  <c r="I267" i="7"/>
  <c r="I193" i="7"/>
  <c r="B193" i="7" s="1"/>
  <c r="J193" i="7" s="1"/>
  <c r="I270" i="7"/>
  <c r="I219" i="7"/>
  <c r="B219" i="7" s="1"/>
  <c r="I184" i="7"/>
  <c r="B184" i="7" s="1"/>
  <c r="K184" i="7" s="1"/>
  <c r="I251" i="7"/>
  <c r="I197" i="7"/>
  <c r="B197" i="7" s="1"/>
  <c r="I208" i="7"/>
  <c r="I252" i="7"/>
  <c r="I232" i="7"/>
  <c r="I190" i="7"/>
  <c r="B190" i="7" s="1"/>
  <c r="K190" i="7" s="1"/>
  <c r="I235" i="7"/>
  <c r="I218" i="7"/>
  <c r="B218" i="7" s="1"/>
  <c r="I271" i="7"/>
  <c r="I269" i="7"/>
  <c r="I198" i="7"/>
  <c r="B198" i="7" s="1"/>
  <c r="K198" i="7" s="1"/>
  <c r="I191" i="7"/>
  <c r="B191" i="7" s="1"/>
  <c r="K191" i="7" s="1"/>
  <c r="I192" i="7"/>
  <c r="B192" i="7" s="1"/>
  <c r="J192" i="7" s="1"/>
  <c r="I186" i="7"/>
  <c r="B186" i="7" s="1"/>
  <c r="J186" i="7" s="1"/>
  <c r="I178" i="7"/>
  <c r="B178" i="7" s="1"/>
  <c r="J178" i="7" s="1"/>
  <c r="I228" i="7"/>
  <c r="B228" i="7" s="1"/>
  <c r="I180" i="7"/>
  <c r="B180" i="7" s="1"/>
  <c r="J180" i="7" s="1"/>
  <c r="I173" i="7"/>
  <c r="B173" i="7" s="1"/>
  <c r="K173" i="7" s="1"/>
  <c r="I172" i="7"/>
  <c r="B172" i="7" s="1"/>
  <c r="K172" i="7" s="1"/>
  <c r="I278" i="7"/>
  <c r="K278" i="7" s="1"/>
  <c r="I282" i="7"/>
  <c r="I199" i="7"/>
  <c r="B199" i="7" s="1"/>
  <c r="K199" i="7" s="1"/>
  <c r="I279" i="7"/>
  <c r="K279" i="7" s="1"/>
  <c r="I189" i="7"/>
  <c r="B189" i="7" s="1"/>
  <c r="J189" i="7" s="1"/>
  <c r="I223" i="7"/>
  <c r="B223" i="7" s="1"/>
  <c r="I280" i="7"/>
  <c r="K280" i="7" s="1"/>
  <c r="I185" i="7"/>
  <c r="B185" i="7" s="1"/>
  <c r="J185" i="7" s="1"/>
  <c r="I175" i="7"/>
  <c r="B175" i="7" s="1"/>
  <c r="J175" i="7" s="1"/>
  <c r="I265" i="7"/>
  <c r="I187" i="7"/>
  <c r="B187" i="7" s="1"/>
  <c r="J187" i="7" s="1"/>
  <c r="I183" i="7"/>
  <c r="B183" i="7" s="1"/>
  <c r="J183" i="7" s="1"/>
  <c r="I176" i="7"/>
  <c r="B176" i="7" s="1"/>
  <c r="J176" i="7" s="1"/>
  <c r="I177" i="7"/>
  <c r="B177" i="7" s="1"/>
  <c r="J177" i="7" s="1"/>
  <c r="J179" i="7" l="1"/>
  <c r="K203" i="7"/>
  <c r="K200" i="7"/>
  <c r="B235" i="7"/>
  <c r="K235" i="7" s="1"/>
  <c r="B208" i="7"/>
  <c r="J208" i="7" s="1"/>
  <c r="B267" i="7"/>
  <c r="K267" i="7" s="1"/>
  <c r="B253" i="7"/>
  <c r="K253" i="7" s="1"/>
  <c r="B257" i="7"/>
  <c r="J257" i="7" s="1"/>
  <c r="B245" i="7"/>
  <c r="K245" i="7" s="1"/>
  <c r="B255" i="7"/>
  <c r="K255" i="7" s="1"/>
  <c r="B247" i="7"/>
  <c r="K247" i="7" s="1"/>
  <c r="B265" i="7"/>
  <c r="J265" i="7" s="1"/>
  <c r="B269" i="7"/>
  <c r="K269" i="7" s="1"/>
  <c r="B270" i="7"/>
  <c r="K270" i="7" s="1"/>
  <c r="B246" i="7"/>
  <c r="K246" i="7" s="1"/>
  <c r="B266" i="7"/>
  <c r="J266" i="7" s="1"/>
  <c r="B254" i="7"/>
  <c r="K254" i="7" s="1"/>
  <c r="B271" i="7"/>
  <c r="K271" i="7" s="1"/>
  <c r="B232" i="7"/>
  <c r="K232" i="7" s="1"/>
  <c r="B251" i="7"/>
  <c r="K251" i="7" s="1"/>
  <c r="B256" i="7"/>
  <c r="J256" i="7" s="1"/>
  <c r="B262" i="7"/>
  <c r="K262" i="7" s="1"/>
  <c r="B272" i="7"/>
  <c r="K272" i="7" s="1"/>
  <c r="B273" i="7"/>
  <c r="K273" i="7" s="1"/>
  <c r="B252" i="7"/>
  <c r="K252" i="7" s="1"/>
  <c r="B234" i="7"/>
  <c r="J234" i="7" s="1"/>
  <c r="B268" i="7"/>
  <c r="J268" i="7" s="1"/>
  <c r="B244" i="7"/>
  <c r="K244" i="7" s="1"/>
  <c r="K223" i="7"/>
  <c r="K228" i="7"/>
  <c r="J218" i="7"/>
  <c r="K219" i="7"/>
  <c r="K181" i="7"/>
  <c r="J181" i="7"/>
  <c r="J201" i="7"/>
  <c r="J191" i="7"/>
  <c r="K178" i="7"/>
  <c r="K202" i="7"/>
  <c r="J202" i="7"/>
  <c r="K204" i="7"/>
  <c r="J204" i="7"/>
  <c r="K194" i="7"/>
  <c r="J219" i="7"/>
  <c r="J198" i="7"/>
  <c r="K186" i="7"/>
  <c r="K193" i="7"/>
  <c r="J278" i="7"/>
  <c r="J184" i="7"/>
  <c r="K180" i="7"/>
  <c r="K192" i="7"/>
  <c r="J172" i="7"/>
  <c r="J279" i="7"/>
  <c r="K185" i="7"/>
  <c r="J190" i="7"/>
  <c r="J197" i="7"/>
  <c r="K197" i="7"/>
  <c r="K175" i="7"/>
  <c r="K282" i="7"/>
  <c r="K189" i="7"/>
  <c r="K183" i="7"/>
  <c r="J280" i="7"/>
  <c r="J173" i="7"/>
  <c r="J199" i="7"/>
  <c r="K187" i="7"/>
  <c r="K177" i="7"/>
  <c r="K176" i="7"/>
  <c r="L299" i="7" l="1"/>
  <c r="K256" i="7"/>
  <c r="J269" i="7"/>
  <c r="K208" i="7"/>
  <c r="J271" i="7"/>
  <c r="K234" i="7"/>
  <c r="J267" i="7"/>
  <c r="K265" i="7"/>
  <c r="K257" i="7"/>
  <c r="K268" i="7"/>
  <c r="K266" i="7"/>
  <c r="J270" i="7"/>
  <c r="J273" i="7"/>
  <c r="J262" i="7"/>
  <c r="J232" i="7"/>
  <c r="J254" i="7"/>
  <c r="J246" i="7"/>
  <c r="J247" i="7"/>
  <c r="J245" i="7"/>
  <c r="J253" i="7"/>
  <c r="J272" i="7"/>
  <c r="J252" i="7"/>
  <c r="J251" i="7"/>
  <c r="J255" i="7"/>
  <c r="J235" i="7"/>
  <c r="J244" i="7"/>
  <c r="K218" i="7"/>
  <c r="J228" i="7"/>
  <c r="J223" i="7"/>
  <c r="J282" i="7"/>
  <c r="P72" i="3"/>
  <c r="K299" i="7" l="1"/>
  <c r="P73" i="3"/>
  <c r="C41" i="3" l="1"/>
  <c r="P71" i="3" l="1"/>
  <c r="C62" i="5" l="1"/>
  <c r="C63" i="5" s="1"/>
  <c r="C37" i="5"/>
  <c r="C38" i="5" s="1"/>
  <c r="C39" i="5" l="1"/>
  <c r="C40" i="5" s="1"/>
  <c r="C78" i="3"/>
  <c r="C90" i="3"/>
  <c r="C45" i="3"/>
  <c r="C43" i="3"/>
  <c r="C39" i="3"/>
  <c r="C36" i="3"/>
  <c r="C49" i="3"/>
  <c r="C51" i="3"/>
  <c r="C9" i="3"/>
  <c r="P70" i="3" l="1"/>
  <c r="C7" i="3"/>
  <c r="C26" i="3"/>
  <c r="C35" i="3"/>
  <c r="C33" i="3"/>
  <c r="C31" i="3"/>
  <c r="C29" i="3"/>
  <c r="C25" i="3" l="1"/>
  <c r="C91" i="3" s="1"/>
  <c r="C23" i="3"/>
  <c r="C21" i="3"/>
  <c r="C85" i="3" s="1"/>
  <c r="C19" i="3"/>
  <c r="C15" i="3"/>
  <c r="C79" i="3" s="1"/>
  <c r="C13" i="3"/>
  <c r="C16" i="3"/>
  <c r="C10" i="3"/>
  <c r="C55" i="3" l="1"/>
  <c r="C59" i="3" s="1"/>
  <c r="C57" i="3"/>
  <c r="C61" i="3" l="1"/>
  <c r="C67" i="3" s="1"/>
  <c r="C74" i="3" s="1"/>
  <c r="C60" i="3"/>
  <c r="C65" i="3" s="1"/>
  <c r="C72" i="3" s="1"/>
  <c r="C62" i="3"/>
  <c r="C66" i="3" s="1"/>
  <c r="C73" i="3" s="1"/>
  <c r="C58" i="3"/>
  <c r="C63" i="3" l="1"/>
  <c r="C70" i="3" s="1"/>
  <c r="C80" i="3"/>
  <c r="C81" i="3" s="1"/>
  <c r="C92" i="3"/>
  <c r="C93" i="3" s="1"/>
  <c r="C86" i="3"/>
  <c r="C87" i="3" s="1"/>
  <c r="C64" i="3"/>
  <c r="C71" i="3" s="1"/>
</calcChain>
</file>

<file path=xl/sharedStrings.xml><?xml version="1.0" encoding="utf-8"?>
<sst xmlns="http://schemas.openxmlformats.org/spreadsheetml/2006/main" count="784" uniqueCount="447">
  <si>
    <t>Material</t>
  </si>
  <si>
    <t>http://www.modellbauershop.de/antrieb/zahnriemenscheiben-teilung-t-25.php</t>
  </si>
  <si>
    <t>http://www.modellbauershop.de/antrieb/zahnriemen-fuer-teilung-25.php</t>
  </si>
  <si>
    <t>Oberarm</t>
  </si>
  <si>
    <t>Unterarm</t>
  </si>
  <si>
    <t>Sollgewicht</t>
  </si>
  <si>
    <t>[kg]</t>
  </si>
  <si>
    <t>Roboterschwerpunkt</t>
  </si>
  <si>
    <t>Hand</t>
  </si>
  <si>
    <t>Drehmoment Schulter</t>
  </si>
  <si>
    <t>Oberarmgewicht</t>
  </si>
  <si>
    <t>Unterarmgewicht</t>
  </si>
  <si>
    <t>Handgewicht</t>
  </si>
  <si>
    <t>[Nm]</t>
  </si>
  <si>
    <t>Übersetzung Oberarm</t>
  </si>
  <si>
    <t>[1:]</t>
  </si>
  <si>
    <t>Drehmoment Schulter Motor</t>
  </si>
  <si>
    <t>Drehmoment Zuschlag</t>
  </si>
  <si>
    <t xml:space="preserve">Dimensionierung Schultermotor </t>
  </si>
  <si>
    <t>Übersetzung Schulter</t>
  </si>
  <si>
    <t>Dimensionierung Oberarmmotor</t>
  </si>
  <si>
    <t>Dimensionierung Unterarmmotor</t>
  </si>
  <si>
    <t>Sollbeschleunigung</t>
  </si>
  <si>
    <t>[m/s^2]</t>
  </si>
  <si>
    <t>Erdbeschleuinigung</t>
  </si>
  <si>
    <t>Drehmoment Unterarm Motor</t>
  </si>
  <si>
    <t xml:space="preserve">Drehmoment Oberarm </t>
  </si>
  <si>
    <t>Drehmoment Unterarm</t>
  </si>
  <si>
    <t>[Zähne]</t>
  </si>
  <si>
    <t>Zahnriemen Teilung</t>
  </si>
  <si>
    <t>[mm]</t>
  </si>
  <si>
    <t>Zahnriemenscheibe 1 Zähne</t>
  </si>
  <si>
    <t>Zahnriemenscheibe 2 Zähne</t>
  </si>
  <si>
    <t>Zahnriemenscheibe 2 Radius</t>
  </si>
  <si>
    <t>Zahnriemenscheibe 3 Zähne</t>
  </si>
  <si>
    <t>Zahnriemenscheibe 4 Zähne</t>
  </si>
  <si>
    <t>Zahnriemenscheibe 1 Durchmesser</t>
  </si>
  <si>
    <t>Zahnriemenscheibe 2 Durchmesser</t>
  </si>
  <si>
    <t>Zahnriemenscheibe 3 Durchmesser</t>
  </si>
  <si>
    <t>Zahnriemenscheibe 4 Durchmesser</t>
  </si>
  <si>
    <t>Model</t>
  </si>
  <si>
    <t>Step Angle</t>
  </si>
  <si>
    <t>Bi/Unipolar</t>
  </si>
  <si>
    <t>Size</t>
  </si>
  <si>
    <t>Holding Torque</t>
  </si>
  <si>
    <t>Current</t>
  </si>
  <si>
    <t>Shaft Type</t>
  </si>
  <si>
    <t>Inductance</t>
  </si>
  <si>
    <t>Weight</t>
  </si>
  <si>
    <t>P/N</t>
  </si>
  <si>
    <t>Degree</t>
  </si>
  <si>
    <t>No of Leads</t>
  </si>
  <si>
    <t>Nema</t>
  </si>
  <si>
    <t>[A]</t>
  </si>
  <si>
    <t>[S/D]</t>
  </si>
  <si>
    <t>[Kg]</t>
  </si>
  <si>
    <t>Bi (4)</t>
  </si>
  <si>
    <t>S</t>
  </si>
  <si>
    <t>Uni (6)</t>
  </si>
  <si>
    <t>D</t>
  </si>
  <si>
    <t>NEMA 17</t>
  </si>
  <si>
    <t>42x42x34</t>
  </si>
  <si>
    <t>42x42x39</t>
  </si>
  <si>
    <t>17HS13-0404S</t>
  </si>
  <si>
    <t>17HS15-0404S</t>
  </si>
  <si>
    <t>NEMA 23</t>
  </si>
  <si>
    <t>23HM22-2804S</t>
  </si>
  <si>
    <t>57x57x56</t>
  </si>
  <si>
    <t>NEMA 24</t>
  </si>
  <si>
    <t>60x60x57</t>
  </si>
  <si>
    <t>60x60x87</t>
  </si>
  <si>
    <t>[N,cm]</t>
  </si>
  <si>
    <t>Shaft Size</t>
  </si>
  <si>
    <t>3D Drucker Zortrax M200</t>
  </si>
  <si>
    <t>http://www.cncshop.at/index.php?k=798</t>
  </si>
  <si>
    <t>http://www.kugellager-express.de/rillenkugellager-6807-61807-35x47x7-mm.html</t>
  </si>
  <si>
    <t>Eval Board</t>
  </si>
  <si>
    <t>http://www.mouser.de/ProductDetail/ams/AS5048B-TS_EK_AB/?qs=sGAEpiMZZMvc81WFyF5EdoQL2wnmmwE79zX4h9RmJyQ%3d</t>
  </si>
  <si>
    <t>http://www.mouser.com/ds/2/588/AS5048-EK-AB_Operation-Manual_Rev.1.3-820438.pdf</t>
  </si>
  <si>
    <t>AS5048</t>
  </si>
  <si>
    <t>Arduino lib</t>
  </si>
  <si>
    <t>https://github.com/sosandroid/AMS_AS5048B</t>
  </si>
  <si>
    <t>Bezugsquelle</t>
  </si>
  <si>
    <t>Operational Manual</t>
  </si>
  <si>
    <t>Teilung 2,5</t>
  </si>
  <si>
    <t>Bezugsquellen</t>
  </si>
  <si>
    <t>Drehmoment Handgelenk</t>
  </si>
  <si>
    <t>Übersetzung Handgelenkdreher</t>
  </si>
  <si>
    <t>Drehmoment Handgelenkdreher</t>
  </si>
  <si>
    <t>Berechnung</t>
  </si>
  <si>
    <t>http://smarthost.maedler.de/maedlertools/maedler.html</t>
  </si>
  <si>
    <t xml:space="preserve">Zahnriemen Schulter </t>
  </si>
  <si>
    <t>[N]</t>
  </si>
  <si>
    <t>[W]</t>
  </si>
  <si>
    <t>Drehzahl</t>
  </si>
  <si>
    <t>Kraft</t>
  </si>
  <si>
    <t>Leistung</t>
  </si>
  <si>
    <t>Zahnriemen Oberarm 1</t>
  </si>
  <si>
    <t>Zahnriemen Oberarm 2</t>
  </si>
  <si>
    <t>Radius</t>
  </si>
  <si>
    <t>[m]</t>
  </si>
  <si>
    <t>[1/s]</t>
  </si>
  <si>
    <t>Zähne</t>
  </si>
  <si>
    <t>Außendurchmesser</t>
  </si>
  <si>
    <t>Wirkdurchmesser</t>
  </si>
  <si>
    <t>Berechnung Zahnriemenscheibe T2,5</t>
  </si>
  <si>
    <t>Tascheinnendurchmesser</t>
  </si>
  <si>
    <t>Winkeleckeinnendurchmesser</t>
  </si>
  <si>
    <t>Rillenkugellager DIN 625 SKF - SKF 61818 - 90x115x13</t>
  </si>
  <si>
    <t>http://www.hug-technik.com/shop/product_info.php?info=p5264_metr--zahnriemenscheibe-t5-21-mm-breit--15-zaehne--zahnriemenrad-t5-21-15.html</t>
  </si>
  <si>
    <t>https://www.conrad.de/de/silberstahl-welle-500-mm-3-mm-237051.html</t>
  </si>
  <si>
    <t>https://www.conrad.de/de/vierkantmuttern-m3-din-562-stahl-100-st-toolcraft-109026-109026.html</t>
  </si>
  <si>
    <t>Verschraubung Deckel</t>
  </si>
  <si>
    <t>Gegenverschraubung Deckel</t>
  </si>
  <si>
    <t>Rillenkugellager DIN 625 SKF - 61807 35x47x7mm</t>
  </si>
  <si>
    <t>Lager  zum Grippermount</t>
  </si>
  <si>
    <t>Befestigung Lagerdeckel</t>
  </si>
  <si>
    <t>Zylinderkopfschraube Innensechskant M3 20mm</t>
  </si>
  <si>
    <t>Befestigung Servo</t>
  </si>
  <si>
    <t>https://www.conrad.de/de/sechskantmuttern-m3-stahl-verzinkt-100-st-toolcraft-815624-815624.html</t>
  </si>
  <si>
    <t>Gegenstück zur Befestigung Lagdereckel</t>
  </si>
  <si>
    <t>Rillenkugellager DIN 625 SKF - 61902 15x28x7mm</t>
  </si>
  <si>
    <t>Lager für Wrist</t>
  </si>
  <si>
    <t>http://www.kugellager-express.de/rillenkugellager-6902-61902-15x28x7-mm.html</t>
  </si>
  <si>
    <t xml:space="preserve">Achse Zwischenwelle </t>
  </si>
  <si>
    <t>http://www.cncshop.at/index.php?a=10133</t>
  </si>
  <si>
    <t>http://www.kugellager-express.de/edelstahl-miniatur-kugellager-ss-mr106-6x10x3-mm.html</t>
  </si>
  <si>
    <t>Rillenkugellager 6x10x3</t>
  </si>
  <si>
    <t>https://www.conrad.de/de/silberstahl-welle-500-mm-6-mm-237086.html</t>
  </si>
  <si>
    <t>Motor</t>
  </si>
  <si>
    <t>Befestigung Motor</t>
  </si>
  <si>
    <t>https://www.conrad.de/de/unterlegscheiben-innen-durchmesser-32-mm-m3-din-125-stahl-verzinkt-100-st-toolcraft-814628-814628.html</t>
  </si>
  <si>
    <t>RiemenSpanner Schraube</t>
  </si>
  <si>
    <t>http://www.cncshop.at/index.php?a=10276</t>
  </si>
  <si>
    <t>Zylinderkopfschraube Innensechskant M2 6mm</t>
  </si>
  <si>
    <t>Sensor Befestigung</t>
  </si>
  <si>
    <t>Rotary Sensor</t>
  </si>
  <si>
    <t>http://www.digikey.de/product-detail/de/ams/AS5048B-TS_EK_AB/AS5048B-AB-1.0-ND/3188613</t>
  </si>
  <si>
    <t>Sensor</t>
  </si>
  <si>
    <t>Sensor befestigung</t>
  </si>
  <si>
    <t>Unterlegscheiben M2 Dicke 0,5mm</t>
  </si>
  <si>
    <t>https://www.conrad.de/de/unterlegscheiben-innen-durchmesser-22-mm-m2-din-125-stahl-verzinkt-100-st-toolcraft-a22-d125a2k-194696-521659.html</t>
  </si>
  <si>
    <t>Riemenspanner Kugellager</t>
  </si>
  <si>
    <t>Silberstahlwelle 6mm Durchmesser</t>
  </si>
  <si>
    <t>http://www.cncshop.at/index.php?a=10273</t>
  </si>
  <si>
    <t>Übersetzung HandgelenkNicker</t>
  </si>
  <si>
    <t>Drehmoment HandgelenkNicker Motor</t>
  </si>
  <si>
    <t>Dimensionierung HandgelenkNicker</t>
  </si>
  <si>
    <t>Drehmoment HandgelenkDreher Motor</t>
  </si>
  <si>
    <t>Lagerung Wrist</t>
  </si>
  <si>
    <t>Befestigung WristFlansch</t>
  </si>
  <si>
    <t>Befestigung wristFlansch</t>
  </si>
  <si>
    <t>RillenKugellager 6x19x6</t>
  </si>
  <si>
    <t>http://www.kugellager-express.de/miniatur-kugellager-626-626z-626rs-6x19x6-mm.html</t>
  </si>
  <si>
    <t>Lagerung Zwischenwelle</t>
  </si>
  <si>
    <t>Lagerung RiemenSpanner</t>
  </si>
  <si>
    <t>http://www.kugellager-express.de/miniatur-kugellager-623-623z-623rs-3x10x4-mm.html</t>
  </si>
  <si>
    <t>Rillenkugellager 3x10x4</t>
  </si>
  <si>
    <t>Silberstahlwelle 3mm Durchmesser</t>
  </si>
  <si>
    <t>Welle Zwischenwelle</t>
  </si>
  <si>
    <t>http://www.cncshop.at/index.php?a=10275</t>
  </si>
  <si>
    <t>Zylinderkopfschraube Innensechskant M3 12mm</t>
  </si>
  <si>
    <t>http://www.amazon.de/Zylinderkopfschrauben-Edelstahl-Zylinderschrauben-Inbusschrauben-Innensechskant/dp/B018XL5XNG/ref=sr_1_1?ie=UTF8&amp;qid=1459036461&amp;sr=8-1&amp;keywords=zylinderkopfschraube+Innensechskant+M3+12mm</t>
  </si>
  <si>
    <t>Zylinderkopfschraube Innensechskant M3 25mm</t>
  </si>
  <si>
    <t>http://www.cncshop.at/index.php?a=10135</t>
  </si>
  <si>
    <t>Muttern M3, Schlüsselweite 5.5 mm</t>
  </si>
  <si>
    <t>Vierkant Mutter M3 Breite 5.5mm</t>
  </si>
  <si>
    <t>Muttern M2</t>
  </si>
  <si>
    <t>Lagerung Ellenbogen</t>
  </si>
  <si>
    <t>Befestigung Sensordeckel</t>
  </si>
  <si>
    <t>Senkkopfschraube Innensechskant M3 10mm</t>
  </si>
  <si>
    <t>Befestigung Kabelkanaldeckel</t>
  </si>
  <si>
    <t>http://www.amazon.de/St%C3%BCck-Senkkopfschraube-Innensechskant-7991-Edelstahl/dp/B005HO2N2M</t>
  </si>
  <si>
    <t>Zylinderkopfschraube Innensechskant M3 40mm</t>
  </si>
  <si>
    <t>Zylinderkopfschraube Innensechskant M3 30mm</t>
  </si>
  <si>
    <t>Befestigung Gabel/Block lange Befestigung</t>
  </si>
  <si>
    <t>Befestigung Gabel/Block kurze Befestigung</t>
  </si>
  <si>
    <t xml:space="preserve">Befestigung Gabel/Block </t>
  </si>
  <si>
    <t>Riemenspanner Gabel/Block</t>
  </si>
  <si>
    <t>Zylinderkopfschraube Innensechskant M3 45mm</t>
  </si>
  <si>
    <t>Gewindeschneider M3</t>
  </si>
  <si>
    <t>Silberstahlwelle 8mm Durchmesser</t>
  </si>
  <si>
    <t>https://www.conrad.de/de/silberstahl-welle-500-mm-8-mm-237205.html</t>
  </si>
  <si>
    <t>Riemenscheibenachse</t>
  </si>
  <si>
    <t>http://www.cncshop.at/index.php?a=10071</t>
  </si>
  <si>
    <t>http://www.cncshop.at/index.php?a=10053</t>
  </si>
  <si>
    <t>Metallbohrer 8mm</t>
  </si>
  <si>
    <t>Metallbohrer 6mm</t>
  </si>
  <si>
    <t>Werkzeug</t>
  </si>
  <si>
    <t>Madenschraube M3 5mm</t>
  </si>
  <si>
    <t>Madenschraube M3 16mm</t>
  </si>
  <si>
    <t>Unterlegscheiben 8mm Innendurchmesser</t>
  </si>
  <si>
    <t>Riemenspanner Motor</t>
  </si>
  <si>
    <t>Befestigung Block/Basis</t>
  </si>
  <si>
    <t>Senkkopfschraube Innensechskant M3 25mm</t>
  </si>
  <si>
    <t xml:space="preserve">Verbindung Befestigung Basishälften </t>
  </si>
  <si>
    <t>Befestigung Motordeckel</t>
  </si>
  <si>
    <t>Rillenkugellager  4 x13 x 5 mm mit Flansch</t>
  </si>
  <si>
    <t>http://www.cncshop.at/index.php?a=10311</t>
  </si>
  <si>
    <t>Berechnung Zahnriemenscheibe T5</t>
  </si>
  <si>
    <t>http://de.nanotec.com/produkte/541-st6018-schrittmotor-nema-24/</t>
  </si>
  <si>
    <t>Zahnriemen T2,5 230mm 6mm Breite</t>
  </si>
  <si>
    <t>Zahnriemen T2,5 160mm 6mm Breite</t>
  </si>
  <si>
    <t>Zahnriemen T5 340mm 10mm Breite</t>
  </si>
  <si>
    <t>Zahnriemen T5 510mm 10mm Breite</t>
  </si>
  <si>
    <t>Zahnriemen T2,5 200mm 6mm Breite</t>
  </si>
  <si>
    <t>Servo</t>
  </si>
  <si>
    <t>http://www.ebay.de/itm/111955026833</t>
  </si>
  <si>
    <t>https://www.kugellager-express.de/flanschkugellager-f624-f-624-4x13x5-mm.html</t>
  </si>
  <si>
    <t>https://www.kugellager-express.de/miniatur-kugellager-624-624z-624rs-4x13x5-mm.html?XTCsid=jn6do78lmla6nb2l5bmaiarad4</t>
  </si>
  <si>
    <t xml:space="preserve">Rillenkugellager  4 x13 x 5 mm </t>
  </si>
  <si>
    <t>https://www.conrad.de/de/unterlegscheiben-innen-durchmesser-32-mm-m3-din-125-kunststoff-10-st-toolcraft-800281-800281.html</t>
  </si>
  <si>
    <t>Unterlegscheiben M3 Kunststoff 0,8mm, Außendurchmesser 7mm</t>
  </si>
  <si>
    <t>Unterlegscheiben M3 Dicke 0,5mm, Außendurchmesser 7mm</t>
  </si>
  <si>
    <t>Riemenspanner</t>
  </si>
  <si>
    <t>http://www.ebay.de/itm/Senkkopfschrauben-Innensechskant-DIN-7991-M3-Laengen-von-4-bis-45-mm-V2A-A2-/121104449387</t>
  </si>
  <si>
    <t>Zwischenachse</t>
  </si>
  <si>
    <t>http://www.cncshop.at/index.php?a=10326</t>
  </si>
  <si>
    <t>Zahnriemen T5 500mm 10mm Breite</t>
  </si>
  <si>
    <t>Zahnriemen T5 480mm 10mm Breite</t>
  </si>
  <si>
    <t>http://www.cncshop.at/index.php?a=10325</t>
  </si>
  <si>
    <t>MotorRiemenscheibe</t>
  </si>
  <si>
    <t>Motorachse Riemen (331mm)</t>
  </si>
  <si>
    <t>Motorbefestigung</t>
  </si>
  <si>
    <t>Block/Gabel Befestigung</t>
  </si>
  <si>
    <t>Gabel/Basis Befestigung</t>
  </si>
  <si>
    <t>Rillenkugellager 8x22x7</t>
  </si>
  <si>
    <t>https://www.kugellager-express.de/miniatur-kugellager-608-608z-608rs-8x22x7-mm.html?XTCsid=jn6do78lmla6nb2l5bmaiarad4</t>
  </si>
  <si>
    <t>Oberarm-Kugellager</t>
  </si>
  <si>
    <t>Hüftdrehgelenk</t>
  </si>
  <si>
    <t>https://www.conrad.de/de/abstandsbolzen-2-x-innengewinde-m3-messing-abstandsmass-20-mm-ii-ms-3-55-20-1-st-526533.html</t>
  </si>
  <si>
    <t>Distanzbolzen 2x Innen M3 20mm, Schlüsselweite 5,5mm</t>
  </si>
  <si>
    <t>https://www.conrad.de/de/reely-stahl-gewindestange-500-mm-m3-stahl-237094.html</t>
  </si>
  <si>
    <t>Gewindestange M3</t>
  </si>
  <si>
    <t>https://www.conrad.de/de/unterlegscheiben-innen-durchmesser-32-mm-m3-din-9021-stahl-verzinkt-100-st-toolcraft-32-d9021a2k-194723-521800.html</t>
  </si>
  <si>
    <t>Unterlegscheiben M3 Stahl  0,8mm, Außendurchmesser 9mm</t>
  </si>
  <si>
    <t>http://kugellagershop-duesseldorf.de/61818-2RS-/-6818-2RS</t>
  </si>
  <si>
    <t>Rillenkugellager DIN 625 SKF - SKF 61818 - 85x110x13</t>
  </si>
  <si>
    <t>Befestigung DrehlagerDeckel/Drehlager/Basis</t>
  </si>
  <si>
    <t>Befestigung HüftMotorBasis</t>
  </si>
  <si>
    <t>RiemenSpanner HüftMotor</t>
  </si>
  <si>
    <t>HüftMotor</t>
  </si>
  <si>
    <t>http://www.cncshop.at/index.php?a=10331</t>
  </si>
  <si>
    <t>Zahnriemen T5 560mm 10mm Breite</t>
  </si>
  <si>
    <t>Status</t>
  </si>
  <si>
    <t>Total</t>
  </si>
  <si>
    <t>Still Open</t>
  </si>
  <si>
    <t>http://kugellagershop-duesseldorf.de/epages/1e704d71-b8d3-4e48-be33-4758de826e89.sf/de_DE/?ObjectPath=/Shops/1e704d71-b8d3-4e48-be33-4758de826e89/Products/618172RS</t>
  </si>
  <si>
    <t>Zylinderkopfschraube Innensechskant M2 12mm</t>
  </si>
  <si>
    <t>Tutorial</t>
  </si>
  <si>
    <t>http://robottini.altervista.org/dongbu-herkulex-arduino-library-2</t>
  </si>
  <si>
    <t>Arduino library</t>
  </si>
  <si>
    <t>http://robottini.altervista.org/wp-content/uploads/2012/12/Herkulex.zip</t>
  </si>
  <si>
    <t>HerkuleX Servo DRS-0101</t>
  </si>
  <si>
    <t>Elektronikbedarf</t>
  </si>
  <si>
    <t>Buchsenleisten RM127 20-polig</t>
  </si>
  <si>
    <t>http://www.3dmensionals.de/3d-filamente/zortrax</t>
  </si>
  <si>
    <t>Zortrax ABS Filament rot</t>
  </si>
  <si>
    <t>http://www.3dmensionals.de/original-zortrax-z-abs-filament-1-75mm-rot-red</t>
  </si>
  <si>
    <t>-</t>
  </si>
  <si>
    <t>Steckerleiste RM127</t>
  </si>
  <si>
    <t>Rohr 4mmx3.1mm (=M3)</t>
  </si>
  <si>
    <t>https://www.conrad.de/de/pb-fastener-10er-set-abstandsbolzen-5-mm-stahl-verzinkt-m3-10-st-521624.html</t>
  </si>
  <si>
    <t>Distanzbolzen M3 5mm, Schlüsselweite 5,5mm</t>
  </si>
  <si>
    <t xml:space="preserve">Welle Riemenspanner </t>
  </si>
  <si>
    <t>Zortrax Ultrat Filament rot</t>
  </si>
  <si>
    <t>on stock</t>
  </si>
  <si>
    <t>Article</t>
  </si>
  <si>
    <t>Used in Component</t>
  </si>
  <si>
    <t>Dealer</t>
  </si>
  <si>
    <t>Number</t>
  </si>
  <si>
    <t>http://www.ebay.de/itm/191777095007?var=490801405798</t>
  </si>
  <si>
    <t>http://www.ebay.de/itm/191777095007?var=490801405809</t>
  </si>
  <si>
    <t>http://www.ebay.de/itm/191777095007?var=490801405876</t>
  </si>
  <si>
    <t>http://www.ebay.de/itm/401011184909?var=670540129220</t>
  </si>
  <si>
    <t>http://www.ebay.de/itm/120518872335</t>
  </si>
  <si>
    <t xml:space="preserve">NEMA 24 - 60x60x57 - 1.9Nm - 6,35mm Achse - 2.8A - 2.ST6018M2008 </t>
  </si>
  <si>
    <t>Stepper Motor Driver 4A bipolar</t>
  </si>
  <si>
    <t xml:space="preserve">Servokabel dick </t>
  </si>
  <si>
    <t>https://www.conrad.de/de/steuerleitung-liycy-4-x-025-mm-grau-kabeltronik-20402500-meterware-486447.html</t>
  </si>
  <si>
    <t xml:space="preserve">Servokabel dünn </t>
  </si>
  <si>
    <t>https://www.conrad.de/de/steuerleitung-liycy-4-x-014-mm-schwarz-kabeltronik-96042609-meterware-486563.html</t>
  </si>
  <si>
    <t>http://eu.stepperonline.com/switching-power-supply-350w-24v-146a-for-cnc-router-kits-115v230v-s35024-p-177.html</t>
  </si>
  <si>
    <t>PowerSupply 24V 350W 14A</t>
  </si>
  <si>
    <t>http://www.amazon.de/EXACT-30101-Handgewindebohrer-Satz-HSS/dp/B003A5V7NQ/ref=sr_1_1?ie=UTF8&amp;qid=1461079955&amp;sr=8-1&amp;keywords=gewindeschneider+M3</t>
  </si>
  <si>
    <t>Metallbohrer 2.5mm (als M3 Kernlochborer)</t>
  </si>
  <si>
    <t>Metallbohrer 3mm</t>
  </si>
  <si>
    <t>https://www.conrad.de/de/hss-metall-spiralbohrer-8-mm-cd-juwel-gesamtlaenge-117-mm-rollgewalzt-din-338-zylinderschaft-1-st-825026.html</t>
  </si>
  <si>
    <t>https://www.conrad.de/de/hss-metall-spiralbohrer-6-mm-cd-juwel-1108060023-gesamtlaenge-93-mm-rollgewalzt-din-338-zylinderschaft-1-st-824976.html</t>
  </si>
  <si>
    <t>https://www.conrad.de/de/hss-metall-spiralbohrer-3-mm-cd-juwel-gesamtlaenge-61-mm-rollgewalzt-din-338-zylinderschaft-5-st-824887.html</t>
  </si>
  <si>
    <t>https://www.conrad.de/de/hss-metall-spiralbohrer-25-mm-heller-27416-6-gesamtlaenge-57-mm-rollgewalzt-din-338-zylinderschaft-2-st-802540.html</t>
  </si>
  <si>
    <t>500ml Aceton</t>
  </si>
  <si>
    <t>Baumarkt</t>
  </si>
  <si>
    <t>https://www.conrad.de/de/stiftleiste-standard-anzahl-reihen-1-polzahl-je-reihe-20-w-p-products-707-1-20-1-20-00-1-st-719593.html</t>
  </si>
  <si>
    <t>https://www.conrad.de/de/cart/confirmation.html</t>
  </si>
  <si>
    <t>http://www.pibot.com/pibot-stepper-driver-rev2-2.html</t>
  </si>
  <si>
    <t>NEMA 23 - 57x57x56 - 1,26Nm - 6,35mm Achse - 2.8A</t>
  </si>
  <si>
    <t>http://www.ebay.de/itm/310530719926?var=610168956880</t>
  </si>
  <si>
    <t>Zylinderkopfschraube Innensechskant M3 16mm</t>
  </si>
  <si>
    <t>http://www.ebay.de/itm/262038499806</t>
  </si>
  <si>
    <t>http://www.ebay.de/itm/262038536473</t>
  </si>
  <si>
    <t>http://www.ebay.de/itm/131783082611</t>
  </si>
  <si>
    <t>https://www.conrad.de/de/elektronik-u-feinmechanik-innen-sechskantschraubendreher-wiha-picofinish-schluesselweite-metrisch-25-mm-klingenlaenge-60-mm-824062.html</t>
  </si>
  <si>
    <t>Innensechskant schraubendreher</t>
  </si>
  <si>
    <t>Unterlegscheiben M3  0,8mm, Außendurchmesser 9mm</t>
  </si>
  <si>
    <t>https://www.conrad.de/de/unterlegscheiben-innen-durchmesser-32-mm-m3-din-9021-kunststoff-100-st-toolcraft-32-d9021-poly-194730-521735.html</t>
  </si>
  <si>
    <t>Handmontage</t>
  </si>
  <si>
    <t>Handgelenk</t>
  </si>
  <si>
    <t>Ellbogen</t>
  </si>
  <si>
    <t>Schulter</t>
  </si>
  <si>
    <t>Hüfte</t>
  </si>
  <si>
    <t>#VPE</t>
  </si>
  <si>
    <t>VPE</t>
  </si>
  <si>
    <t>Preis</t>
  </si>
  <si>
    <t>benötigt</t>
  </si>
  <si>
    <t>Summe</t>
  </si>
  <si>
    <t>Rest</t>
  </si>
  <si>
    <t>Habs</t>
  </si>
  <si>
    <t>Bestellt</t>
  </si>
  <si>
    <t>retourniert</t>
  </si>
  <si>
    <t>http://www.cncshop.at/index.php?a=10117</t>
  </si>
  <si>
    <t>http://www.cncshop.at/index.php?a=10051</t>
  </si>
  <si>
    <t>Unterlegscheiben M3 Kunststoff 0,8mm, Außendurchmesser 9mm</t>
  </si>
  <si>
    <t>en</t>
  </si>
  <si>
    <t>Micro-stepping Setting</t>
  </si>
  <si>
    <t>This picture shows how you can change the micro-stepping settings of the driver.</t>
  </si>
  <si>
    <t>Output Limit current Adjust</t>
  </si>
  <si>
    <t>You can approximate the current limit by the position of the marked point on the trimmer. DO NOT EXCEED YOUR MOTOR’S CURRENT RATING.</t>
  </si>
  <si>
    <t>OR the current limit can be adjusted by measuring VREF and turning the trimmer. Connect the [+] of the voltmeter to VREF and the [-] lead to GND and read the value.</t>
  </si>
  <si>
    <t>Current Limit = VREF ÷ 0.6801</t>
  </si>
  <si>
    <t>So for example the Max current is: 2.81V ÷ 0.6801 = 4.1317A</t>
  </si>
  <si>
    <t>PiBot Stepper Driver</t>
  </si>
  <si>
    <t>http://www.cncshop.at/index.php?a=10123</t>
  </si>
  <si>
    <t>http://www.cncshop.at/index.php?a=10125</t>
  </si>
  <si>
    <t>http://www.cncshop.at/index.php?a=10132</t>
  </si>
  <si>
    <t>http://www.cncshop.at/index.php?a=10124</t>
  </si>
  <si>
    <t>http://www.cncshop.at/index.php?a=10129</t>
  </si>
  <si>
    <t>http://www.cncshop.at/index.php?a=10272</t>
  </si>
  <si>
    <t>Zahnriemen T2,5 145mm 6mm Breite</t>
  </si>
  <si>
    <t>Zahnriemen T2,5 120mm 6mm Breite</t>
  </si>
  <si>
    <t>http://www.cncshop.at/index.php?a=10271</t>
  </si>
  <si>
    <t>http://www.cncshop.at/index.php?a=10274</t>
  </si>
  <si>
    <t>Zahnriemen T2,5 177,5mm 6mm Breite</t>
  </si>
  <si>
    <t>Zahnrad klein zwischenwelle</t>
  </si>
  <si>
    <t>http://www.cncshop.at/index.php?a=10052</t>
  </si>
  <si>
    <t>HüftMotor Zahnriemenrad</t>
  </si>
  <si>
    <t>http://www.cncshop.at/index.php?a=10327&amp;</t>
  </si>
  <si>
    <t>http://www.cncshop.at/index.php?a=10120&amp;</t>
  </si>
  <si>
    <t>http://www.cncshop.at/index.php?a=10055&amp;</t>
  </si>
  <si>
    <t>GabelBasis Verschraubung</t>
  </si>
  <si>
    <t>Gabel Verschraubung</t>
  </si>
  <si>
    <t>Gehäuse Verschraubung am Handgelenk</t>
  </si>
  <si>
    <t>Gehäuse Verschraubung im Kern</t>
  </si>
  <si>
    <t>http://www.cncshop.at/index.php?a=10277</t>
  </si>
  <si>
    <t>Zahnriemen T2,5 245mm 6mm Breite</t>
  </si>
  <si>
    <t>Zahnriemen Motor/ZwischenWelle (Länge ohne Spanner 175</t>
  </si>
  <si>
    <t>Zahnriemenscheibe T2,5, 22 Zähne (d=17,51)</t>
  </si>
  <si>
    <t>Zahnriemenscheibe T2,5, 24 Zähne (d=19,1)</t>
  </si>
  <si>
    <t>Zahnriemenscheibe T2,5, 20 Zähne (d=15,92)</t>
  </si>
  <si>
    <t>Zahnriemenscheibe T2,5, 16 Zähne (d=12,73)</t>
  </si>
  <si>
    <t>Zahnriemenscheibe T2,5, 12 Zähne (d=9,55)</t>
  </si>
  <si>
    <t>Zahnriemenscheibe T2,5, 30 Zähne (d=23,87)</t>
  </si>
  <si>
    <t>Zahnriemenscheibe T2,5, 40 Zähne (d=31,83)</t>
  </si>
  <si>
    <t>Zahnriemenscheibe T2,5, 60 Zähne (d=47,75)</t>
  </si>
  <si>
    <t>Zahnriemenscheibe T2,5, 44 Zähne (d=35,01)</t>
  </si>
  <si>
    <t>noch zu bestellen!</t>
  </si>
  <si>
    <t>Artikel</t>
  </si>
  <si>
    <t>http://www.cncshop.at/index.php?a=10119</t>
  </si>
  <si>
    <t xml:space="preserve"> Zahnriemenscheibe T2,5, 15 Zähne (d=11,94)</t>
  </si>
  <si>
    <t>Zahnriemenscheibe T2,5, 18 Zähne (d=14,32)</t>
  </si>
  <si>
    <t>http://www.cncshop.at/index.php?a=10056</t>
  </si>
  <si>
    <t>Zahnriemenscheibe T5, 18 Zähne (d=28,65)</t>
  </si>
  <si>
    <t>http://www.cncshop.at/index.php?a=10058</t>
  </si>
  <si>
    <t>Zahnriemenscheibe T5, 20 Zähne (d=31,83)</t>
  </si>
  <si>
    <t>http://www.cncshop.at/index.php?a=10059</t>
  </si>
  <si>
    <t>Zahnriemenscheibe T5, 22 Zähne (d=35,01)</t>
  </si>
  <si>
    <t>http://www.cncshop.at/index.php?a=10310</t>
  </si>
  <si>
    <t>Zahnriemen T5 330mm 10mm Breite</t>
  </si>
  <si>
    <t>Zahnriemenscheibe T5, 16 Zähne (d=25,46)</t>
  </si>
  <si>
    <t>Zahnriemenscheibe T5, 14 Zähne (d=22,48)</t>
  </si>
  <si>
    <t>Zahnriemenscheibe T5, 12 Zähne (d=19,10)</t>
  </si>
  <si>
    <t>http://www.cncshop.at/index.php?a=10279</t>
  </si>
  <si>
    <t>Zahnriemen T2,5 285mm 6mm Breite</t>
  </si>
  <si>
    <t>http://www.cncshop.at/index.php?a=10067</t>
  </si>
  <si>
    <t>Zahnriemenscheibe T2,5, 36 Zähne (d=57,30)</t>
  </si>
  <si>
    <t>Zwischenwelle Zahnriemenscheibe Motor/Zwischenwelle</t>
  </si>
  <si>
    <t>Zahnriemenscheibe T5, 10 Zähne (d=15,92)</t>
  </si>
  <si>
    <t>Zahnriemenscheibe T5, 48 Zähne (d=76,39)</t>
  </si>
  <si>
    <t>http://www.cncshop.at/index.php?a=10306&amp;</t>
  </si>
  <si>
    <t>Zahnriemen T5 295mm 10mm Breite</t>
  </si>
  <si>
    <t>Zahnriemen ZwischenWelle/WristFlansch (Länge 121 bei Z22 Zähne Rad)</t>
  </si>
  <si>
    <t>Kugelkopf M3 2 mm Duraluminium</t>
  </si>
  <si>
    <t>http://www.omc-stepperonline.com/nema-17-bipolar-step-motor-35v-1a-13ncm184ozin-17hs081004s-p-101.html</t>
  </si>
  <si>
    <t>NEMA 17 - 42x42x21 - 0,13Nm - 5mm Achse - 1.2A</t>
  </si>
  <si>
    <t>https://www.kugellager-express.de/flanschkugellager-f692-f-692-2x6x3-mm.html</t>
  </si>
  <si>
    <t>Rillenkugellager 2x6x3 mit Flansch</t>
  </si>
  <si>
    <t>Lager für Greifer</t>
  </si>
  <si>
    <t>Rillenkugellager für Zahnräder</t>
  </si>
  <si>
    <t>https://www.kugellager-express.de/request_port.php?module=ProductDetails&amp;id=1094{1}1440</t>
  </si>
  <si>
    <t>Rillenkugellager 3x6x2,5</t>
  </si>
  <si>
    <t xml:space="preserve">Achsen für Greifer und Zahnräder </t>
  </si>
  <si>
    <t>Servo 12 kg/cm ergibt Greifkraft von 12N bei Greiferlänge von 100mm</t>
  </si>
  <si>
    <t>Rillenkugellager 3x7x3</t>
  </si>
  <si>
    <t>https://www.kugellager-express.de/product_info.php?info=p464{1}1440_miniatur-kugellager---683---683z---683rs---3x7x3-mm.html&amp;no_boost=1</t>
  </si>
  <si>
    <t xml:space="preserve">Herkulex Servo DRS - 0101 </t>
  </si>
  <si>
    <t>Korpusverschraubung</t>
  </si>
  <si>
    <t>https://www.kugellager-express.de/miniatur-kugellager-693-693z-693rs-3x8x4-mm.html</t>
  </si>
  <si>
    <t>Rillenkugellager 3x8x3</t>
  </si>
  <si>
    <t>http://www.exp-tech.de/stepper-motor-nema-17-200-steps-rev-12v-350ma</t>
  </si>
  <si>
    <t>NEMA 17 - 42x42x33 - 0,2Nm - 5mm Achse - 0,35A 12V</t>
  </si>
  <si>
    <t>NEMA 17 - 42x42x34 - 0,26Nm - 5mm Achse - 0.4A 12V</t>
  </si>
  <si>
    <t>http://www.omc-stepperonline.com/nema-17-bipolar-stepper-12v-04a-40ncm567ozin-17hs150404s-p-14.html</t>
  </si>
  <si>
    <t>NEMA 17 - 42x42x39 - 0,40Nm - 5mm Achse - 0,40A 12V</t>
  </si>
  <si>
    <t>Ref Voltage PiBot [V]</t>
  </si>
  <si>
    <t xml:space="preserve">NEMA 24 - 60x60x57 - 1.9Nm - 6,35mm Achse - 1.4A - 2.ST6018M2008 </t>
  </si>
  <si>
    <t>Zylinderkopfschraube Innensechskant M3 35mm</t>
  </si>
  <si>
    <t>Zahnriemen Motor/Zwischenwelle</t>
  </si>
  <si>
    <t>Ritzel Motor</t>
  </si>
  <si>
    <t>Zahnriemen Zwischenwelle/Gelenk</t>
  </si>
  <si>
    <t xml:space="preserve">Unterarm2 - Zahnriemen </t>
  </si>
  <si>
    <t>Dimensionierung Ellbogendreher</t>
  </si>
  <si>
    <t>Lager Gehäuse/Schulter</t>
  </si>
  <si>
    <t>Rillenkugellager 3x8x4</t>
  </si>
  <si>
    <t>Zahnrad für Zwischenwelle (514mm)</t>
  </si>
  <si>
    <t>Noch zu besorgen</t>
  </si>
  <si>
    <t>https://www.kugellager-express.de/miniatur-kugellager-mr83-mr-83-3x8x3-mm.html</t>
  </si>
  <si>
    <t>Drehmoment Oberarm Motor</t>
  </si>
  <si>
    <t>Passfeder 2x2x8 DIN 6885</t>
  </si>
  <si>
    <t>http://www.agrolager.de/product_info.php?products_id=40002800</t>
  </si>
  <si>
    <t>Motor Well/Nabe Verbindung</t>
  </si>
  <si>
    <t>Übersetzung Hüfte</t>
  </si>
  <si>
    <t>Riemen Zwischachse/Oberarm</t>
  </si>
  <si>
    <t>GB24H288-40-4A</t>
  </si>
  <si>
    <t>NEMA 24 - 60x60x87 - 3.0Nm - 8mm Achse - 4.0A</t>
  </si>
  <si>
    <t>Zahnriemenrad T2.5 32Z</t>
  </si>
  <si>
    <t>Ellbow, Zwischenwelle</t>
  </si>
  <si>
    <t>Zahnriemenscheibe</t>
  </si>
  <si>
    <t>Zahnriemen T5 430mm 10mm Breite</t>
  </si>
  <si>
    <t>Zahnriemen T5 375mm 10mm Breite</t>
  </si>
  <si>
    <t>Zwischenwelle Zahnriemenscheibe Ellbogenflansch</t>
  </si>
  <si>
    <t>Zahnriemenscheibe T2,5, 32 Zähne (d=23,87)</t>
  </si>
  <si>
    <t>http://www.cncshop.at/index.php?a=10130</t>
  </si>
  <si>
    <t>Zahnriemen T5 450mm</t>
  </si>
  <si>
    <t>Schulter Zahnriemen Antrieb zwischenwelle</t>
  </si>
  <si>
    <t>Zahnriemen T5 450mm 10mm Breite</t>
  </si>
  <si>
    <t>Rillenkugellager DIN 625 SKF - SKF 61818 - 80x100x10</t>
  </si>
  <si>
    <t xml:space="preserve">Hüftmotor Zahnriemen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</si>
</sst>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0.0"/>
    <numFmt numFmtId="165" formatCode="_-* #,##0.0\ _€_-;\-* #,##0.0\ _€_-;_-* &quot;-&quot;??\ _€_-;_-@_-"/>
    <numFmt numFmtId="166" formatCode="_-* #,##0\ _€_-;\-* #,##0\ _€_-;_-* &quot;-&quot;??\ _€_-;_-@_-"/>
    <numFmt numFmtId="167" formatCode="_-* #,##0.00\ [$€-407]_-;\-* #,##0.00\ [$€-407]_-;_-* &quot;-&quot;??\ [$€-407]_-;_-@_-"/>
    <numFmt numFmtId="168" formatCode="0.000\ \V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color theme="1"/>
      <name val="Arial Unicode MS"/>
      <family val="2"/>
    </font>
    <font>
      <b/>
      <sz val="13.5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74">
    <xf numFmtId="0" fontId="0" fillId="0" borderId="0" xfId="0"/>
    <xf numFmtId="0" fontId="0" fillId="0" borderId="0" xfId="0" applyAlignment="1">
      <alignment horizontal="right"/>
    </xf>
    <xf numFmtId="2" fontId="0" fillId="0" borderId="0" xfId="0" applyNumberFormat="1"/>
    <xf numFmtId="9" fontId="0" fillId="0" borderId="0" xfId="0" applyNumberFormat="1"/>
    <xf numFmtId="164" fontId="0" fillId="0" borderId="0" xfId="0" applyNumberFormat="1"/>
    <xf numFmtId="1" fontId="0" fillId="0" borderId="0" xfId="0" applyNumberFormat="1"/>
    <xf numFmtId="0" fontId="1" fillId="0" borderId="0" xfId="0" applyFont="1"/>
    <xf numFmtId="1" fontId="1" fillId="0" borderId="0" xfId="0" applyNumberFormat="1" applyFont="1"/>
    <xf numFmtId="0" fontId="0" fillId="0" borderId="0" xfId="0" applyFont="1"/>
    <xf numFmtId="0" fontId="2" fillId="0" borderId="0" xfId="1"/>
    <xf numFmtId="0" fontId="0" fillId="0" borderId="0" xfId="0" applyAlignment="1">
      <alignment horizontal="center" vertical="center" wrapText="1"/>
    </xf>
    <xf numFmtId="0" fontId="2" fillId="0" borderId="0" xfId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165" fontId="0" fillId="0" borderId="0" xfId="2" applyNumberFormat="1" applyFont="1"/>
    <xf numFmtId="166" fontId="0" fillId="0" borderId="0" xfId="2" applyNumberFormat="1" applyFont="1"/>
    <xf numFmtId="2" fontId="0" fillId="0" borderId="0" xfId="0" applyNumberFormat="1" applyAlignment="1"/>
    <xf numFmtId="2" fontId="0" fillId="0" borderId="0" xfId="0" applyNumberFormat="1" applyAlignment="1">
      <alignment horizontal="right"/>
    </xf>
    <xf numFmtId="0" fontId="0" fillId="0" borderId="0" xfId="0" applyAlignment="1">
      <alignment horizontal="center" vertical="center" wrapText="1"/>
    </xf>
    <xf numFmtId="167" fontId="0" fillId="0" borderId="0" xfId="0" applyNumberFormat="1"/>
    <xf numFmtId="44" fontId="0" fillId="0" borderId="0" xfId="3" applyFont="1"/>
    <xf numFmtId="0" fontId="2" fillId="0" borderId="0" xfId="1" applyAlignment="1">
      <alignment horizontal="center" vertical="center"/>
    </xf>
    <xf numFmtId="0" fontId="2" fillId="0" borderId="0" xfId="1" applyAlignment="1">
      <alignment horizontal="left" vertical="center"/>
    </xf>
    <xf numFmtId="0" fontId="0" fillId="0" borderId="0" xfId="0" applyAlignment="1"/>
    <xf numFmtId="0" fontId="2" fillId="0" borderId="0" xfId="1" applyAlignme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166" fontId="0" fillId="0" borderId="0" xfId="0" applyNumberFormat="1"/>
    <xf numFmtId="167" fontId="5" fillId="0" borderId="0" xfId="0" applyNumberFormat="1" applyFont="1"/>
    <xf numFmtId="167" fontId="4" fillId="0" borderId="0" xfId="3" applyNumberFormat="1" applyFont="1" applyAlignment="1">
      <alignment horizontal="right"/>
    </xf>
    <xf numFmtId="167" fontId="0" fillId="0" borderId="0" xfId="0" applyNumberFormat="1" applyAlignment="1">
      <alignment horizontal="right"/>
    </xf>
    <xf numFmtId="166" fontId="0" fillId="0" borderId="0" xfId="2" applyNumberFormat="1" applyFont="1" applyAlignment="1">
      <alignment horizontal="right"/>
    </xf>
    <xf numFmtId="166" fontId="0" fillId="0" borderId="0" xfId="0" applyNumberFormat="1" applyAlignment="1">
      <alignment horizontal="right"/>
    </xf>
    <xf numFmtId="167" fontId="6" fillId="0" borderId="0" xfId="0" applyNumberFormat="1" applyFont="1" applyAlignment="1">
      <alignment horizontal="right"/>
    </xf>
    <xf numFmtId="0" fontId="1" fillId="0" borderId="0" xfId="0" applyFont="1" applyAlignment="1"/>
    <xf numFmtId="0" fontId="1" fillId="0" borderId="0" xfId="0" applyFont="1" applyAlignment="1">
      <alignment horizontal="right"/>
    </xf>
    <xf numFmtId="0" fontId="7" fillId="0" borderId="0" xfId="0" applyFont="1" applyAlignment="1">
      <alignment vertical="center"/>
    </xf>
    <xf numFmtId="0" fontId="0" fillId="0" borderId="1" xfId="0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0" fillId="0" borderId="2" xfId="0" applyBorder="1"/>
    <xf numFmtId="0" fontId="8" fillId="0" borderId="0" xfId="0" applyFont="1" applyAlignment="1">
      <alignment vertical="center"/>
    </xf>
    <xf numFmtId="0" fontId="0" fillId="0" borderId="0" xfId="0" applyAlignment="1">
      <alignment horizontal="left" vertical="center" indent="1"/>
    </xf>
    <xf numFmtId="0" fontId="9" fillId="0" borderId="0" xfId="0" applyFont="1" applyAlignment="1">
      <alignment vertical="center"/>
    </xf>
    <xf numFmtId="0" fontId="0" fillId="0" borderId="3" xfId="0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0" xfId="0" applyBorder="1"/>
    <xf numFmtId="0" fontId="1" fillId="0" borderId="0" xfId="0" applyFont="1" applyBorder="1" applyAlignment="1">
      <alignment vertical="center" wrapText="1"/>
    </xf>
    <xf numFmtId="0" fontId="10" fillId="0" borderId="0" xfId="0" applyFont="1"/>
    <xf numFmtId="166" fontId="2" fillId="0" borderId="0" xfId="1" applyNumberFormat="1"/>
    <xf numFmtId="0" fontId="0" fillId="0" borderId="0" xfId="0" applyFill="1"/>
    <xf numFmtId="166" fontId="0" fillId="0" borderId="0" xfId="0" applyNumberFormat="1" applyFill="1"/>
    <xf numFmtId="0" fontId="0" fillId="0" borderId="0" xfId="0" applyFill="1" applyAlignment="1">
      <alignment horizontal="left" vertical="center" wrapText="1"/>
    </xf>
    <xf numFmtId="0" fontId="2" fillId="0" borderId="0" xfId="1" applyFill="1"/>
    <xf numFmtId="167" fontId="0" fillId="0" borderId="0" xfId="0" applyNumberFormat="1" applyFill="1"/>
    <xf numFmtId="166" fontId="0" fillId="0" borderId="0" xfId="2" applyNumberFormat="1" applyFont="1" applyFill="1" applyAlignment="1">
      <alignment horizontal="right"/>
    </xf>
    <xf numFmtId="166" fontId="0" fillId="0" borderId="0" xfId="0" applyNumberFormat="1" applyFill="1" applyAlignment="1">
      <alignment horizontal="right"/>
    </xf>
    <xf numFmtId="167" fontId="4" fillId="0" borderId="0" xfId="3" applyNumberFormat="1" applyFont="1" applyFill="1" applyAlignment="1">
      <alignment horizontal="right"/>
    </xf>
    <xf numFmtId="0" fontId="6" fillId="0" borderId="0" xfId="0" applyFont="1" applyAlignment="1">
      <alignment vertical="center"/>
    </xf>
    <xf numFmtId="0" fontId="0" fillId="0" borderId="0" xfId="0" applyAlignment="1">
      <alignment horizontal="center" vertical="center" wrapText="1"/>
    </xf>
    <xf numFmtId="0" fontId="0" fillId="2" borderId="0" xfId="0" applyFill="1"/>
    <xf numFmtId="166" fontId="0" fillId="2" borderId="0" xfId="0" applyNumberFormat="1" applyFill="1"/>
    <xf numFmtId="0" fontId="0" fillId="2" borderId="0" xfId="0" applyFill="1" applyAlignment="1">
      <alignment horizontal="left" vertical="center" wrapText="1"/>
    </xf>
    <xf numFmtId="0" fontId="1" fillId="2" borderId="0" xfId="0" applyFont="1" applyFill="1"/>
    <xf numFmtId="167" fontId="0" fillId="2" borderId="0" xfId="0" applyNumberFormat="1" applyFill="1"/>
    <xf numFmtId="166" fontId="0" fillId="2" borderId="0" xfId="2" applyNumberFormat="1" applyFont="1" applyFill="1" applyAlignment="1">
      <alignment horizontal="right"/>
    </xf>
    <xf numFmtId="166" fontId="0" fillId="2" borderId="0" xfId="0" applyNumberFormat="1" applyFill="1" applyAlignment="1">
      <alignment horizontal="right"/>
    </xf>
    <xf numFmtId="167" fontId="4" fillId="2" borderId="0" xfId="3" applyNumberFormat="1" applyFont="1" applyFill="1" applyAlignment="1">
      <alignment horizontal="right"/>
    </xf>
    <xf numFmtId="166" fontId="0" fillId="0" borderId="0" xfId="0" applyNumberFormat="1" applyFont="1"/>
    <xf numFmtId="0" fontId="0" fillId="0" borderId="0" xfId="0" applyFont="1" applyAlignment="1">
      <alignment horizontal="left" vertical="center" wrapText="1"/>
    </xf>
    <xf numFmtId="0" fontId="11" fillId="0" borderId="0" xfId="1" applyFont="1"/>
    <xf numFmtId="167" fontId="0" fillId="0" borderId="0" xfId="0" applyNumberFormat="1" applyFont="1"/>
    <xf numFmtId="166" fontId="0" fillId="0" borderId="0" xfId="0" applyNumberFormat="1" applyFont="1" applyAlignment="1">
      <alignment horizontal="right"/>
    </xf>
    <xf numFmtId="0" fontId="0" fillId="0" borderId="0" xfId="0" applyAlignment="1">
      <alignment horizontal="center" vertical="center" wrapText="1"/>
    </xf>
    <xf numFmtId="168" fontId="0" fillId="0" borderId="0" xfId="0" applyNumberFormat="1" applyAlignment="1">
      <alignment horizontal="center" vertical="center" wrapText="1"/>
    </xf>
  </cellXfs>
  <cellStyles count="4">
    <cellStyle name="Komma" xfId="2" builtinId="3"/>
    <cellStyle name="Link" xfId="1" builtinId="8"/>
    <cellStyle name="Standard" xfId="0" builtinId="0"/>
    <cellStyle name="Währung" xfId="3" builtinId="4"/>
  </cellStyles>
  <dxfs count="32"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gif"/><Relationship Id="rId2" Type="http://schemas.openxmlformats.org/officeDocument/2006/relationships/image" Target="../media/image2.gif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5" Type="http://schemas.openxmlformats.org/officeDocument/2006/relationships/image" Target="../media/image8.jpeg"/><Relationship Id="rId4" Type="http://schemas.openxmlformats.org/officeDocument/2006/relationships/image" Target="../media/image7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.jpeg"/><Relationship Id="rId2" Type="http://schemas.openxmlformats.org/officeDocument/2006/relationships/image" Target="../media/image13.jpeg"/><Relationship Id="rId1" Type="http://schemas.openxmlformats.org/officeDocument/2006/relationships/image" Target="../media/image12.jpeg"/><Relationship Id="rId4" Type="http://schemas.openxmlformats.org/officeDocument/2006/relationships/image" Target="../media/image15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22860</xdr:colOff>
      <xdr:row>0</xdr:row>
      <xdr:rowOff>15240</xdr:rowOff>
    </xdr:from>
    <xdr:to>
      <xdr:col>5</xdr:col>
      <xdr:colOff>51954</xdr:colOff>
      <xdr:row>7</xdr:row>
      <xdr:rowOff>82383</xdr:rowOff>
    </xdr:to>
    <xdr:pic>
      <xdr:nvPicPr>
        <xdr:cNvPr id="2" name="Grafik 1" descr="Fenster schließen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665" b="24151"/>
        <a:stretch/>
      </xdr:blipFill>
      <xdr:spPr bwMode="auto">
        <a:xfrm>
          <a:off x="815340" y="15240"/>
          <a:ext cx="3199014" cy="13473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70135</xdr:rowOff>
    </xdr:from>
    <xdr:to>
      <xdr:col>7</xdr:col>
      <xdr:colOff>121920</xdr:colOff>
      <xdr:row>34</xdr:row>
      <xdr:rowOff>7620</xdr:rowOff>
    </xdr:to>
    <xdr:pic>
      <xdr:nvPicPr>
        <xdr:cNvPr id="3" name="Grafik 2" descr="Synchronriemenscheiben/T2.5:Verwandte bildanzeige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45" t="10590" r="18028" b="37847"/>
        <a:stretch/>
      </xdr:blipFill>
      <xdr:spPr bwMode="auto">
        <a:xfrm>
          <a:off x="0" y="3361975"/>
          <a:ext cx="5669280" cy="28635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139149</xdr:colOff>
      <xdr:row>42</xdr:row>
      <xdr:rowOff>46274</xdr:rowOff>
    </xdr:from>
    <xdr:to>
      <xdr:col>5</xdr:col>
      <xdr:colOff>397565</xdr:colOff>
      <xdr:row>56</xdr:row>
      <xdr:rowOff>13251</xdr:rowOff>
    </xdr:to>
    <xdr:pic>
      <xdr:nvPicPr>
        <xdr:cNvPr id="4" name="Grafik 3" descr="Synchronriemenscheiben/Ausführung T5:Verwandte bildanzeige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r="23877" b="41795"/>
        <a:stretch/>
      </xdr:blipFill>
      <xdr:spPr bwMode="auto">
        <a:xfrm>
          <a:off x="139149" y="7838552"/>
          <a:ext cx="4234068" cy="25644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10885</xdr:colOff>
      <xdr:row>0</xdr:row>
      <xdr:rowOff>21772</xdr:rowOff>
    </xdr:from>
    <xdr:to>
      <xdr:col>8</xdr:col>
      <xdr:colOff>762000</xdr:colOff>
      <xdr:row>26</xdr:row>
      <xdr:rowOff>174172</xdr:rowOff>
    </xdr:to>
    <xdr:pic>
      <xdr:nvPicPr>
        <xdr:cNvPr id="3" name="Grafik 2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6792" t="21843" r="24756" b="16198"/>
        <a:stretch/>
      </xdr:blipFill>
      <xdr:spPr>
        <a:xfrm>
          <a:off x="10885" y="21772"/>
          <a:ext cx="7108372" cy="496388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27</xdr:row>
      <xdr:rowOff>54427</xdr:rowOff>
    </xdr:from>
    <xdr:to>
      <xdr:col>8</xdr:col>
      <xdr:colOff>555171</xdr:colOff>
      <xdr:row>52</xdr:row>
      <xdr:rowOff>21772</xdr:rowOff>
    </xdr:to>
    <xdr:pic>
      <xdr:nvPicPr>
        <xdr:cNvPr id="4" name="Grafik 3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2127" t="18861" r="40630" b="22614"/>
        <a:stretch/>
      </xdr:blipFill>
      <xdr:spPr>
        <a:xfrm>
          <a:off x="0" y="5050970"/>
          <a:ext cx="6912428" cy="4593773"/>
        </a:xfrm>
        <a:prstGeom prst="rect">
          <a:avLst/>
        </a:prstGeom>
      </xdr:spPr>
    </xdr:pic>
    <xdr:clientData/>
  </xdr:twoCellAnchor>
  <xdr:twoCellAnchor editAs="oneCell">
    <xdr:from>
      <xdr:col>0</xdr:col>
      <xdr:colOff>54428</xdr:colOff>
      <xdr:row>51</xdr:row>
      <xdr:rowOff>80827</xdr:rowOff>
    </xdr:from>
    <xdr:to>
      <xdr:col>10</xdr:col>
      <xdr:colOff>304800</xdr:colOff>
      <xdr:row>68</xdr:row>
      <xdr:rowOff>76198</xdr:rowOff>
    </xdr:to>
    <xdr:pic>
      <xdr:nvPicPr>
        <xdr:cNvPr id="5" name="Grafik 4"/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6250" t="26534" r="6779" b="11873"/>
        <a:stretch/>
      </xdr:blipFill>
      <xdr:spPr>
        <a:xfrm>
          <a:off x="54428" y="9518741"/>
          <a:ext cx="8196943" cy="314134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68</xdr:row>
      <xdr:rowOff>119744</xdr:rowOff>
    </xdr:from>
    <xdr:to>
      <xdr:col>9</xdr:col>
      <xdr:colOff>468086</xdr:colOff>
      <xdr:row>96</xdr:row>
      <xdr:rowOff>10888</xdr:rowOff>
    </xdr:to>
    <xdr:pic>
      <xdr:nvPicPr>
        <xdr:cNvPr id="6" name="Grafik 5"/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12127" t="19138" r="35794" b="16235"/>
        <a:stretch/>
      </xdr:blipFill>
      <xdr:spPr>
        <a:xfrm>
          <a:off x="0" y="12703630"/>
          <a:ext cx="7620000" cy="507274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98</xdr:row>
      <xdr:rowOff>0</xdr:rowOff>
    </xdr:from>
    <xdr:to>
      <xdr:col>2</xdr:col>
      <xdr:colOff>320040</xdr:colOff>
      <xdr:row>103</xdr:row>
      <xdr:rowOff>7620</xdr:rowOff>
    </xdr:to>
    <xdr:pic>
      <xdr:nvPicPr>
        <xdr:cNvPr id="7" name="Grafik 6" descr="Kugelkopf M3 2 mm Duraluminium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922240"/>
          <a:ext cx="1905000" cy="937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647700</xdr:colOff>
      <xdr:row>0</xdr:row>
      <xdr:rowOff>38100</xdr:rowOff>
    </xdr:from>
    <xdr:to>
      <xdr:col>11</xdr:col>
      <xdr:colOff>571500</xdr:colOff>
      <xdr:row>28</xdr:row>
      <xdr:rowOff>152400</xdr:rowOff>
    </xdr:to>
    <xdr:pic>
      <xdr:nvPicPr>
        <xdr:cNvPr id="2" name="Grafik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2580" y="38100"/>
          <a:ext cx="3886200" cy="52349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289560</xdr:colOff>
      <xdr:row>34</xdr:row>
      <xdr:rowOff>65352</xdr:rowOff>
    </xdr:to>
    <xdr:pic>
      <xdr:nvPicPr>
        <xdr:cNvPr id="2" name="Grafik 1" descr="http://g01.a.alicdn.com/kf/HTB1jZSHGFXXXXaiXFXXq6xXFXXXP/221585428/HTB1jZSHGFXXXXaiXFXXq6xXFXXXP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836920" cy="62832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</xdr:row>
      <xdr:rowOff>0</xdr:rowOff>
    </xdr:from>
    <xdr:to>
      <xdr:col>2</xdr:col>
      <xdr:colOff>655320</xdr:colOff>
      <xdr:row>30</xdr:row>
      <xdr:rowOff>3586</xdr:rowOff>
    </xdr:to>
    <xdr:pic>
      <xdr:nvPicPr>
        <xdr:cNvPr id="2" name="Grafik 1" descr="http://robottini.altervista.org/wp-content/uploads/2012/12/pinout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7280"/>
          <a:ext cx="2240280" cy="43927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24</xdr:row>
      <xdr:rowOff>45720</xdr:rowOff>
    </xdr:from>
    <xdr:to>
      <xdr:col>7</xdr:col>
      <xdr:colOff>255784</xdr:colOff>
      <xdr:row>39</xdr:row>
      <xdr:rowOff>129540</xdr:rowOff>
    </xdr:to>
    <xdr:pic>
      <xdr:nvPicPr>
        <xdr:cNvPr id="4" name="Grafik 3" descr="mirco-stepping-setti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80560"/>
          <a:ext cx="5803144" cy="2941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91440</xdr:colOff>
      <xdr:row>2</xdr:row>
      <xdr:rowOff>68580</xdr:rowOff>
    </xdr:from>
    <xdr:to>
      <xdr:col>6</xdr:col>
      <xdr:colOff>53340</xdr:colOff>
      <xdr:row>21</xdr:row>
      <xdr:rowOff>39908</xdr:rowOff>
    </xdr:to>
    <xdr:pic>
      <xdr:nvPicPr>
        <xdr:cNvPr id="5" name="Grafik 4" descr="input-and-output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40" y="579120"/>
          <a:ext cx="4716780" cy="34460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52</xdr:row>
      <xdr:rowOff>0</xdr:rowOff>
    </xdr:from>
    <xdr:to>
      <xdr:col>6</xdr:col>
      <xdr:colOff>563880</xdr:colOff>
      <xdr:row>66</xdr:row>
      <xdr:rowOff>127870</xdr:rowOff>
    </xdr:to>
    <xdr:pic>
      <xdr:nvPicPr>
        <xdr:cNvPr id="6" name="Grafik 5" descr="output-limit-current-adjust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32620"/>
          <a:ext cx="5318760" cy="26958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67</xdr:row>
      <xdr:rowOff>182879</xdr:rowOff>
    </xdr:from>
    <xdr:to>
      <xdr:col>6</xdr:col>
      <xdr:colOff>563880</xdr:colOff>
      <xdr:row>82</xdr:row>
      <xdr:rowOff>69762</xdr:rowOff>
    </xdr:to>
    <xdr:pic>
      <xdr:nvPicPr>
        <xdr:cNvPr id="7" name="Grafik 6" descr="lenth-and-width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466319"/>
          <a:ext cx="5318760" cy="27443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eu.stepperonline.com/nema-17-stepper-motor-34mm-12v-04a-26ncm37ozin-17hs130404s-p-166.html" TargetMode="External"/><Relationship Id="rId2" Type="http://schemas.openxmlformats.org/officeDocument/2006/relationships/hyperlink" Target="http://eu.stepperonline.com/nema-24-dual-shaft-cnc-stepper-motor-31nm439-ozin-24hs343008d-p-275.html" TargetMode="External"/><Relationship Id="rId1" Type="http://schemas.openxmlformats.org/officeDocument/2006/relationships/hyperlink" Target="http://eu.stepperonline.com/nema-23-cnc-stepper-motor-28a-126nm1785ozin-23hs222804s-p-108.html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://www.omc-stepperonline.com/nema-17-bipolar-stepper-12v-04a-40ncm567ozin-17hs150404s-p-14.html" TargetMode="External"/><Relationship Id="rId4" Type="http://schemas.openxmlformats.org/officeDocument/2006/relationships/hyperlink" Target="http://www.omc-stepperonline.com/nema-24-cnc-stepper-motor-12nm170ozin-24hs222006s-p-26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hyperlink" Target="http://www.mouser.de/ProductDetail/ams/AS5048B-TS_EK_AB/?qs=sGAEpiMZZMvc81WFyF5EdoQL2wnmmwE79zX4h9RmJyQ%3d" TargetMode="External"/><Relationship Id="rId1" Type="http://schemas.openxmlformats.org/officeDocument/2006/relationships/hyperlink" Target="http://www.mouser.com/ds/2/588/AS5048-EK-AB_Operation-Manual_Rev.1.3-820438.pdf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://de.nanotec.com/produkte/541-st6018-schrittmotor-nema-24/" TargetMode="External"/><Relationship Id="rId7" Type="http://schemas.openxmlformats.org/officeDocument/2006/relationships/printerSettings" Target="../printerSettings/printerSettings4.bin"/><Relationship Id="rId2" Type="http://schemas.openxmlformats.org/officeDocument/2006/relationships/hyperlink" Target="http://www.mouser.de/ProductDetail/ams/AS5048B-TS_EK_AB/?qs=sGAEpiMZZMvc81WFyF5EdoQL2wnmmwE79zX4h9RmJyQ%3d" TargetMode="External"/><Relationship Id="rId1" Type="http://schemas.openxmlformats.org/officeDocument/2006/relationships/hyperlink" Target="http://www.kugellager-express.de/edelstahl-miniatur-kugellager-ss-mr106-6x10x3-mm.html" TargetMode="External"/><Relationship Id="rId6" Type="http://schemas.openxmlformats.org/officeDocument/2006/relationships/hyperlink" Target="http://www.omc-stepperonline.com/nema-17-bipolar-step-motor-35v-1a-13ncm184ozin-17hs081004s-p-101.html" TargetMode="External"/><Relationship Id="rId5" Type="http://schemas.openxmlformats.org/officeDocument/2006/relationships/hyperlink" Target="http://www.cncshop.at/index.php?a=10279" TargetMode="External"/><Relationship Id="rId4" Type="http://schemas.openxmlformats.org/officeDocument/2006/relationships/hyperlink" Target="http://www.cncshop.at/index.php?a=10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E93"/>
  <sheetViews>
    <sheetView topLeftCell="A70" zoomScale="80" zoomScaleNormal="80" workbookViewId="0">
      <selection activeCell="D22" sqref="D22"/>
    </sheetView>
  </sheetViews>
  <sheetFormatPr baseColWidth="10" defaultColWidth="8.88671875" defaultRowHeight="14.4" x14ac:dyDescent="0.3"/>
  <cols>
    <col min="1" max="1" width="11" customWidth="1"/>
    <col min="2" max="2" width="38.77734375" customWidth="1"/>
    <col min="3" max="3" width="13.33203125" bestFit="1" customWidth="1"/>
    <col min="4" max="4" width="13.33203125" customWidth="1"/>
    <col min="6" max="6" width="63.33203125" customWidth="1"/>
    <col min="12" max="12" width="7.44140625" bestFit="1" customWidth="1"/>
    <col min="14" max="14" width="9.77734375" bestFit="1" customWidth="1"/>
    <col min="15" max="15" width="10.21875" bestFit="1" customWidth="1"/>
    <col min="16" max="16" width="9.5546875" bestFit="1" customWidth="1"/>
  </cols>
  <sheetData>
    <row r="3" spans="1:5" x14ac:dyDescent="0.3">
      <c r="A3" t="s">
        <v>3</v>
      </c>
      <c r="C3">
        <v>400</v>
      </c>
      <c r="E3" t="s">
        <v>30</v>
      </c>
    </row>
    <row r="4" spans="1:5" x14ac:dyDescent="0.3">
      <c r="A4" t="s">
        <v>4</v>
      </c>
      <c r="C4">
        <v>270</v>
      </c>
      <c r="E4" t="s">
        <v>30</v>
      </c>
    </row>
    <row r="5" spans="1:5" x14ac:dyDescent="0.3">
      <c r="A5" t="s">
        <v>8</v>
      </c>
      <c r="C5">
        <v>100</v>
      </c>
      <c r="E5" t="s">
        <v>30</v>
      </c>
    </row>
    <row r="6" spans="1:5" x14ac:dyDescent="0.3">
      <c r="A6" t="s">
        <v>5</v>
      </c>
      <c r="C6">
        <v>0.8</v>
      </c>
      <c r="E6" t="s">
        <v>6</v>
      </c>
    </row>
    <row r="7" spans="1:5" x14ac:dyDescent="0.3">
      <c r="A7" t="s">
        <v>10</v>
      </c>
      <c r="C7">
        <f>O72+0.2</f>
        <v>0.97</v>
      </c>
      <c r="E7" t="s">
        <v>6</v>
      </c>
    </row>
    <row r="8" spans="1:5" x14ac:dyDescent="0.3">
      <c r="A8" t="s">
        <v>11</v>
      </c>
      <c r="C8">
        <f>O73+O74 +0.4</f>
        <v>0.9</v>
      </c>
      <c r="E8" t="s">
        <v>6</v>
      </c>
    </row>
    <row r="9" spans="1:5" x14ac:dyDescent="0.3">
      <c r="A9" t="s">
        <v>12</v>
      </c>
      <c r="C9">
        <f>O74+0.1</f>
        <v>0.38</v>
      </c>
      <c r="E9" t="s">
        <v>6</v>
      </c>
    </row>
    <row r="10" spans="1:5" x14ac:dyDescent="0.3">
      <c r="A10" t="s">
        <v>430</v>
      </c>
      <c r="C10" s="5">
        <f>C14/C12</f>
        <v>9</v>
      </c>
      <c r="D10" s="5"/>
      <c r="E10" t="s">
        <v>15</v>
      </c>
    </row>
    <row r="11" spans="1:5" x14ac:dyDescent="0.3">
      <c r="B11" t="s">
        <v>29</v>
      </c>
      <c r="C11" s="8">
        <v>5</v>
      </c>
      <c r="D11" s="8"/>
      <c r="E11" t="s">
        <v>30</v>
      </c>
    </row>
    <row r="12" spans="1:5" x14ac:dyDescent="0.3">
      <c r="B12" t="s">
        <v>31</v>
      </c>
      <c r="C12" s="6">
        <v>10</v>
      </c>
      <c r="D12" s="6"/>
      <c r="E12" t="s">
        <v>28</v>
      </c>
    </row>
    <row r="13" spans="1:5" x14ac:dyDescent="0.3">
      <c r="B13" t="s">
        <v>36</v>
      </c>
      <c r="C13" s="4">
        <f>C12*C11/PI()</f>
        <v>15.915494309189533</v>
      </c>
      <c r="D13" s="4"/>
      <c r="E13" t="s">
        <v>30</v>
      </c>
    </row>
    <row r="14" spans="1:5" x14ac:dyDescent="0.3">
      <c r="B14" t="s">
        <v>32</v>
      </c>
      <c r="C14" s="7">
        <v>90</v>
      </c>
      <c r="D14" s="7"/>
      <c r="E14" t="s">
        <v>28</v>
      </c>
    </row>
    <row r="15" spans="1:5" x14ac:dyDescent="0.3">
      <c r="B15" t="s">
        <v>37</v>
      </c>
      <c r="C15" s="4">
        <f>C14*C11/PI()</f>
        <v>143.23944878270581</v>
      </c>
      <c r="D15" s="4"/>
      <c r="E15" t="s">
        <v>30</v>
      </c>
    </row>
    <row r="16" spans="1:5" x14ac:dyDescent="0.3">
      <c r="A16" t="s">
        <v>19</v>
      </c>
      <c r="C16" s="5">
        <f>C20/C18*(C24/C22)</f>
        <v>22.857142857142858</v>
      </c>
      <c r="D16" s="5">
        <f>D20/D18*(D24/D22)</f>
        <v>23.333333333333332</v>
      </c>
      <c r="E16" t="s">
        <v>15</v>
      </c>
    </row>
    <row r="17" spans="1:5" x14ac:dyDescent="0.3">
      <c r="B17" t="s">
        <v>29</v>
      </c>
      <c r="C17">
        <v>5</v>
      </c>
      <c r="D17">
        <v>5</v>
      </c>
      <c r="E17" t="s">
        <v>30</v>
      </c>
    </row>
    <row r="18" spans="1:5" x14ac:dyDescent="0.3">
      <c r="B18" t="s">
        <v>31</v>
      </c>
      <c r="C18" s="6">
        <v>12</v>
      </c>
      <c r="D18" s="6">
        <v>12</v>
      </c>
      <c r="E18" t="s">
        <v>28</v>
      </c>
    </row>
    <row r="19" spans="1:5" x14ac:dyDescent="0.3">
      <c r="B19" t="s">
        <v>36</v>
      </c>
      <c r="C19" s="4">
        <f>C18*C17/PI()</f>
        <v>19.098593171027442</v>
      </c>
      <c r="D19" s="4">
        <f>D18*D17/PI()</f>
        <v>19.098593171027442</v>
      </c>
      <c r="E19" t="s">
        <v>30</v>
      </c>
    </row>
    <row r="20" spans="1:5" x14ac:dyDescent="0.3">
      <c r="B20" t="s">
        <v>32</v>
      </c>
      <c r="C20" s="7">
        <v>48</v>
      </c>
      <c r="D20" s="7">
        <v>48</v>
      </c>
      <c r="E20" t="s">
        <v>28</v>
      </c>
    </row>
    <row r="21" spans="1:5" x14ac:dyDescent="0.3">
      <c r="B21" t="s">
        <v>37</v>
      </c>
      <c r="C21" s="4">
        <f>C20*C17/PI()</f>
        <v>76.394372684109769</v>
      </c>
      <c r="D21" s="4">
        <f>D20*D17/PI()</f>
        <v>76.394372684109769</v>
      </c>
      <c r="E21" t="s">
        <v>30</v>
      </c>
    </row>
    <row r="22" spans="1:5" x14ac:dyDescent="0.3">
      <c r="B22" t="s">
        <v>34</v>
      </c>
      <c r="C22" s="6">
        <v>14</v>
      </c>
      <c r="D22" s="6">
        <v>12</v>
      </c>
      <c r="E22" t="s">
        <v>28</v>
      </c>
    </row>
    <row r="23" spans="1:5" x14ac:dyDescent="0.3">
      <c r="B23" t="s">
        <v>38</v>
      </c>
      <c r="C23" s="4">
        <f>C22*C17/PI()</f>
        <v>22.281692032865347</v>
      </c>
      <c r="D23" s="4">
        <f>D22*D17/PI()</f>
        <v>19.098593171027442</v>
      </c>
      <c r="E23" t="s">
        <v>30</v>
      </c>
    </row>
    <row r="24" spans="1:5" x14ac:dyDescent="0.3">
      <c r="B24" t="s">
        <v>35</v>
      </c>
      <c r="C24" s="7">
        <v>80</v>
      </c>
      <c r="D24" s="7">
        <v>70</v>
      </c>
      <c r="E24" t="s">
        <v>28</v>
      </c>
    </row>
    <row r="25" spans="1:5" x14ac:dyDescent="0.3">
      <c r="B25" t="s">
        <v>39</v>
      </c>
      <c r="C25" s="4">
        <f>C24*C17/PI()</f>
        <v>127.32395447351627</v>
      </c>
      <c r="D25" s="4">
        <f>D24*D17/PI()</f>
        <v>111.40846016432674</v>
      </c>
      <c r="E25" t="s">
        <v>30</v>
      </c>
    </row>
    <row r="26" spans="1:5" x14ac:dyDescent="0.3">
      <c r="A26" t="s">
        <v>14</v>
      </c>
      <c r="C26" s="5">
        <f>C30/C28*(C34/C32)</f>
        <v>11.428571428571427</v>
      </c>
      <c r="D26" s="5">
        <f>D30/D28*(D34/D32)</f>
        <v>11.755102040816325</v>
      </c>
      <c r="E26" t="s">
        <v>15</v>
      </c>
    </row>
    <row r="27" spans="1:5" x14ac:dyDescent="0.3">
      <c r="B27" t="s">
        <v>29</v>
      </c>
      <c r="C27">
        <v>5</v>
      </c>
      <c r="D27">
        <v>5</v>
      </c>
      <c r="E27" t="s">
        <v>30</v>
      </c>
    </row>
    <row r="28" spans="1:5" x14ac:dyDescent="0.3">
      <c r="B28" t="s">
        <v>31</v>
      </c>
      <c r="C28" s="6">
        <v>18</v>
      </c>
      <c r="D28" s="6">
        <v>14</v>
      </c>
      <c r="E28" t="s">
        <v>28</v>
      </c>
    </row>
    <row r="29" spans="1:5" x14ac:dyDescent="0.3">
      <c r="B29" t="s">
        <v>36</v>
      </c>
      <c r="C29" s="4">
        <f>C28*C27/PI()</f>
        <v>28.647889756541161</v>
      </c>
      <c r="D29" s="4">
        <f>D28*D27/PI()</f>
        <v>22.281692032865347</v>
      </c>
      <c r="E29" t="s">
        <v>30</v>
      </c>
    </row>
    <row r="30" spans="1:5" x14ac:dyDescent="0.3">
      <c r="B30" t="s">
        <v>32</v>
      </c>
      <c r="C30" s="7">
        <v>48</v>
      </c>
      <c r="D30" s="7">
        <v>48</v>
      </c>
      <c r="E30" t="s">
        <v>28</v>
      </c>
    </row>
    <row r="31" spans="1:5" x14ac:dyDescent="0.3">
      <c r="B31" t="s">
        <v>33</v>
      </c>
      <c r="C31" s="4">
        <f>C30*C27/PI()</f>
        <v>76.394372684109769</v>
      </c>
      <c r="D31" s="4">
        <f>D30*D27/PI()</f>
        <v>76.394372684109769</v>
      </c>
      <c r="E31" t="s">
        <v>30</v>
      </c>
    </row>
    <row r="32" spans="1:5" x14ac:dyDescent="0.3">
      <c r="B32" t="s">
        <v>34</v>
      </c>
      <c r="C32" s="6">
        <v>14</v>
      </c>
      <c r="D32" s="6">
        <v>14</v>
      </c>
      <c r="E32" t="s">
        <v>28</v>
      </c>
    </row>
    <row r="33" spans="1:5" x14ac:dyDescent="0.3">
      <c r="B33" t="s">
        <v>38</v>
      </c>
      <c r="C33" s="4">
        <f>C32*C27/PI()</f>
        <v>22.281692032865347</v>
      </c>
      <c r="D33" s="4">
        <f>D32*D27/PI()</f>
        <v>22.281692032865347</v>
      </c>
      <c r="E33" t="s">
        <v>30</v>
      </c>
    </row>
    <row r="34" spans="1:5" x14ac:dyDescent="0.3">
      <c r="B34" t="s">
        <v>35</v>
      </c>
      <c r="C34" s="7">
        <v>60</v>
      </c>
      <c r="D34" s="7">
        <v>48</v>
      </c>
      <c r="E34" t="s">
        <v>28</v>
      </c>
    </row>
    <row r="35" spans="1:5" x14ac:dyDescent="0.3">
      <c r="B35" t="s">
        <v>39</v>
      </c>
      <c r="C35" s="4">
        <f>C34*C27/PI()</f>
        <v>95.4929658551372</v>
      </c>
      <c r="D35" s="4">
        <f>D34*D27/PI()</f>
        <v>76.394372684109769</v>
      </c>
      <c r="E35" t="s">
        <v>30</v>
      </c>
    </row>
    <row r="36" spans="1:5" x14ac:dyDescent="0.3">
      <c r="A36" t="s">
        <v>87</v>
      </c>
      <c r="B36" t="s">
        <v>308</v>
      </c>
      <c r="C36" s="4">
        <f>C40/C38*(C44/C42)</f>
        <v>5.1333333333333329</v>
      </c>
      <c r="D36" s="4">
        <f>D40/D38*(D44/D42)</f>
        <v>7.1428571428571432</v>
      </c>
      <c r="E36" t="s">
        <v>15</v>
      </c>
    </row>
    <row r="37" spans="1:5" x14ac:dyDescent="0.3">
      <c r="B37" t="s">
        <v>29</v>
      </c>
      <c r="C37">
        <v>2.5</v>
      </c>
      <c r="D37">
        <v>2.5</v>
      </c>
      <c r="E37" t="s">
        <v>30</v>
      </c>
    </row>
    <row r="38" spans="1:5" x14ac:dyDescent="0.3">
      <c r="B38" t="s">
        <v>31</v>
      </c>
      <c r="C38" s="6">
        <v>15</v>
      </c>
      <c r="D38" s="6">
        <v>16</v>
      </c>
      <c r="E38" t="s">
        <v>28</v>
      </c>
    </row>
    <row r="39" spans="1:5" x14ac:dyDescent="0.3">
      <c r="B39" t="s">
        <v>36</v>
      </c>
      <c r="C39" s="4">
        <f>C38*C37/PI()</f>
        <v>11.93662073189215</v>
      </c>
      <c r="D39" s="4">
        <f>D38*D37/PI()</f>
        <v>12.732395447351628</v>
      </c>
      <c r="E39" t="s">
        <v>30</v>
      </c>
    </row>
    <row r="40" spans="1:5" x14ac:dyDescent="0.3">
      <c r="B40" t="s">
        <v>32</v>
      </c>
      <c r="C40" s="7">
        <v>22</v>
      </c>
      <c r="D40" s="7">
        <v>32</v>
      </c>
      <c r="E40" t="s">
        <v>28</v>
      </c>
    </row>
    <row r="41" spans="1:5" x14ac:dyDescent="0.3">
      <c r="B41" t="s">
        <v>37</v>
      </c>
      <c r="C41" s="4">
        <f>C40*C37/PI()</f>
        <v>17.507043740108486</v>
      </c>
      <c r="D41" s="4">
        <f>D40*D37/PI()</f>
        <v>25.464790894703256</v>
      </c>
      <c r="E41" t="s">
        <v>30</v>
      </c>
    </row>
    <row r="42" spans="1:5" x14ac:dyDescent="0.3">
      <c r="B42" t="s">
        <v>34</v>
      </c>
      <c r="C42" s="6">
        <v>16</v>
      </c>
      <c r="D42" s="6">
        <v>14</v>
      </c>
      <c r="E42" t="s">
        <v>28</v>
      </c>
    </row>
    <row r="43" spans="1:5" x14ac:dyDescent="0.3">
      <c r="B43" t="s">
        <v>38</v>
      </c>
      <c r="C43" s="4">
        <f>C42*C37/PI()</f>
        <v>12.732395447351628</v>
      </c>
      <c r="D43" s="4">
        <f>D42*D37/PI()</f>
        <v>11.140846016432674</v>
      </c>
      <c r="E43" t="s">
        <v>30</v>
      </c>
    </row>
    <row r="44" spans="1:5" x14ac:dyDescent="0.3">
      <c r="B44" t="s">
        <v>35</v>
      </c>
      <c r="C44" s="7">
        <v>56</v>
      </c>
      <c r="D44" s="7">
        <v>50</v>
      </c>
      <c r="E44" t="s">
        <v>28</v>
      </c>
    </row>
    <row r="45" spans="1:5" x14ac:dyDescent="0.3">
      <c r="B45" t="s">
        <v>39</v>
      </c>
      <c r="C45" s="4">
        <f>C44*C37/PI()</f>
        <v>44.563384065730695</v>
      </c>
      <c r="D45" s="4">
        <f>D44*D37/PI()</f>
        <v>39.788735772973837</v>
      </c>
      <c r="E45" t="s">
        <v>30</v>
      </c>
    </row>
    <row r="46" spans="1:5" x14ac:dyDescent="0.3">
      <c r="A46" t="s">
        <v>145</v>
      </c>
      <c r="C46" s="4">
        <f>C50/C48</f>
        <v>3.5</v>
      </c>
      <c r="D46" s="4"/>
      <c r="E46" t="s">
        <v>15</v>
      </c>
    </row>
    <row r="47" spans="1:5" x14ac:dyDescent="0.3">
      <c r="B47" t="s">
        <v>29</v>
      </c>
      <c r="C47">
        <v>2.5</v>
      </c>
      <c r="E47" t="s">
        <v>30</v>
      </c>
    </row>
    <row r="48" spans="1:5" x14ac:dyDescent="0.3">
      <c r="B48" t="s">
        <v>34</v>
      </c>
      <c r="C48" s="6">
        <v>16</v>
      </c>
      <c r="D48" s="6"/>
      <c r="E48" t="s">
        <v>28</v>
      </c>
    </row>
    <row r="49" spans="1:5" x14ac:dyDescent="0.3">
      <c r="B49" t="s">
        <v>38</v>
      </c>
      <c r="C49" s="4">
        <f>C48*C47/PI()</f>
        <v>12.732395447351628</v>
      </c>
      <c r="D49" s="4"/>
      <c r="E49" t="s">
        <v>30</v>
      </c>
    </row>
    <row r="50" spans="1:5" x14ac:dyDescent="0.3">
      <c r="B50" t="s">
        <v>35</v>
      </c>
      <c r="C50" s="7">
        <v>56</v>
      </c>
      <c r="D50" s="7"/>
      <c r="E50" t="s">
        <v>28</v>
      </c>
    </row>
    <row r="51" spans="1:5" x14ac:dyDescent="0.3">
      <c r="B51" t="s">
        <v>39</v>
      </c>
      <c r="C51" s="4">
        <f>C50*C47/PI()</f>
        <v>44.563384065730695</v>
      </c>
      <c r="D51" s="4"/>
      <c r="E51" t="s">
        <v>30</v>
      </c>
    </row>
    <row r="53" spans="1:5" x14ac:dyDescent="0.3">
      <c r="A53" t="s">
        <v>17</v>
      </c>
      <c r="C53" s="3">
        <v>0.3</v>
      </c>
      <c r="D53" s="3"/>
    </row>
    <row r="54" spans="1:5" x14ac:dyDescent="0.3">
      <c r="A54" t="s">
        <v>24</v>
      </c>
      <c r="C54">
        <v>9.81</v>
      </c>
      <c r="E54" t="s">
        <v>23</v>
      </c>
    </row>
    <row r="55" spans="1:5" x14ac:dyDescent="0.3">
      <c r="A55" t="s">
        <v>22</v>
      </c>
      <c r="C55">
        <f>C54/2</f>
        <v>4.9050000000000002</v>
      </c>
      <c r="E55" t="s">
        <v>23</v>
      </c>
    </row>
    <row r="57" spans="1:5" x14ac:dyDescent="0.3">
      <c r="A57" t="s">
        <v>7</v>
      </c>
      <c r="C57" s="2">
        <f>(C3+C4+C5)/2</f>
        <v>385</v>
      </c>
      <c r="D57" s="2"/>
      <c r="E57" t="s">
        <v>30</v>
      </c>
    </row>
    <row r="58" spans="1:5" x14ac:dyDescent="0.3">
      <c r="A58" t="s">
        <v>9</v>
      </c>
      <c r="C58" s="4">
        <f>((C3+C4+C5)*(C7+C8+C9)*(C55))/1000</f>
        <v>8.4979125</v>
      </c>
      <c r="D58" s="4"/>
      <c r="E58" t="s">
        <v>13</v>
      </c>
    </row>
    <row r="59" spans="1:5" x14ac:dyDescent="0.3">
      <c r="A59" t="s">
        <v>26</v>
      </c>
      <c r="C59" s="4">
        <f>((C3+C4+C5)*(C6+C7+C8+C9)*(C54+C55))/1000</f>
        <v>34.558177499999999</v>
      </c>
      <c r="D59" s="4"/>
      <c r="E59" t="s">
        <v>13</v>
      </c>
    </row>
    <row r="60" spans="1:5" x14ac:dyDescent="0.3">
      <c r="A60" t="s">
        <v>27</v>
      </c>
      <c r="C60" s="2">
        <f>((C4+C5)*(C8+C9+C6)*(C54+C55))/1000</f>
        <v>11.324664</v>
      </c>
      <c r="D60" s="2"/>
      <c r="E60" t="s">
        <v>13</v>
      </c>
    </row>
    <row r="61" spans="1:5" x14ac:dyDescent="0.3">
      <c r="A61" t="s">
        <v>86</v>
      </c>
      <c r="C61" s="2">
        <f>((C5)*(C9+C6)*(C55))/1000</f>
        <v>0.57879000000000003</v>
      </c>
      <c r="D61" s="2"/>
      <c r="E61" t="s">
        <v>13</v>
      </c>
    </row>
    <row r="62" spans="1:5" x14ac:dyDescent="0.3">
      <c r="A62" t="s">
        <v>88</v>
      </c>
      <c r="C62" s="2">
        <f>((C5)*(C9+C6)*(C55))/1000</f>
        <v>0.57879000000000003</v>
      </c>
      <c r="D62" s="2"/>
      <c r="E62" t="s">
        <v>13</v>
      </c>
    </row>
    <row r="63" spans="1:5" x14ac:dyDescent="0.3">
      <c r="A63" t="s">
        <v>16</v>
      </c>
      <c r="C63" s="2">
        <f>C58/C10</f>
        <v>0.94421250000000001</v>
      </c>
      <c r="D63" s="2"/>
      <c r="E63" t="s">
        <v>13</v>
      </c>
    </row>
    <row r="64" spans="1:5" x14ac:dyDescent="0.3">
      <c r="A64" t="s">
        <v>426</v>
      </c>
      <c r="C64" s="2">
        <f>C59/C16</f>
        <v>1.5119202656249999</v>
      </c>
      <c r="D64" s="2"/>
      <c r="E64" t="s">
        <v>13</v>
      </c>
    </row>
    <row r="65" spans="1:31" x14ac:dyDescent="0.3">
      <c r="A65" t="s">
        <v>25</v>
      </c>
      <c r="C65" s="2">
        <f>C60/C26</f>
        <v>0.99090810000000018</v>
      </c>
      <c r="D65" s="2"/>
      <c r="E65" t="s">
        <v>13</v>
      </c>
    </row>
    <row r="66" spans="1:31" x14ac:dyDescent="0.3">
      <c r="A66" t="s">
        <v>148</v>
      </c>
      <c r="C66" s="2">
        <f>C62/C46</f>
        <v>0.16536857142857145</v>
      </c>
      <c r="D66" s="2"/>
      <c r="E66" t="s">
        <v>13</v>
      </c>
    </row>
    <row r="67" spans="1:31" x14ac:dyDescent="0.3">
      <c r="A67" t="s">
        <v>146</v>
      </c>
      <c r="C67" s="2">
        <f>C61/C46</f>
        <v>0.16536857142857145</v>
      </c>
      <c r="D67" s="2"/>
      <c r="E67" t="s">
        <v>13</v>
      </c>
    </row>
    <row r="68" spans="1:31" ht="43.2" x14ac:dyDescent="0.3">
      <c r="C68" s="2"/>
      <c r="D68" s="2"/>
      <c r="F68" s="10" t="s">
        <v>40</v>
      </c>
      <c r="G68" s="10" t="s">
        <v>41</v>
      </c>
      <c r="H68" s="10" t="s">
        <v>42</v>
      </c>
      <c r="I68" s="10" t="s">
        <v>43</v>
      </c>
      <c r="J68" s="10"/>
      <c r="K68" s="12" t="s">
        <v>72</v>
      </c>
      <c r="L68" s="10" t="s">
        <v>44</v>
      </c>
      <c r="M68" s="10" t="s">
        <v>45</v>
      </c>
      <c r="N68" s="10" t="s">
        <v>46</v>
      </c>
      <c r="O68" s="10" t="s">
        <v>47</v>
      </c>
      <c r="P68" s="10" t="s">
        <v>48</v>
      </c>
      <c r="R68" s="72" t="s">
        <v>413</v>
      </c>
    </row>
    <row r="69" spans="1:31" ht="28.8" x14ac:dyDescent="0.3">
      <c r="C69" s="2"/>
      <c r="D69" s="2"/>
      <c r="F69" s="10" t="s">
        <v>49</v>
      </c>
      <c r="G69" s="10" t="s">
        <v>50</v>
      </c>
      <c r="H69" s="10" t="s">
        <v>51</v>
      </c>
      <c r="I69" s="10" t="s">
        <v>52</v>
      </c>
      <c r="J69" s="10" t="s">
        <v>30</v>
      </c>
      <c r="K69" s="12"/>
      <c r="L69" s="10" t="s">
        <v>71</v>
      </c>
      <c r="M69" s="10" t="s">
        <v>53</v>
      </c>
      <c r="N69" s="10" t="s">
        <v>54</v>
      </c>
      <c r="O69" s="10" t="s">
        <v>55</v>
      </c>
    </row>
    <row r="70" spans="1:31" x14ac:dyDescent="0.3">
      <c r="A70" t="s">
        <v>18</v>
      </c>
      <c r="C70" s="2">
        <f>C63*(1+C53)</f>
        <v>1.22747625</v>
      </c>
      <c r="D70" s="2"/>
      <c r="E70" t="s">
        <v>13</v>
      </c>
      <c r="F70" s="11" t="s">
        <v>66</v>
      </c>
      <c r="G70" s="10">
        <v>0.9</v>
      </c>
      <c r="H70" s="10" t="s">
        <v>56</v>
      </c>
      <c r="I70" s="10" t="s">
        <v>65</v>
      </c>
      <c r="J70" s="10" t="s">
        <v>67</v>
      </c>
      <c r="K70" s="12">
        <v>6.35</v>
      </c>
      <c r="L70" s="13">
        <v>126</v>
      </c>
      <c r="M70" s="10">
        <v>2.8</v>
      </c>
      <c r="N70" s="10" t="s">
        <v>57</v>
      </c>
      <c r="O70" s="10">
        <v>0.7</v>
      </c>
      <c r="P70" s="14">
        <f>L70/O70</f>
        <v>180</v>
      </c>
      <c r="R70" s="73">
        <f t="shared" ref="R70:R73" si="0">0.6801*M70</f>
        <v>1.90428</v>
      </c>
    </row>
    <row r="71" spans="1:31" x14ac:dyDescent="0.3">
      <c r="A71" t="s">
        <v>20</v>
      </c>
      <c r="C71" s="2">
        <f>C64*(1+C53)</f>
        <v>1.9654963453125001</v>
      </c>
      <c r="D71" s="2"/>
      <c r="E71" t="s">
        <v>13</v>
      </c>
      <c r="F71" s="11" t="s">
        <v>432</v>
      </c>
      <c r="G71" s="18">
        <v>1.8</v>
      </c>
      <c r="H71" s="18" t="s">
        <v>56</v>
      </c>
      <c r="I71" s="18" t="s">
        <v>68</v>
      </c>
      <c r="J71" s="18" t="s">
        <v>70</v>
      </c>
      <c r="K71" s="18">
        <v>8</v>
      </c>
      <c r="L71" s="18">
        <v>300</v>
      </c>
      <c r="M71" s="18">
        <v>4</v>
      </c>
      <c r="N71" s="18" t="s">
        <v>59</v>
      </c>
      <c r="O71" s="18">
        <v>1.34</v>
      </c>
      <c r="P71" s="14">
        <f t="shared" ref="P71:P72" si="1">L71/O71</f>
        <v>223.88059701492537</v>
      </c>
      <c r="R71" s="73">
        <f t="shared" si="0"/>
        <v>2.7204000000000002</v>
      </c>
    </row>
    <row r="72" spans="1:31" ht="17.399999999999999" customHeight="1" x14ac:dyDescent="0.3">
      <c r="A72" t="s">
        <v>21</v>
      </c>
      <c r="C72" s="2">
        <f>C65*(1+C53)</f>
        <v>1.2881805300000002</v>
      </c>
      <c r="D72" s="2"/>
      <c r="E72" t="s">
        <v>13</v>
      </c>
      <c r="F72" s="11" t="s">
        <v>276</v>
      </c>
      <c r="G72" s="25">
        <v>1.8</v>
      </c>
      <c r="H72" s="25" t="s">
        <v>58</v>
      </c>
      <c r="I72" s="25" t="s">
        <v>68</v>
      </c>
      <c r="J72" s="25" t="s">
        <v>69</v>
      </c>
      <c r="K72" s="25">
        <v>6.35</v>
      </c>
      <c r="L72" s="25">
        <v>190</v>
      </c>
      <c r="M72" s="25">
        <v>1.4</v>
      </c>
      <c r="N72" s="25" t="s">
        <v>57</v>
      </c>
      <c r="O72" s="25">
        <v>0.77</v>
      </c>
      <c r="P72" s="15">
        <f t="shared" si="1"/>
        <v>246.75324675324674</v>
      </c>
      <c r="R72" s="73">
        <f t="shared" si="0"/>
        <v>0.95213999999999999</v>
      </c>
      <c r="S72" s="10"/>
      <c r="T72" s="10"/>
      <c r="Y72" s="10"/>
      <c r="Z72" s="10"/>
      <c r="AA72" s="10"/>
      <c r="AB72" s="10"/>
      <c r="AC72" s="10"/>
      <c r="AD72" s="10"/>
      <c r="AE72" s="10"/>
    </row>
    <row r="73" spans="1:31" x14ac:dyDescent="0.3">
      <c r="A73" t="s">
        <v>420</v>
      </c>
      <c r="C73" s="2">
        <f>C66*(1+C53)</f>
        <v>0.2149791428571429</v>
      </c>
      <c r="D73" s="2"/>
      <c r="E73" t="s">
        <v>13</v>
      </c>
      <c r="F73" s="11" t="s">
        <v>63</v>
      </c>
      <c r="G73" s="25">
        <v>1.8</v>
      </c>
      <c r="H73" s="25" t="s">
        <v>56</v>
      </c>
      <c r="I73" s="25" t="s">
        <v>60</v>
      </c>
      <c r="J73" s="25" t="s">
        <v>61</v>
      </c>
      <c r="K73" s="25">
        <v>5</v>
      </c>
      <c r="L73" s="25">
        <v>26</v>
      </c>
      <c r="M73" s="25">
        <v>0.4</v>
      </c>
      <c r="N73" s="25" t="s">
        <v>57</v>
      </c>
      <c r="O73" s="25">
        <v>0.22</v>
      </c>
      <c r="P73" s="15">
        <f>L73/O73</f>
        <v>118.18181818181819</v>
      </c>
      <c r="Q73" s="11"/>
      <c r="R73" s="73">
        <f t="shared" si="0"/>
        <v>0.27204</v>
      </c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</row>
    <row r="74" spans="1:31" x14ac:dyDescent="0.3">
      <c r="A74" t="s">
        <v>147</v>
      </c>
      <c r="C74" s="2">
        <f>C67*(1+C53)</f>
        <v>0.2149791428571429</v>
      </c>
      <c r="D74" s="2"/>
      <c r="E74" t="s">
        <v>13</v>
      </c>
      <c r="F74" s="11" t="s">
        <v>64</v>
      </c>
      <c r="G74" s="72">
        <v>1.8</v>
      </c>
      <c r="H74" s="72" t="s">
        <v>56</v>
      </c>
      <c r="I74" s="72" t="s">
        <v>60</v>
      </c>
      <c r="J74" s="72" t="s">
        <v>62</v>
      </c>
      <c r="K74" s="72">
        <v>5</v>
      </c>
      <c r="L74" s="72">
        <v>40</v>
      </c>
      <c r="M74" s="72">
        <v>0.4</v>
      </c>
      <c r="N74" s="72" t="s">
        <v>57</v>
      </c>
      <c r="O74" s="72">
        <v>0.28000000000000003</v>
      </c>
      <c r="P74" s="15">
        <f>L74/O74</f>
        <v>142.85714285714283</v>
      </c>
      <c r="Q74" s="11"/>
      <c r="R74" s="73">
        <f>0.6801*M74</f>
        <v>0.27204</v>
      </c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</row>
    <row r="75" spans="1:31" x14ac:dyDescent="0.3">
      <c r="C75" s="2"/>
      <c r="D75" s="2"/>
      <c r="F75" s="22"/>
      <c r="G75" s="25"/>
      <c r="H75" s="25"/>
      <c r="I75" s="25"/>
      <c r="J75" s="25"/>
      <c r="K75" s="25"/>
      <c r="L75" s="25"/>
      <c r="M75" s="25"/>
      <c r="N75" s="25"/>
      <c r="O75" s="25"/>
      <c r="P75" s="15"/>
      <c r="Q75" s="11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</row>
    <row r="76" spans="1:31" x14ac:dyDescent="0.3">
      <c r="E76" s="11"/>
      <c r="F76" s="11"/>
      <c r="G76" s="58"/>
      <c r="H76" s="58"/>
      <c r="I76" s="58"/>
      <c r="J76" s="58"/>
      <c r="K76" s="58"/>
      <c r="L76" s="58"/>
      <c r="M76" s="58"/>
      <c r="N76" s="58"/>
      <c r="O76" s="58"/>
      <c r="P76" s="15"/>
    </row>
    <row r="77" spans="1:31" x14ac:dyDescent="0.3">
      <c r="A77" t="s">
        <v>91</v>
      </c>
    </row>
    <row r="78" spans="1:31" x14ac:dyDescent="0.3">
      <c r="A78" t="s">
        <v>94</v>
      </c>
      <c r="C78" s="16">
        <f>1</f>
        <v>1</v>
      </c>
      <c r="D78" s="16"/>
      <c r="E78" t="s">
        <v>101</v>
      </c>
    </row>
    <row r="79" spans="1:31" x14ac:dyDescent="0.3">
      <c r="A79" t="s">
        <v>99</v>
      </c>
      <c r="C79" s="16">
        <f>(C15/1000/2)</f>
        <v>7.1619724391352904E-2</v>
      </c>
      <c r="D79" s="16"/>
      <c r="E79" t="s">
        <v>100</v>
      </c>
    </row>
    <row r="80" spans="1:31" x14ac:dyDescent="0.3">
      <c r="A80" t="s">
        <v>95</v>
      </c>
      <c r="C80" s="16">
        <f>C58/C79</f>
        <v>118.6532421371061</v>
      </c>
      <c r="D80" s="16"/>
      <c r="E80" t="s">
        <v>92</v>
      </c>
    </row>
    <row r="81" spans="1:6" x14ac:dyDescent="0.3">
      <c r="A81" t="s">
        <v>96</v>
      </c>
      <c r="C81" s="16">
        <f>(C78)*C80*2*PI()</f>
        <v>745.52030764508686</v>
      </c>
      <c r="D81" s="16"/>
      <c r="E81" t="s">
        <v>93</v>
      </c>
    </row>
    <row r="83" spans="1:6" x14ac:dyDescent="0.3">
      <c r="A83" t="s">
        <v>97</v>
      </c>
    </row>
    <row r="84" spans="1:6" x14ac:dyDescent="0.3">
      <c r="A84" t="s">
        <v>94</v>
      </c>
      <c r="C84" s="17">
        <v>1</v>
      </c>
      <c r="D84" s="17"/>
      <c r="E84" t="s">
        <v>101</v>
      </c>
    </row>
    <row r="85" spans="1:6" x14ac:dyDescent="0.3">
      <c r="A85" t="s">
        <v>99</v>
      </c>
      <c r="C85" s="17">
        <f>(C21/1000/2)</f>
        <v>3.8197186342054885E-2</v>
      </c>
      <c r="D85" s="17"/>
      <c r="E85" t="s">
        <v>100</v>
      </c>
    </row>
    <row r="86" spans="1:6" x14ac:dyDescent="0.3">
      <c r="A86" t="s">
        <v>95</v>
      </c>
      <c r="C86" s="17">
        <f>C59/C85</f>
        <v>904.73097129543396</v>
      </c>
      <c r="D86" s="17"/>
      <c r="E86" t="s">
        <v>92</v>
      </c>
      <c r="F86" s="17"/>
    </row>
    <row r="87" spans="1:6" x14ac:dyDescent="0.3">
      <c r="A87" t="s">
        <v>96</v>
      </c>
      <c r="C87" s="17">
        <f>(C84)*C86*2*PI()</f>
        <v>5684.592345793787</v>
      </c>
      <c r="D87" s="17"/>
      <c r="E87" t="s">
        <v>93</v>
      </c>
    </row>
    <row r="89" spans="1:6" x14ac:dyDescent="0.3">
      <c r="A89" t="s">
        <v>98</v>
      </c>
    </row>
    <row r="90" spans="1:6" x14ac:dyDescent="0.3">
      <c r="A90" t="s">
        <v>94</v>
      </c>
      <c r="C90" s="17">
        <f>60*C18/C20</f>
        <v>15</v>
      </c>
      <c r="D90" s="17"/>
      <c r="E90" t="s">
        <v>101</v>
      </c>
    </row>
    <row r="91" spans="1:6" x14ac:dyDescent="0.3">
      <c r="A91" t="s">
        <v>99</v>
      </c>
      <c r="C91" s="17">
        <f>(C25/1000/2)</f>
        <v>6.3661977236758135E-2</v>
      </c>
      <c r="D91" s="17"/>
      <c r="E91" t="s">
        <v>100</v>
      </c>
    </row>
    <row r="92" spans="1:6" x14ac:dyDescent="0.3">
      <c r="A92" t="s">
        <v>95</v>
      </c>
      <c r="C92" s="17">
        <f>C59/(C20/C18)/C91</f>
        <v>135.7096456943151</v>
      </c>
      <c r="D92" s="17"/>
      <c r="E92" t="s">
        <v>92</v>
      </c>
    </row>
    <row r="93" spans="1:6" x14ac:dyDescent="0.3">
      <c r="A93" t="s">
        <v>96</v>
      </c>
      <c r="C93" s="17">
        <f>(C90/60)*C92*2*PI()</f>
        <v>213.172212967267</v>
      </c>
      <c r="D93" s="17"/>
      <c r="E93" t="s">
        <v>93</v>
      </c>
    </row>
  </sheetData>
  <hyperlinks>
    <hyperlink ref="F70" r:id="rId1"/>
    <hyperlink ref="F71" r:id="rId2" display="24HS34-3504D"/>
    <hyperlink ref="F73" r:id="rId3"/>
    <hyperlink ref="F72" r:id="rId4"/>
    <hyperlink ref="F74" r:id="rId5" display="http://www.omc-stepperonline.com/nema-17-bipolar-stepper-12v-04a-40ncm567ozin-17hs150404s-p-14.html"/>
  </hyperlinks>
  <pageMargins left="0.7" right="0.7" top="0.75" bottom="0.75" header="0.3" footer="0.3"/>
  <pageSetup paperSize="9" orientation="portrait" horizontalDpi="0" verticalDpi="0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0"/>
  <sheetViews>
    <sheetView topLeftCell="A43" zoomScale="115" zoomScaleNormal="115" workbookViewId="0">
      <selection activeCell="C60" sqref="C60"/>
    </sheetView>
  </sheetViews>
  <sheetFormatPr baseColWidth="10" defaultRowHeight="14.4" x14ac:dyDescent="0.3"/>
  <sheetData>
    <row r="1" spans="1:1" x14ac:dyDescent="0.3">
      <c r="A1" t="s">
        <v>84</v>
      </c>
    </row>
    <row r="10" spans="1:1" x14ac:dyDescent="0.3">
      <c r="A10" t="s">
        <v>85</v>
      </c>
    </row>
    <row r="11" spans="1:1" x14ac:dyDescent="0.3">
      <c r="A11" t="s">
        <v>1</v>
      </c>
    </row>
    <row r="12" spans="1:1" x14ac:dyDescent="0.3">
      <c r="A12" t="s">
        <v>2</v>
      </c>
    </row>
    <row r="13" spans="1:1" x14ac:dyDescent="0.3">
      <c r="A13" t="s">
        <v>74</v>
      </c>
    </row>
    <row r="14" spans="1:1" x14ac:dyDescent="0.3">
      <c r="A14" t="s">
        <v>109</v>
      </c>
    </row>
    <row r="15" spans="1:1" x14ac:dyDescent="0.3">
      <c r="A15" t="s">
        <v>89</v>
      </c>
    </row>
    <row r="16" spans="1:1" x14ac:dyDescent="0.3">
      <c r="A16" t="s">
        <v>90</v>
      </c>
    </row>
    <row r="35" spans="1:4" x14ac:dyDescent="0.3">
      <c r="A35" t="s">
        <v>105</v>
      </c>
    </row>
    <row r="36" spans="1:4" x14ac:dyDescent="0.3">
      <c r="A36" t="s">
        <v>102</v>
      </c>
      <c r="C36">
        <v>28</v>
      </c>
    </row>
    <row r="37" spans="1:4" x14ac:dyDescent="0.3">
      <c r="A37" t="s">
        <v>104</v>
      </c>
      <c r="C37" s="2">
        <f>C36*2.5/PI()</f>
        <v>22.281692032865347</v>
      </c>
      <c r="D37" t="s">
        <v>30</v>
      </c>
    </row>
    <row r="38" spans="1:4" x14ac:dyDescent="0.3">
      <c r="A38" t="s">
        <v>103</v>
      </c>
      <c r="C38" s="2">
        <f>C37*1.0012-0.56</f>
        <v>21.748430063304788</v>
      </c>
      <c r="D38" t="s">
        <v>30</v>
      </c>
    </row>
    <row r="39" spans="1:4" x14ac:dyDescent="0.3">
      <c r="A39" t="s">
        <v>106</v>
      </c>
      <c r="C39" s="2">
        <f>C38-2</f>
        <v>19.748430063304788</v>
      </c>
      <c r="D39" t="s">
        <v>30</v>
      </c>
    </row>
    <row r="40" spans="1:4" x14ac:dyDescent="0.3">
      <c r="A40" t="s">
        <v>107</v>
      </c>
      <c r="C40" s="2">
        <f>C39-2</f>
        <v>17.748430063304788</v>
      </c>
      <c r="D40" t="s">
        <v>30</v>
      </c>
    </row>
    <row r="58" spans="1:4" x14ac:dyDescent="0.3">
      <c r="A58" t="s">
        <v>199</v>
      </c>
    </row>
    <row r="59" spans="1:4" x14ac:dyDescent="0.3">
      <c r="A59" t="s">
        <v>102</v>
      </c>
      <c r="C59">
        <v>72</v>
      </c>
    </row>
    <row r="60" spans="1:4" x14ac:dyDescent="0.3">
      <c r="A60" t="s">
        <v>104</v>
      </c>
      <c r="C60" s="2">
        <f>C59*5/PI()</f>
        <v>114.59155902616465</v>
      </c>
      <c r="D60" t="s">
        <v>30</v>
      </c>
    </row>
    <row r="61" spans="1:4" x14ac:dyDescent="0.3">
      <c r="A61" t="s">
        <v>103</v>
      </c>
      <c r="C61" s="2">
        <f>C60*1-(1.8-1.375)*2</f>
        <v>113.74155902616465</v>
      </c>
      <c r="D61" t="s">
        <v>30</v>
      </c>
    </row>
    <row r="62" spans="1:4" x14ac:dyDescent="0.3">
      <c r="A62" t="s">
        <v>106</v>
      </c>
      <c r="C62" s="2">
        <f>C61-2</f>
        <v>111.74155902616465</v>
      </c>
      <c r="D62" t="s">
        <v>30</v>
      </c>
    </row>
    <row r="63" spans="1:4" x14ac:dyDescent="0.3">
      <c r="A63" t="s">
        <v>107</v>
      </c>
      <c r="C63" s="2">
        <f>C62-2</f>
        <v>109.74155902616465</v>
      </c>
      <c r="D63" t="s">
        <v>30</v>
      </c>
    </row>
    <row r="67" spans="3:3" x14ac:dyDescent="0.3">
      <c r="C67" s="2"/>
    </row>
    <row r="68" spans="3:3" x14ac:dyDescent="0.3">
      <c r="C68" s="2"/>
    </row>
    <row r="69" spans="3:3" x14ac:dyDescent="0.3">
      <c r="C69" s="2"/>
    </row>
    <row r="70" spans="3:3" x14ac:dyDescent="0.3">
      <c r="C70" s="2"/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99"/>
  <sheetViews>
    <sheetView topLeftCell="A52" zoomScale="115" zoomScaleNormal="115" workbookViewId="0">
      <selection activeCell="D99" sqref="D99"/>
    </sheetView>
  </sheetViews>
  <sheetFormatPr baseColWidth="10" defaultRowHeight="14.4" x14ac:dyDescent="0.3"/>
  <sheetData>
    <row r="99" spans="4:4" ht="15.6" x14ac:dyDescent="0.3">
      <c r="D99" s="57" t="s">
        <v>391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A11" sqref="A11"/>
    </sheetView>
  </sheetViews>
  <sheetFormatPr baseColWidth="10" defaultRowHeight="14.4" x14ac:dyDescent="0.3"/>
  <sheetData>
    <row r="1" spans="1:2" x14ac:dyDescent="0.3">
      <c r="A1" t="s">
        <v>76</v>
      </c>
      <c r="B1" t="s">
        <v>79</v>
      </c>
    </row>
    <row r="3" spans="1:2" x14ac:dyDescent="0.3">
      <c r="A3" t="s">
        <v>82</v>
      </c>
    </row>
    <row r="4" spans="1:2" x14ac:dyDescent="0.3">
      <c r="A4" s="9" t="s">
        <v>77</v>
      </c>
    </row>
    <row r="5" spans="1:2" x14ac:dyDescent="0.3">
      <c r="A5" t="s">
        <v>137</v>
      </c>
    </row>
    <row r="7" spans="1:2" x14ac:dyDescent="0.3">
      <c r="A7" t="s">
        <v>83</v>
      </c>
    </row>
    <row r="8" spans="1:2" x14ac:dyDescent="0.3">
      <c r="A8" s="9" t="s">
        <v>78</v>
      </c>
    </row>
    <row r="10" spans="1:2" x14ac:dyDescent="0.3">
      <c r="A10" t="s">
        <v>80</v>
      </c>
    </row>
    <row r="11" spans="1:2" x14ac:dyDescent="0.3">
      <c r="A11" t="s">
        <v>81</v>
      </c>
    </row>
  </sheetData>
  <hyperlinks>
    <hyperlink ref="A8" r:id="rId1"/>
    <hyperlink ref="A4" r:id="rId2"/>
  </hyperlinks>
  <pageMargins left="0.7" right="0.7" top="0.78740157499999996" bottom="0.78740157499999996" header="0.3" footer="0.3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baseColWidth="10" defaultRowHeight="14.4" x14ac:dyDescent="0.3"/>
  <sheetData/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opLeftCell="A10" zoomScale="130" zoomScaleNormal="130" workbookViewId="0">
      <selection activeCell="D18" sqref="D18"/>
    </sheetView>
  </sheetViews>
  <sheetFormatPr baseColWidth="10" defaultRowHeight="14.4" x14ac:dyDescent="0.3"/>
  <sheetData>
    <row r="1" spans="1:2" s="6" customFormat="1" x14ac:dyDescent="0.3">
      <c r="A1" s="6" t="s">
        <v>253</v>
      </c>
    </row>
    <row r="2" spans="1:2" s="6" customFormat="1" x14ac:dyDescent="0.3"/>
    <row r="3" spans="1:2" s="6" customFormat="1" x14ac:dyDescent="0.3"/>
    <row r="4" spans="1:2" x14ac:dyDescent="0.3">
      <c r="A4" t="s">
        <v>249</v>
      </c>
      <c r="B4" t="s">
        <v>250</v>
      </c>
    </row>
    <row r="5" spans="1:2" x14ac:dyDescent="0.3">
      <c r="A5" t="s">
        <v>251</v>
      </c>
      <c r="B5" t="s">
        <v>252</v>
      </c>
    </row>
  </sheetData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6"/>
  <sheetViews>
    <sheetView topLeftCell="A55" zoomScale="130" zoomScaleNormal="130" workbookViewId="0">
      <selection activeCell="A52" sqref="A52:XFD52"/>
    </sheetView>
  </sheetViews>
  <sheetFormatPr baseColWidth="10" defaultRowHeight="14.4" x14ac:dyDescent="0.3"/>
  <sheetData>
    <row r="1" spans="1:9" ht="25.8" x14ac:dyDescent="0.5">
      <c r="A1" s="47" t="s">
        <v>331</v>
      </c>
    </row>
    <row r="2" spans="1:9" x14ac:dyDescent="0.3">
      <c r="A2" t="s">
        <v>295</v>
      </c>
    </row>
    <row r="14" spans="1:9" x14ac:dyDescent="0.3">
      <c r="I14" t="s">
        <v>323</v>
      </c>
    </row>
    <row r="22" spans="1:5" ht="18" x14ac:dyDescent="0.3">
      <c r="A22" s="42" t="s">
        <v>324</v>
      </c>
    </row>
    <row r="24" spans="1:5" x14ac:dyDescent="0.3">
      <c r="A24" t="s">
        <v>325</v>
      </c>
    </row>
    <row r="25" spans="1:5" ht="23.4" x14ac:dyDescent="0.3">
      <c r="A25" s="36"/>
    </row>
    <row r="29" spans="1:5" x14ac:dyDescent="0.3">
      <c r="A29" s="38"/>
      <c r="B29" s="38"/>
      <c r="C29" s="38"/>
      <c r="D29" s="38"/>
      <c r="E29" s="38"/>
    </row>
    <row r="30" spans="1:5" x14ac:dyDescent="0.3">
      <c r="A30" s="37"/>
      <c r="B30" s="37"/>
      <c r="C30" s="37"/>
      <c r="D30" s="37"/>
      <c r="E30" s="37"/>
    </row>
    <row r="31" spans="1:5" x14ac:dyDescent="0.3">
      <c r="A31" s="37"/>
      <c r="B31" s="37"/>
      <c r="C31" s="37"/>
      <c r="D31" s="37"/>
      <c r="E31" s="39"/>
    </row>
    <row r="32" spans="1:5" x14ac:dyDescent="0.3">
      <c r="A32" s="37"/>
      <c r="B32" s="37"/>
      <c r="C32" s="37"/>
      <c r="D32" s="37"/>
      <c r="E32" s="39"/>
    </row>
    <row r="33" spans="1:11" x14ac:dyDescent="0.3">
      <c r="A33" s="43"/>
      <c r="B33" s="43"/>
      <c r="C33" s="43"/>
      <c r="D33" s="43"/>
      <c r="E33" s="39"/>
    </row>
    <row r="34" spans="1:11" x14ac:dyDescent="0.3">
      <c r="A34" s="44"/>
      <c r="B34" s="44"/>
      <c r="C34" s="44"/>
      <c r="D34" s="44"/>
      <c r="E34" s="45"/>
      <c r="F34" s="45"/>
      <c r="G34" s="45"/>
      <c r="H34" s="45"/>
      <c r="I34" s="45"/>
      <c r="J34" s="45"/>
      <c r="K34" s="45"/>
    </row>
    <row r="35" spans="1:11" x14ac:dyDescent="0.3">
      <c r="A35" s="44"/>
      <c r="B35" s="44"/>
      <c r="C35" s="44"/>
      <c r="D35" s="44"/>
      <c r="E35" s="45"/>
      <c r="F35" s="45"/>
      <c r="G35" s="45"/>
      <c r="H35" s="45"/>
      <c r="I35" s="45"/>
      <c r="J35" s="45"/>
      <c r="K35" s="45"/>
    </row>
    <row r="36" spans="1:11" x14ac:dyDescent="0.3">
      <c r="A36" s="44"/>
      <c r="B36" s="44"/>
      <c r="C36" s="44"/>
      <c r="D36" s="44"/>
      <c r="E36" s="45"/>
      <c r="F36" s="45"/>
      <c r="G36" s="45"/>
      <c r="H36" s="45"/>
      <c r="I36" s="45"/>
      <c r="J36" s="45"/>
      <c r="K36" s="45"/>
    </row>
    <row r="37" spans="1:11" x14ac:dyDescent="0.3">
      <c r="A37" s="44"/>
      <c r="B37" s="44"/>
      <c r="C37" s="44"/>
      <c r="D37" s="44"/>
      <c r="E37" s="45"/>
      <c r="F37" s="45"/>
      <c r="G37" s="45"/>
      <c r="H37" s="45"/>
      <c r="I37" s="45"/>
      <c r="J37" s="45"/>
      <c r="K37" s="45"/>
    </row>
    <row r="38" spans="1:11" x14ac:dyDescent="0.3">
      <c r="A38" s="45"/>
      <c r="B38" s="45"/>
      <c r="C38" s="45"/>
      <c r="D38" s="45"/>
      <c r="E38" s="45"/>
      <c r="F38" s="45"/>
      <c r="G38" s="45"/>
      <c r="H38" s="45"/>
      <c r="I38" s="45"/>
      <c r="J38" s="45"/>
      <c r="K38" s="45"/>
    </row>
    <row r="39" spans="1:11" x14ac:dyDescent="0.3">
      <c r="A39" s="45"/>
      <c r="B39" s="45"/>
      <c r="C39" s="45"/>
      <c r="D39" s="45"/>
      <c r="E39" s="45"/>
      <c r="F39" s="45"/>
      <c r="G39" s="45"/>
      <c r="H39" s="45"/>
      <c r="I39" s="45"/>
      <c r="J39" s="45"/>
      <c r="K39" s="45"/>
    </row>
    <row r="40" spans="1:11" x14ac:dyDescent="0.3">
      <c r="A40" s="46"/>
      <c r="B40" s="46"/>
      <c r="C40" s="46"/>
      <c r="D40" s="45"/>
      <c r="E40" s="45"/>
      <c r="F40" s="45"/>
      <c r="G40" s="45"/>
      <c r="H40" s="45"/>
      <c r="I40" s="45"/>
      <c r="J40" s="45"/>
      <c r="K40" s="45"/>
    </row>
    <row r="41" spans="1:11" x14ac:dyDescent="0.3">
      <c r="A41" s="44"/>
      <c r="B41" s="44"/>
      <c r="C41" s="45"/>
      <c r="D41" s="45"/>
      <c r="E41" s="45"/>
      <c r="F41" s="45"/>
      <c r="G41" s="45"/>
      <c r="H41" s="45"/>
      <c r="I41" s="45"/>
      <c r="J41" s="45"/>
      <c r="K41" s="45"/>
    </row>
    <row r="42" spans="1:11" x14ac:dyDescent="0.3">
      <c r="A42" s="44"/>
      <c r="B42" s="44"/>
      <c r="C42" s="45"/>
      <c r="D42" s="45"/>
      <c r="E42" s="45"/>
      <c r="F42" s="45"/>
      <c r="G42" s="45"/>
      <c r="H42" s="45"/>
      <c r="I42" s="45"/>
      <c r="J42" s="45"/>
      <c r="K42" s="45"/>
    </row>
    <row r="43" spans="1:11" x14ac:dyDescent="0.3">
      <c r="A43" s="44"/>
      <c r="B43" s="44"/>
      <c r="C43" s="45"/>
      <c r="D43" s="45"/>
      <c r="E43" s="45"/>
      <c r="F43" s="45"/>
      <c r="G43" s="45"/>
      <c r="H43" s="45"/>
      <c r="I43" s="45"/>
      <c r="J43" s="45"/>
      <c r="K43" s="45"/>
    </row>
    <row r="44" spans="1:11" x14ac:dyDescent="0.3">
      <c r="A44" s="44"/>
      <c r="B44" s="44"/>
      <c r="C44" s="45"/>
      <c r="D44" s="45"/>
      <c r="E44" s="45"/>
      <c r="F44" s="45"/>
      <c r="G44" s="45"/>
      <c r="H44" s="45"/>
      <c r="I44" s="45"/>
      <c r="J44" s="45"/>
      <c r="K44" s="45"/>
    </row>
    <row r="45" spans="1:11" ht="18" x14ac:dyDescent="0.3">
      <c r="A45" s="42" t="s">
        <v>326</v>
      </c>
      <c r="B45" s="45"/>
      <c r="C45" s="45"/>
      <c r="D45" s="45"/>
      <c r="E45" s="45"/>
      <c r="F45" s="45"/>
      <c r="G45" s="45"/>
      <c r="H45" s="45"/>
      <c r="I45" s="45"/>
      <c r="J45" s="45"/>
      <c r="K45" s="45"/>
    </row>
    <row r="46" spans="1:11" x14ac:dyDescent="0.3">
      <c r="B46" s="45"/>
      <c r="C46" s="45"/>
      <c r="D46" s="45"/>
      <c r="E46" s="45"/>
      <c r="F46" s="45"/>
      <c r="G46" s="45"/>
      <c r="H46" s="45"/>
      <c r="I46" s="45"/>
      <c r="J46" s="45"/>
      <c r="K46" s="45"/>
    </row>
    <row r="47" spans="1:11" x14ac:dyDescent="0.3">
      <c r="A47" t="s">
        <v>327</v>
      </c>
      <c r="B47" s="46"/>
      <c r="C47" s="46"/>
      <c r="D47" s="46"/>
      <c r="E47" s="45"/>
      <c r="F47" s="45"/>
      <c r="G47" s="45"/>
      <c r="H47" s="45"/>
      <c r="I47" s="45"/>
      <c r="J47" s="45"/>
      <c r="K47" s="45"/>
    </row>
    <row r="48" spans="1:11" x14ac:dyDescent="0.3">
      <c r="A48" t="s">
        <v>328</v>
      </c>
      <c r="B48" s="44"/>
      <c r="C48" s="44"/>
      <c r="D48" s="44"/>
      <c r="E48" s="45"/>
      <c r="F48" s="45"/>
      <c r="G48" s="45"/>
      <c r="H48" s="45"/>
      <c r="I48" s="45"/>
      <c r="J48" s="45"/>
      <c r="K48" s="45"/>
    </row>
    <row r="49" spans="1:11" x14ac:dyDescent="0.3">
      <c r="A49" t="s">
        <v>329</v>
      </c>
      <c r="B49" s="44"/>
      <c r="C49" s="44"/>
      <c r="D49" s="45"/>
      <c r="E49" s="45"/>
      <c r="F49" s="45"/>
      <c r="G49" s="45"/>
      <c r="H49" s="45"/>
      <c r="I49" s="45"/>
      <c r="J49" s="45"/>
      <c r="K49" s="45"/>
    </row>
    <row r="50" spans="1:11" x14ac:dyDescent="0.3">
      <c r="A50" t="s">
        <v>330</v>
      </c>
      <c r="B50" s="45"/>
      <c r="C50" s="45"/>
      <c r="D50" s="45"/>
      <c r="E50" s="45"/>
      <c r="F50" s="45"/>
      <c r="G50" s="45"/>
      <c r="H50" s="45"/>
      <c r="I50" s="45"/>
      <c r="J50" s="45"/>
      <c r="K50" s="45"/>
    </row>
    <row r="51" spans="1:11" x14ac:dyDescent="0.3">
      <c r="B51" s="45"/>
      <c r="C51" s="45"/>
      <c r="D51" s="45"/>
      <c r="E51" s="45"/>
      <c r="F51" s="45"/>
      <c r="G51" s="45"/>
      <c r="H51" s="45"/>
      <c r="I51" s="45"/>
      <c r="J51" s="45"/>
      <c r="K51" s="45"/>
    </row>
    <row r="52" spans="1:11" x14ac:dyDescent="0.3">
      <c r="B52" s="45"/>
      <c r="C52" s="45"/>
      <c r="D52" s="45"/>
      <c r="E52" s="45"/>
      <c r="F52" s="45"/>
      <c r="G52" s="45"/>
      <c r="H52" s="45"/>
      <c r="I52" s="45"/>
      <c r="J52" s="45"/>
      <c r="K52" s="45"/>
    </row>
    <row r="56" spans="1:11" ht="15" x14ac:dyDescent="0.3">
      <c r="A56" s="40"/>
    </row>
    <row r="62" spans="1:11" x14ac:dyDescent="0.3">
      <c r="A62" s="9"/>
    </row>
    <row r="63" spans="1:11" x14ac:dyDescent="0.3">
      <c r="A63" s="9"/>
    </row>
    <row r="64" spans="1:11" x14ac:dyDescent="0.3">
      <c r="A64" s="9"/>
    </row>
    <row r="70" spans="1:1" x14ac:dyDescent="0.3">
      <c r="A70" s="9"/>
    </row>
    <row r="76" spans="1:1" x14ac:dyDescent="0.3">
      <c r="A76" s="41"/>
    </row>
    <row r="81" spans="1:1" x14ac:dyDescent="0.3">
      <c r="A81" s="41"/>
    </row>
    <row r="82" spans="1:1" ht="23.4" x14ac:dyDescent="0.3">
      <c r="A82" s="36"/>
    </row>
    <row r="83" spans="1:1" x14ac:dyDescent="0.3">
      <c r="A83" s="41"/>
    </row>
    <row r="84" spans="1:1" x14ac:dyDescent="0.3">
      <c r="A84" s="41"/>
    </row>
    <row r="89" spans="1:1" x14ac:dyDescent="0.3">
      <c r="A89" s="41"/>
    </row>
    <row r="94" spans="1:1" x14ac:dyDescent="0.3">
      <c r="A94" s="41"/>
    </row>
    <row r="95" spans="1:1" ht="23.4" x14ac:dyDescent="0.3">
      <c r="A95" s="36"/>
    </row>
    <row r="96" spans="1:1" x14ac:dyDescent="0.3">
      <c r="A96" s="41"/>
    </row>
    <row r="97" spans="1:1" x14ac:dyDescent="0.3">
      <c r="A97" s="41"/>
    </row>
    <row r="102" spans="1:1" x14ac:dyDescent="0.3">
      <c r="A102" s="41"/>
    </row>
    <row r="103" spans="1:1" x14ac:dyDescent="0.3">
      <c r="A103" s="41"/>
    </row>
    <row r="108" spans="1:1" x14ac:dyDescent="0.3">
      <c r="A108" s="41"/>
    </row>
    <row r="109" spans="1:1" ht="23.4" x14ac:dyDescent="0.3">
      <c r="A109" s="36"/>
    </row>
    <row r="110" spans="1:1" x14ac:dyDescent="0.3">
      <c r="A110" s="41"/>
    </row>
    <row r="111" spans="1:1" x14ac:dyDescent="0.3">
      <c r="A111" s="41"/>
    </row>
    <row r="116" spans="1:1" x14ac:dyDescent="0.3">
      <c r="A116" s="41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325"/>
  <sheetViews>
    <sheetView tabSelected="1" topLeftCell="A237" zoomScale="85" zoomScaleNormal="85" workbookViewId="0">
      <selection activeCell="C163" sqref="C163"/>
    </sheetView>
  </sheetViews>
  <sheetFormatPr baseColWidth="10" defaultRowHeight="14.4" x14ac:dyDescent="0.3"/>
  <cols>
    <col min="1" max="1" width="18.6640625" customWidth="1"/>
    <col min="2" max="2" width="16.77734375" customWidth="1"/>
    <col min="3" max="3" width="57.21875" customWidth="1"/>
    <col min="4" max="4" width="42.33203125" customWidth="1"/>
    <col min="5" max="5" width="25.21875" style="23" customWidth="1"/>
    <col min="9" max="10" width="11.5546875" style="1"/>
    <col min="11" max="11" width="12.44140625" style="1" customWidth="1"/>
    <col min="12" max="12" width="13.77734375" bestFit="1" customWidth="1"/>
  </cols>
  <sheetData>
    <row r="1" spans="1:15" x14ac:dyDescent="0.3">
      <c r="B1" s="6" t="s">
        <v>270</v>
      </c>
      <c r="C1" s="6" t="s">
        <v>267</v>
      </c>
      <c r="D1" s="6" t="s">
        <v>268</v>
      </c>
      <c r="E1" s="34" t="s">
        <v>269</v>
      </c>
      <c r="F1" s="6"/>
      <c r="G1" s="6"/>
      <c r="H1" s="6"/>
      <c r="I1" s="35"/>
      <c r="J1" s="35"/>
      <c r="K1" s="35"/>
      <c r="L1" s="6" t="s">
        <v>244</v>
      </c>
      <c r="O1" t="s">
        <v>259</v>
      </c>
    </row>
    <row r="2" spans="1:15" x14ac:dyDescent="0.3">
      <c r="B2" s="6"/>
      <c r="C2" s="6"/>
      <c r="D2" s="6"/>
      <c r="E2" s="34"/>
      <c r="F2" s="6"/>
      <c r="G2" s="6"/>
      <c r="H2" s="6"/>
      <c r="I2" s="35"/>
      <c r="J2" s="35"/>
      <c r="K2" s="35"/>
      <c r="L2" s="6"/>
    </row>
    <row r="3" spans="1:15" x14ac:dyDescent="0.3">
      <c r="B3" s="6"/>
      <c r="C3" s="6"/>
      <c r="D3" s="6"/>
      <c r="E3" s="34"/>
      <c r="F3" s="6"/>
      <c r="G3" s="6"/>
      <c r="H3" s="6"/>
      <c r="I3" s="35"/>
      <c r="J3" s="35"/>
      <c r="K3" s="35"/>
      <c r="L3" s="6"/>
    </row>
    <row r="4" spans="1:15" ht="13.8" customHeight="1" x14ac:dyDescent="0.3">
      <c r="A4" t="s">
        <v>306</v>
      </c>
      <c r="B4" s="27"/>
      <c r="C4" s="26"/>
      <c r="E4" s="9"/>
      <c r="H4" s="19"/>
      <c r="I4" s="31"/>
      <c r="J4" s="32"/>
      <c r="K4" s="29"/>
      <c r="O4" t="s">
        <v>317</v>
      </c>
    </row>
    <row r="5" spans="1:15" ht="13.8" customHeight="1" x14ac:dyDescent="0.3">
      <c r="B5" s="27">
        <v>3</v>
      </c>
      <c r="C5" s="26" t="str">
        <f>C177</f>
        <v>Zylinderkopfschraube Innensechskant M3 20mm</v>
      </c>
      <c r="D5" t="s">
        <v>112</v>
      </c>
      <c r="E5" s="9"/>
      <c r="H5" s="19"/>
      <c r="I5" s="31"/>
      <c r="J5" s="32"/>
      <c r="K5" s="29"/>
      <c r="L5" t="str">
        <f ca="1">INDIRECT(ADDRESS(MATCH(C5,C$172:C$296,0)+ROW($B$172)-1,12))</f>
        <v>Habs</v>
      </c>
      <c r="O5" t="s">
        <v>318</v>
      </c>
    </row>
    <row r="6" spans="1:15" ht="13.8" customHeight="1" x14ac:dyDescent="0.3">
      <c r="B6" s="27">
        <v>3</v>
      </c>
      <c r="C6" s="26" t="str">
        <f>C203</f>
        <v>Distanzbolzen M3 5mm, Schlüsselweite 5,5mm</v>
      </c>
      <c r="D6" t="s">
        <v>113</v>
      </c>
      <c r="E6" s="9"/>
      <c r="H6" s="19"/>
      <c r="I6" s="31"/>
      <c r="J6" s="32"/>
      <c r="K6" s="29"/>
      <c r="L6" t="str">
        <f ca="1">INDIRECT(ADDRESS(MATCH(C6,C$172:C$296,0)+ROW($B$172)-1,12))</f>
        <v>Habs</v>
      </c>
      <c r="O6" t="s">
        <v>319</v>
      </c>
    </row>
    <row r="7" spans="1:15" ht="13.8" customHeight="1" x14ac:dyDescent="0.3">
      <c r="A7" t="s">
        <v>307</v>
      </c>
      <c r="B7" s="27"/>
      <c r="C7" s="26"/>
      <c r="E7" s="9"/>
      <c r="H7" s="19"/>
      <c r="I7" s="31"/>
      <c r="J7" s="32"/>
      <c r="K7" s="29"/>
    </row>
    <row r="8" spans="1:15" ht="13.8" customHeight="1" x14ac:dyDescent="0.3">
      <c r="B8" s="27">
        <v>1</v>
      </c>
      <c r="C8" s="26" t="str">
        <f>C270</f>
        <v>Rillenkugellager DIN 625 SKF - 61807 35x47x7mm</v>
      </c>
      <c r="D8" t="s">
        <v>115</v>
      </c>
      <c r="E8" s="9"/>
      <c r="H8" s="19"/>
      <c r="I8" s="31"/>
      <c r="J8" s="32"/>
      <c r="K8" s="29"/>
      <c r="L8" t="str">
        <f t="shared" ref="L8:L14" ca="1" si="0">INDIRECT(ADDRESS(MATCH(C8,C$172:C$296,0)+ROW($B$172)-1,12))</f>
        <v>Habs</v>
      </c>
    </row>
    <row r="9" spans="1:15" ht="13.8" customHeight="1" x14ac:dyDescent="0.3">
      <c r="B9" s="27">
        <v>4</v>
      </c>
      <c r="C9" s="26" t="str">
        <f>C178</f>
        <v>Zylinderkopfschraube Innensechskant M3 12mm</v>
      </c>
      <c r="D9" t="s">
        <v>116</v>
      </c>
      <c r="E9" s="9"/>
      <c r="H9" s="19"/>
      <c r="I9" s="31"/>
      <c r="J9" s="32"/>
      <c r="K9" s="29"/>
      <c r="L9" t="str">
        <f t="shared" ca="1" si="0"/>
        <v>Habs</v>
      </c>
    </row>
    <row r="10" spans="1:15" ht="13.8" customHeight="1" x14ac:dyDescent="0.3">
      <c r="B10" s="27">
        <v>4</v>
      </c>
      <c r="C10" s="26" t="str">
        <f>C181</f>
        <v>Zylinderkopfschraube Innensechskant M2 12mm</v>
      </c>
      <c r="D10" t="s">
        <v>118</v>
      </c>
      <c r="E10" s="9"/>
      <c r="H10" s="19"/>
      <c r="I10" s="31"/>
      <c r="J10" s="32"/>
      <c r="K10" s="29"/>
      <c r="L10" t="str">
        <f t="shared" ca="1" si="0"/>
        <v>Habs</v>
      </c>
    </row>
    <row r="11" spans="1:15" ht="13.8" customHeight="1" x14ac:dyDescent="0.3">
      <c r="B11" s="27">
        <v>4</v>
      </c>
      <c r="C11" s="26" t="str">
        <f>C186</f>
        <v>Muttern M3, Schlüsselweite 5.5 mm</v>
      </c>
      <c r="D11" t="s">
        <v>120</v>
      </c>
      <c r="E11" s="9"/>
      <c r="H11" s="19"/>
      <c r="I11" s="31"/>
      <c r="J11" s="32"/>
      <c r="K11" s="29"/>
      <c r="L11" t="str">
        <f t="shared" ca="1" si="0"/>
        <v>Habs</v>
      </c>
    </row>
    <row r="12" spans="1:15" ht="13.8" customHeight="1" x14ac:dyDescent="0.3">
      <c r="B12" s="27">
        <v>2</v>
      </c>
      <c r="C12" s="26" t="str">
        <f>C269</f>
        <v>Rillenkugellager DIN 625 SKF - 61902 15x28x7mm</v>
      </c>
      <c r="D12" t="s">
        <v>122</v>
      </c>
      <c r="E12" s="9"/>
      <c r="H12" s="19"/>
      <c r="I12" s="31"/>
      <c r="J12" s="32"/>
      <c r="K12" s="29"/>
      <c r="L12" t="str">
        <f t="shared" ca="1" si="0"/>
        <v>Habs</v>
      </c>
    </row>
    <row r="13" spans="1:15" ht="13.8" customHeight="1" x14ac:dyDescent="0.3">
      <c r="B13" s="27">
        <v>1</v>
      </c>
      <c r="C13" s="26" t="str">
        <f>C257</f>
        <v xml:space="preserve">Herkulex Servo DRS - 0101 </v>
      </c>
      <c r="D13" t="s">
        <v>206</v>
      </c>
      <c r="E13" s="9"/>
      <c r="H13" s="19"/>
      <c r="I13" s="31"/>
      <c r="J13" s="32"/>
      <c r="K13" s="29"/>
      <c r="L13" t="str">
        <f t="shared" ca="1" si="0"/>
        <v>Habs</v>
      </c>
    </row>
    <row r="14" spans="1:15" ht="13.8" customHeight="1" x14ac:dyDescent="0.3">
      <c r="B14" s="27">
        <v>1</v>
      </c>
      <c r="C14" s="26" t="str">
        <f>C262</f>
        <v>Rillenkugellager 3x10x4</v>
      </c>
      <c r="D14" t="s">
        <v>206</v>
      </c>
      <c r="E14" s="9"/>
      <c r="H14" s="19"/>
      <c r="I14" s="31"/>
      <c r="J14" s="32"/>
      <c r="K14" s="29"/>
      <c r="L14" t="str">
        <f t="shared" ca="1" si="0"/>
        <v>Habs</v>
      </c>
    </row>
    <row r="15" spans="1:15" ht="13.8" customHeight="1" x14ac:dyDescent="0.3">
      <c r="B15" s="27"/>
      <c r="C15" s="26"/>
      <c r="E15" s="9"/>
      <c r="H15" s="19"/>
      <c r="I15" s="31"/>
      <c r="J15" s="32"/>
      <c r="K15" s="29"/>
    </row>
    <row r="16" spans="1:15" ht="13.8" customHeight="1" x14ac:dyDescent="0.3">
      <c r="A16" t="s">
        <v>8</v>
      </c>
      <c r="B16" s="27"/>
      <c r="C16" s="26"/>
      <c r="E16" s="9"/>
      <c r="H16" s="19"/>
      <c r="I16" s="31"/>
      <c r="J16" s="32"/>
      <c r="K16" s="29"/>
    </row>
    <row r="17" spans="1:12" ht="13.8" customHeight="1" x14ac:dyDescent="0.3">
      <c r="B17" s="27">
        <v>8</v>
      </c>
      <c r="C17" s="26" t="str">
        <f>C259</f>
        <v>Rillenkugellager 3x7x3</v>
      </c>
      <c r="D17" t="s">
        <v>396</v>
      </c>
      <c r="E17" s="9"/>
      <c r="H17" s="19"/>
      <c r="I17" s="31"/>
      <c r="J17" s="32"/>
      <c r="K17" s="29"/>
      <c r="L17" t="str">
        <f t="shared" ref="L17:L22" ca="1" si="1">INDIRECT(ADDRESS(MATCH(C17,C$172:C$296,0)+ROW($B$172)-1,12))</f>
        <v>Habs</v>
      </c>
    </row>
    <row r="18" spans="1:12" s="8" customFormat="1" ht="13.8" customHeight="1" x14ac:dyDescent="0.3">
      <c r="B18" s="67">
        <v>8</v>
      </c>
      <c r="C18" s="68" t="str">
        <f>C259</f>
        <v>Rillenkugellager 3x7x3</v>
      </c>
      <c r="D18" s="8" t="s">
        <v>397</v>
      </c>
      <c r="E18" s="69"/>
      <c r="H18" s="70"/>
      <c r="I18" s="31"/>
      <c r="J18" s="71"/>
      <c r="K18" s="29"/>
      <c r="L18" s="8" t="str">
        <f t="shared" ca="1" si="1"/>
        <v>Habs</v>
      </c>
    </row>
    <row r="19" spans="1:12" ht="13.8" customHeight="1" x14ac:dyDescent="0.3">
      <c r="B19" s="27">
        <v>6</v>
      </c>
      <c r="C19" s="26" t="str">
        <f>C177</f>
        <v>Zylinderkopfschraube Innensechskant M3 20mm</v>
      </c>
      <c r="D19" t="s">
        <v>405</v>
      </c>
      <c r="E19" s="9"/>
      <c r="H19" s="19"/>
      <c r="I19" s="31"/>
      <c r="J19" s="32"/>
      <c r="K19" s="29"/>
      <c r="L19" t="str">
        <f t="shared" ca="1" si="1"/>
        <v>Habs</v>
      </c>
    </row>
    <row r="20" spans="1:12" ht="13.8" customHeight="1" x14ac:dyDescent="0.3">
      <c r="B20" s="27">
        <v>3</v>
      </c>
      <c r="C20" s="26" t="str">
        <f>C202</f>
        <v>Distanzbolzen 2x Innen M3 20mm, Schlüsselweite 5,5mm</v>
      </c>
      <c r="D20" t="s">
        <v>405</v>
      </c>
      <c r="E20" s="9"/>
      <c r="H20" s="19"/>
      <c r="I20" s="31"/>
      <c r="J20" s="32"/>
      <c r="K20" s="29"/>
      <c r="L20" t="str">
        <f t="shared" ca="1" si="1"/>
        <v>Habs</v>
      </c>
    </row>
    <row r="21" spans="1:12" ht="13.8" customHeight="1" x14ac:dyDescent="0.3">
      <c r="B21" s="27">
        <v>100</v>
      </c>
      <c r="C21" s="26" t="str">
        <f>C198</f>
        <v>Silberstahlwelle 3mm Durchmesser</v>
      </c>
      <c r="D21" t="s">
        <v>400</v>
      </c>
      <c r="E21" s="9"/>
      <c r="H21" s="19"/>
      <c r="I21" s="31"/>
      <c r="J21" s="32"/>
      <c r="K21" s="29"/>
      <c r="L21" t="str">
        <f t="shared" ca="1" si="1"/>
        <v>Habs</v>
      </c>
    </row>
    <row r="22" spans="1:12" ht="13.8" customHeight="1" x14ac:dyDescent="0.3">
      <c r="B22" s="27">
        <v>1</v>
      </c>
      <c r="C22" s="26" t="str">
        <f>C257</f>
        <v xml:space="preserve">Herkulex Servo DRS - 0101 </v>
      </c>
      <c r="D22" t="s">
        <v>401</v>
      </c>
      <c r="E22" s="9"/>
      <c r="H22" s="19"/>
      <c r="I22" s="31"/>
      <c r="J22" s="32"/>
      <c r="K22" s="29"/>
      <c r="L22" t="str">
        <f t="shared" ca="1" si="1"/>
        <v>Habs</v>
      </c>
    </row>
    <row r="23" spans="1:12" ht="13.8" customHeight="1" x14ac:dyDescent="0.3">
      <c r="B23" s="27"/>
      <c r="C23" s="26"/>
      <c r="E23" s="9"/>
      <c r="H23" s="19"/>
      <c r="I23" s="31"/>
      <c r="J23" s="32"/>
      <c r="K23" s="29"/>
    </row>
    <row r="24" spans="1:12" ht="13.8" customHeight="1" x14ac:dyDescent="0.3">
      <c r="A24" t="s">
        <v>4</v>
      </c>
      <c r="B24" s="27"/>
      <c r="C24" s="26"/>
      <c r="E24" s="9"/>
      <c r="H24" s="19"/>
      <c r="I24" s="31"/>
      <c r="J24" s="32"/>
      <c r="K24" s="29"/>
    </row>
    <row r="25" spans="1:12" s="49" customFormat="1" ht="13.8" customHeight="1" x14ac:dyDescent="0.3">
      <c r="B25" s="50">
        <v>1</v>
      </c>
      <c r="C25" s="51" t="str">
        <f>C209</f>
        <v>Zahnriemenscheibe T2,5, 16 Zähne (d=12,73)</v>
      </c>
      <c r="D25" s="49" t="s">
        <v>436</v>
      </c>
      <c r="E25" s="52"/>
      <c r="H25" s="53"/>
      <c r="I25" s="54"/>
      <c r="J25" s="55"/>
      <c r="K25" s="56"/>
      <c r="L25" t="str">
        <f t="shared" ref="L25:L44" ca="1" si="2">INDIRECT(ADDRESS(MATCH(C25,C$172:C$296,0)+ROW($B$172)-1,12))</f>
        <v>Habs</v>
      </c>
    </row>
    <row r="26" spans="1:12" s="59" customFormat="1" ht="13.8" customHeight="1" x14ac:dyDescent="0.3">
      <c r="B26" s="60">
        <v>1</v>
      </c>
      <c r="C26" s="61" t="str">
        <f>C236</f>
        <v>Zahnriemen T2,5 245mm 6mm Breite</v>
      </c>
      <c r="D26" s="59" t="s">
        <v>419</v>
      </c>
      <c r="E26" s="62"/>
      <c r="H26" s="63"/>
      <c r="I26" s="64"/>
      <c r="J26" s="65"/>
      <c r="K26" s="66"/>
      <c r="L26" s="59" t="str">
        <f t="shared" ca="1" si="2"/>
        <v>Habs</v>
      </c>
    </row>
    <row r="27" spans="1:12" ht="13.8" customHeight="1" x14ac:dyDescent="0.3">
      <c r="B27" s="27">
        <v>1</v>
      </c>
      <c r="C27" s="26" t="str">
        <f>C250</f>
        <v>NEMA 17 - 42x42x39 - 0,40Nm - 5mm Achse - 0,40A 12V</v>
      </c>
      <c r="D27" t="s">
        <v>129</v>
      </c>
      <c r="E27" s="9"/>
      <c r="H27" s="19"/>
      <c r="I27" s="31"/>
      <c r="J27" s="32"/>
      <c r="K27" s="29"/>
      <c r="L27" t="str">
        <f t="shared" ca="1" si="2"/>
        <v>Habs</v>
      </c>
    </row>
    <row r="28" spans="1:12" ht="13.8" customHeight="1" x14ac:dyDescent="0.3">
      <c r="B28" s="27">
        <v>2</v>
      </c>
      <c r="C28" s="26" t="str">
        <f>C177</f>
        <v>Zylinderkopfschraube Innensechskant M3 20mm</v>
      </c>
      <c r="D28" t="s">
        <v>130</v>
      </c>
      <c r="E28" s="9"/>
      <c r="H28" s="19"/>
      <c r="I28" s="31"/>
      <c r="J28" s="32"/>
      <c r="K28" s="29"/>
      <c r="L28" t="str">
        <f t="shared" ca="1" si="2"/>
        <v>Habs</v>
      </c>
    </row>
    <row r="29" spans="1:12" ht="13.8" customHeight="1" x14ac:dyDescent="0.3">
      <c r="B29" s="27">
        <v>2</v>
      </c>
      <c r="C29" s="26" t="str">
        <f>C191</f>
        <v>Unterlegscheiben M3 Dicke 0,5mm, Außendurchmesser 7mm</v>
      </c>
      <c r="D29" t="s">
        <v>130</v>
      </c>
      <c r="E29" s="9"/>
      <c r="H29" s="19"/>
      <c r="I29" s="31"/>
      <c r="J29" s="32"/>
      <c r="K29" s="29"/>
      <c r="L29" t="str">
        <f t="shared" ca="1" si="2"/>
        <v>Habs</v>
      </c>
    </row>
    <row r="30" spans="1:12" ht="13.8" customHeight="1" x14ac:dyDescent="0.3">
      <c r="B30" s="27">
        <v>1</v>
      </c>
      <c r="C30" s="26" t="str">
        <f>C177</f>
        <v>Zylinderkopfschraube Innensechskant M3 20mm</v>
      </c>
      <c r="D30" t="s">
        <v>132</v>
      </c>
      <c r="E30" s="9"/>
      <c r="H30" s="19"/>
      <c r="I30" s="31"/>
      <c r="J30" s="32"/>
      <c r="K30" s="29"/>
      <c r="L30" t="str">
        <f t="shared" ca="1" si="2"/>
        <v>Habs</v>
      </c>
    </row>
    <row r="31" spans="1:12" ht="13.8" customHeight="1" x14ac:dyDescent="0.3">
      <c r="B31" s="27">
        <v>2</v>
      </c>
      <c r="C31" s="26" t="str">
        <f>C191</f>
        <v>Unterlegscheiben M3 Dicke 0,5mm, Außendurchmesser 7mm</v>
      </c>
      <c r="D31" t="s">
        <v>132</v>
      </c>
      <c r="E31" s="9"/>
      <c r="H31" s="19"/>
      <c r="I31" s="31"/>
      <c r="J31" s="32"/>
      <c r="K31" s="29"/>
      <c r="L31" t="str">
        <f t="shared" ca="1" si="2"/>
        <v>Habs</v>
      </c>
    </row>
    <row r="32" spans="1:12" ht="13.8" customHeight="1" x14ac:dyDescent="0.3">
      <c r="B32" s="27">
        <v>2</v>
      </c>
      <c r="C32" s="26" t="str">
        <f>C262</f>
        <v>Rillenkugellager 3x10x4</v>
      </c>
      <c r="D32" t="s">
        <v>142</v>
      </c>
      <c r="E32" s="9"/>
      <c r="H32" s="19"/>
      <c r="I32" s="31"/>
      <c r="J32" s="32"/>
      <c r="K32" s="29"/>
      <c r="L32" t="str">
        <f t="shared" ca="1" si="2"/>
        <v>Habs</v>
      </c>
    </row>
    <row r="33" spans="1:12" ht="13.8" customHeight="1" x14ac:dyDescent="0.3">
      <c r="B33" s="27">
        <v>4</v>
      </c>
      <c r="C33" s="26" t="str">
        <f>C180</f>
        <v>Zylinderkopfschraube Innensechskant M2 6mm</v>
      </c>
      <c r="D33" t="s">
        <v>135</v>
      </c>
      <c r="E33" s="9"/>
      <c r="H33" s="19"/>
      <c r="I33" s="31"/>
      <c r="J33" s="32"/>
      <c r="K33" s="29"/>
      <c r="L33" t="str">
        <f t="shared" ca="1" si="2"/>
        <v>Habs</v>
      </c>
    </row>
    <row r="34" spans="1:12" ht="13.8" customHeight="1" x14ac:dyDescent="0.3">
      <c r="B34" s="27">
        <v>4</v>
      </c>
      <c r="C34" s="26" t="str">
        <f>C187</f>
        <v>Muttern M2</v>
      </c>
      <c r="D34" t="s">
        <v>135</v>
      </c>
      <c r="E34" s="9"/>
      <c r="H34" s="19"/>
      <c r="I34" s="31"/>
      <c r="J34" s="32"/>
      <c r="K34" s="29"/>
      <c r="L34" t="str">
        <f t="shared" ca="1" si="2"/>
        <v>Habs</v>
      </c>
    </row>
    <row r="35" spans="1:12" ht="13.8" customHeight="1" x14ac:dyDescent="0.3">
      <c r="B35" s="27">
        <v>1</v>
      </c>
      <c r="C35" s="26" t="str">
        <f>C256</f>
        <v>Rotary Sensor</v>
      </c>
      <c r="D35" t="s">
        <v>138</v>
      </c>
      <c r="E35" s="9"/>
      <c r="H35" s="19"/>
      <c r="I35" s="31"/>
      <c r="J35" s="32"/>
      <c r="K35" s="29"/>
      <c r="L35" t="str">
        <f t="shared" ca="1" si="2"/>
        <v>Habs</v>
      </c>
    </row>
    <row r="36" spans="1:12" ht="13.8" customHeight="1" x14ac:dyDescent="0.3">
      <c r="B36" s="27">
        <v>2</v>
      </c>
      <c r="C36" s="26" t="str">
        <f>C192</f>
        <v>Unterlegscheiben M2 Dicke 0,5mm</v>
      </c>
      <c r="D36" t="s">
        <v>139</v>
      </c>
      <c r="E36" s="9"/>
      <c r="H36" s="19"/>
      <c r="I36" s="31"/>
      <c r="J36" s="32"/>
      <c r="K36" s="29"/>
      <c r="L36" t="str">
        <f t="shared" ca="1" si="2"/>
        <v>Habs</v>
      </c>
    </row>
    <row r="37" spans="1:12" ht="13.8" customHeight="1" x14ac:dyDescent="0.3">
      <c r="B37" s="27">
        <v>3</v>
      </c>
      <c r="C37" s="26" t="str">
        <f>C202</f>
        <v>Distanzbolzen 2x Innen M3 20mm, Schlüsselweite 5,5mm</v>
      </c>
      <c r="D37" t="s">
        <v>350</v>
      </c>
      <c r="E37" s="9"/>
      <c r="H37" s="19"/>
      <c r="I37" s="31"/>
      <c r="J37" s="32"/>
      <c r="K37" s="29"/>
      <c r="L37" t="str">
        <f t="shared" ca="1" si="2"/>
        <v>Habs</v>
      </c>
    </row>
    <row r="38" spans="1:12" ht="13.8" customHeight="1" x14ac:dyDescent="0.3">
      <c r="B38" s="27">
        <v>6</v>
      </c>
      <c r="C38" s="26" t="str">
        <f>C191</f>
        <v>Unterlegscheiben M3 Dicke 0,5mm, Außendurchmesser 7mm</v>
      </c>
      <c r="D38" t="s">
        <v>350</v>
      </c>
      <c r="E38" s="9"/>
      <c r="H38" s="19"/>
      <c r="I38" s="31"/>
      <c r="J38" s="32"/>
      <c r="K38" s="29"/>
      <c r="L38" t="str">
        <f t="shared" ca="1" si="2"/>
        <v>Habs</v>
      </c>
    </row>
    <row r="39" spans="1:12" ht="13.8" customHeight="1" x14ac:dyDescent="0.3">
      <c r="B39" s="27">
        <v>6</v>
      </c>
      <c r="C39" s="26" t="str">
        <f>C175</f>
        <v>Zylinderkopfschraube Innensechskant M3 30mm</v>
      </c>
      <c r="D39" t="s">
        <v>350</v>
      </c>
      <c r="E39" s="9"/>
      <c r="H39" s="19"/>
      <c r="I39" s="31"/>
      <c r="J39" s="32"/>
      <c r="K39" s="29"/>
      <c r="L39" t="str">
        <f t="shared" ca="1" si="2"/>
        <v>Habs</v>
      </c>
    </row>
    <row r="40" spans="1:12" ht="13.8" customHeight="1" x14ac:dyDescent="0.3">
      <c r="B40" s="27">
        <v>1</v>
      </c>
      <c r="C40" s="26" t="str">
        <f>C202</f>
        <v>Distanzbolzen 2x Innen M3 20mm, Schlüsselweite 5,5mm</v>
      </c>
      <c r="D40" t="s">
        <v>349</v>
      </c>
      <c r="E40" s="9"/>
      <c r="H40" s="19"/>
      <c r="I40" s="31"/>
      <c r="J40" s="32"/>
      <c r="K40" s="29"/>
      <c r="L40" t="str">
        <f t="shared" ca="1" si="2"/>
        <v>Habs</v>
      </c>
    </row>
    <row r="41" spans="1:12" ht="13.8" customHeight="1" x14ac:dyDescent="0.3">
      <c r="B41" s="27">
        <v>2</v>
      </c>
      <c r="C41" s="26" t="str">
        <f>C177</f>
        <v>Zylinderkopfschraube Innensechskant M3 20mm</v>
      </c>
      <c r="D41" t="s">
        <v>349</v>
      </c>
      <c r="E41" s="9"/>
      <c r="H41" s="19"/>
      <c r="I41" s="31"/>
      <c r="J41" s="32"/>
      <c r="K41" s="29"/>
      <c r="L41" t="str">
        <f t="shared" ca="1" si="2"/>
        <v>Habs</v>
      </c>
    </row>
    <row r="42" spans="1:12" ht="13.8" customHeight="1" x14ac:dyDescent="0.3">
      <c r="B42" s="27">
        <v>4</v>
      </c>
      <c r="C42" s="26" t="str">
        <f>C202</f>
        <v>Distanzbolzen 2x Innen M3 20mm, Schlüsselweite 5,5mm</v>
      </c>
      <c r="D42" t="s">
        <v>150</v>
      </c>
      <c r="E42" s="9"/>
      <c r="H42" s="19"/>
      <c r="I42" s="31"/>
      <c r="J42" s="32"/>
      <c r="K42" s="29"/>
      <c r="L42" t="str">
        <f t="shared" ca="1" si="2"/>
        <v>Habs</v>
      </c>
    </row>
    <row r="43" spans="1:12" ht="13.8" customHeight="1" x14ac:dyDescent="0.3">
      <c r="B43" s="27">
        <v>4</v>
      </c>
      <c r="C43" s="26" t="str">
        <f>C177</f>
        <v>Zylinderkopfschraube Innensechskant M3 20mm</v>
      </c>
      <c r="D43" t="s">
        <v>151</v>
      </c>
      <c r="E43" s="9"/>
      <c r="H43" s="19"/>
      <c r="I43" s="31"/>
      <c r="J43" s="32"/>
      <c r="K43" s="29"/>
      <c r="L43" t="str">
        <f t="shared" ca="1" si="2"/>
        <v>Habs</v>
      </c>
    </row>
    <row r="44" spans="1:12" ht="13.8" customHeight="1" x14ac:dyDescent="0.3">
      <c r="B44" s="27">
        <v>4</v>
      </c>
      <c r="C44" s="26" t="str">
        <f>C191</f>
        <v>Unterlegscheiben M3 Dicke 0,5mm, Außendurchmesser 7mm</v>
      </c>
      <c r="D44" t="s">
        <v>150</v>
      </c>
      <c r="E44" s="9"/>
      <c r="H44" s="19"/>
      <c r="I44" s="31"/>
      <c r="J44" s="32"/>
      <c r="K44" s="29"/>
      <c r="L44" t="str">
        <f t="shared" ca="1" si="2"/>
        <v>Habs</v>
      </c>
    </row>
    <row r="45" spans="1:12" ht="13.8" customHeight="1" x14ac:dyDescent="0.3">
      <c r="B45" s="27"/>
      <c r="C45" s="26"/>
      <c r="E45" s="9"/>
      <c r="H45" s="19"/>
      <c r="I45" s="31"/>
      <c r="J45" s="32"/>
      <c r="K45" s="29"/>
    </row>
    <row r="46" spans="1:12" ht="13.8" customHeight="1" x14ac:dyDescent="0.3">
      <c r="B46" s="27"/>
      <c r="C46" s="26"/>
      <c r="E46" s="9"/>
      <c r="H46" s="19"/>
      <c r="I46" s="31"/>
      <c r="J46" s="32"/>
      <c r="K46" s="29"/>
    </row>
    <row r="47" spans="1:12" ht="13.8" customHeight="1" x14ac:dyDescent="0.3">
      <c r="B47" s="27"/>
      <c r="C47" s="26"/>
      <c r="E47" s="9"/>
      <c r="H47" s="19"/>
      <c r="I47" s="31"/>
      <c r="J47" s="32"/>
      <c r="K47" s="29"/>
    </row>
    <row r="48" spans="1:12" ht="13.8" customHeight="1" x14ac:dyDescent="0.3">
      <c r="A48" t="s">
        <v>308</v>
      </c>
      <c r="B48" s="27">
        <v>2</v>
      </c>
      <c r="C48" s="26" t="str">
        <f>C270</f>
        <v>Rillenkugellager DIN 625 SKF - 61807 35x47x7mm</v>
      </c>
      <c r="D48" t="s">
        <v>149</v>
      </c>
      <c r="E48" s="9"/>
      <c r="H48" s="19"/>
      <c r="I48" s="31"/>
      <c r="J48" s="32"/>
      <c r="K48" s="29"/>
      <c r="L48" t="str">
        <f t="shared" ref="L48:L66" ca="1" si="3">INDIRECT(ADDRESS(MATCH(C48,C$172:C$296,0)+ROW($B$172)-1,12))</f>
        <v>Habs</v>
      </c>
    </row>
    <row r="49" spans="2:12" ht="13.8" customHeight="1" x14ac:dyDescent="0.3">
      <c r="B49" s="27">
        <v>2</v>
      </c>
      <c r="C49" s="26" t="str">
        <f>C268</f>
        <v>RillenKugellager 6x19x6</v>
      </c>
      <c r="D49" t="s">
        <v>154</v>
      </c>
      <c r="E49" s="9"/>
      <c r="H49" s="19"/>
      <c r="I49" s="31"/>
      <c r="J49" s="32"/>
      <c r="K49" s="29"/>
      <c r="L49" t="str">
        <f t="shared" ca="1" si="3"/>
        <v>Habs</v>
      </c>
    </row>
    <row r="50" spans="2:12" ht="13.8" customHeight="1" x14ac:dyDescent="0.3">
      <c r="B50" s="27">
        <v>4</v>
      </c>
      <c r="C50" s="26" t="str">
        <f>C262</f>
        <v>Rillenkugellager 3x10x4</v>
      </c>
      <c r="D50" t="s">
        <v>155</v>
      </c>
      <c r="E50" s="9"/>
      <c r="H50" s="19"/>
      <c r="I50" s="31"/>
      <c r="J50" s="32"/>
      <c r="K50" s="29"/>
      <c r="L50" t="str">
        <f t="shared" ca="1" si="3"/>
        <v>Habs</v>
      </c>
    </row>
    <row r="51" spans="2:12" ht="13.8" customHeight="1" x14ac:dyDescent="0.3">
      <c r="B51" s="27">
        <v>40</v>
      </c>
      <c r="C51" s="26" t="str">
        <f>C197</f>
        <v>Silberstahlwelle 6mm Durchmesser</v>
      </c>
      <c r="D51" t="s">
        <v>159</v>
      </c>
      <c r="E51" s="9"/>
      <c r="H51" s="19"/>
      <c r="I51" s="31"/>
      <c r="J51" s="32"/>
      <c r="K51" s="29"/>
      <c r="L51" t="str">
        <f t="shared" ca="1" si="3"/>
        <v>Habs</v>
      </c>
    </row>
    <row r="52" spans="2:12" ht="13.8" customHeight="1" x14ac:dyDescent="0.3">
      <c r="B52" s="27">
        <f>2*21</f>
        <v>42</v>
      </c>
      <c r="C52" s="26" t="str">
        <f>C198</f>
        <v>Silberstahlwelle 3mm Durchmesser</v>
      </c>
      <c r="D52" t="s">
        <v>264</v>
      </c>
      <c r="E52" s="9"/>
      <c r="H52" s="19"/>
      <c r="I52" s="31"/>
      <c r="J52" s="32"/>
      <c r="K52" s="29"/>
      <c r="L52" t="str">
        <f t="shared" ca="1" si="3"/>
        <v>Habs</v>
      </c>
    </row>
    <row r="53" spans="2:12" ht="13.8" customHeight="1" x14ac:dyDescent="0.3">
      <c r="B53" s="27">
        <v>1</v>
      </c>
      <c r="C53" s="26" t="str">
        <f>C280</f>
        <v>Metallbohrer 6mm</v>
      </c>
      <c r="D53" t="s">
        <v>124</v>
      </c>
      <c r="E53" s="9"/>
      <c r="H53" s="19"/>
      <c r="I53" s="31"/>
      <c r="J53" s="32"/>
      <c r="K53" s="29"/>
      <c r="L53" t="str">
        <f t="shared" ca="1" si="3"/>
        <v>Habs</v>
      </c>
    </row>
    <row r="54" spans="2:12" ht="13.8" customHeight="1" x14ac:dyDescent="0.3">
      <c r="B54" s="27">
        <v>1</v>
      </c>
      <c r="C54" s="26" t="str">
        <f>C278</f>
        <v>Gewindeschneider M3</v>
      </c>
      <c r="D54" t="s">
        <v>124</v>
      </c>
      <c r="E54" s="9"/>
      <c r="H54" s="19"/>
      <c r="I54" s="31"/>
      <c r="J54" s="32"/>
      <c r="K54" s="29"/>
      <c r="L54" t="str">
        <f t="shared" ca="1" si="3"/>
        <v>Habs</v>
      </c>
    </row>
    <row r="55" spans="2:12" ht="13.8" customHeight="1" x14ac:dyDescent="0.3">
      <c r="B55" s="27">
        <v>1</v>
      </c>
      <c r="C55" s="26" t="str">
        <f>C282</f>
        <v>Metallbohrer 2.5mm (als M3 Kernlochborer)</v>
      </c>
      <c r="D55" t="s">
        <v>124</v>
      </c>
      <c r="E55" s="9"/>
      <c r="H55" s="19"/>
      <c r="I55" s="31"/>
      <c r="J55" s="32"/>
      <c r="K55" s="29"/>
      <c r="L55" t="str">
        <f t="shared" ca="1" si="3"/>
        <v>Habs</v>
      </c>
    </row>
    <row r="56" spans="2:12" ht="13.8" customHeight="1" x14ac:dyDescent="0.3">
      <c r="B56" s="27">
        <v>3</v>
      </c>
      <c r="C56" s="26" t="str">
        <f>C177</f>
        <v>Zylinderkopfschraube Innensechskant M3 20mm</v>
      </c>
      <c r="D56" t="s">
        <v>351</v>
      </c>
      <c r="E56" s="9"/>
      <c r="H56" s="19"/>
      <c r="I56" s="31"/>
      <c r="J56" s="32"/>
      <c r="K56" s="29"/>
      <c r="L56" t="str">
        <f t="shared" ca="1" si="3"/>
        <v>Habs</v>
      </c>
    </row>
    <row r="57" spans="2:12" ht="13.8" customHeight="1" x14ac:dyDescent="0.3">
      <c r="B57" s="27">
        <v>3</v>
      </c>
      <c r="C57" s="26" t="str">
        <f>C186</f>
        <v>Muttern M3, Schlüsselweite 5.5 mm</v>
      </c>
      <c r="D57" t="s">
        <v>351</v>
      </c>
      <c r="E57" s="9"/>
      <c r="H57" s="19"/>
      <c r="I57" s="31"/>
      <c r="J57" s="32"/>
      <c r="K57" s="29"/>
      <c r="L57" t="str">
        <f t="shared" ca="1" si="3"/>
        <v>Habs</v>
      </c>
    </row>
    <row r="58" spans="2:12" ht="13.8" customHeight="1" x14ac:dyDescent="0.3">
      <c r="B58" s="27">
        <v>6</v>
      </c>
      <c r="C58" s="26" t="str">
        <f>C176</f>
        <v>Zylinderkopfschraube Innensechskant M3 25mm</v>
      </c>
      <c r="D58" t="s">
        <v>352</v>
      </c>
      <c r="E58" s="9"/>
      <c r="H58" s="19"/>
      <c r="I58" s="31"/>
      <c r="J58" s="32"/>
      <c r="K58" s="29"/>
      <c r="L58" t="str">
        <f t="shared" ca="1" si="3"/>
        <v>Habs</v>
      </c>
    </row>
    <row r="59" spans="2:12" ht="13.8" customHeight="1" x14ac:dyDescent="0.3">
      <c r="B59" s="27">
        <v>4</v>
      </c>
      <c r="C59" s="26" t="str">
        <f>C202</f>
        <v>Distanzbolzen 2x Innen M3 20mm, Schlüsselweite 5,5mm</v>
      </c>
      <c r="D59" t="s">
        <v>352</v>
      </c>
      <c r="E59" s="9"/>
      <c r="H59" s="19"/>
      <c r="I59" s="31"/>
      <c r="J59" s="32"/>
      <c r="K59" s="29"/>
      <c r="L59" t="str">
        <f t="shared" ca="1" si="3"/>
        <v>Habs</v>
      </c>
    </row>
    <row r="60" spans="2:12" ht="13.8" customHeight="1" x14ac:dyDescent="0.3">
      <c r="B60" s="27">
        <v>1</v>
      </c>
      <c r="C60" s="26" t="str">
        <f>C252</f>
        <v>NEMA 17 - 42x42x34 - 0,26Nm - 5mm Achse - 0.4A 12V</v>
      </c>
      <c r="D60" t="s">
        <v>129</v>
      </c>
      <c r="E60" s="9"/>
      <c r="H60" s="19"/>
      <c r="I60" s="31"/>
      <c r="J60" s="32"/>
      <c r="K60" s="29"/>
      <c r="L60" t="str">
        <f t="shared" ca="1" si="3"/>
        <v>Habs</v>
      </c>
    </row>
    <row r="61" spans="2:12" ht="13.8" customHeight="1" x14ac:dyDescent="0.3">
      <c r="B61" s="27">
        <v>1</v>
      </c>
      <c r="C61" s="26" t="str">
        <f>C256</f>
        <v>Rotary Sensor</v>
      </c>
      <c r="D61" t="s">
        <v>138</v>
      </c>
      <c r="E61" s="9"/>
      <c r="H61" s="19"/>
      <c r="I61" s="31"/>
      <c r="J61" s="32"/>
      <c r="K61" s="29"/>
      <c r="L61" t="str">
        <f t="shared" ca="1" si="3"/>
        <v>Habs</v>
      </c>
    </row>
    <row r="62" spans="2:12" ht="13.8" customHeight="1" x14ac:dyDescent="0.3">
      <c r="B62" s="27">
        <v>1</v>
      </c>
      <c r="C62" s="26" t="str">
        <f>C231</f>
        <v>Zahnriemen T2,5 145mm 6mm Breite</v>
      </c>
      <c r="D62" t="s">
        <v>355</v>
      </c>
      <c r="E62" s="9" t="s">
        <v>365</v>
      </c>
      <c r="H62" s="19"/>
      <c r="I62" s="31"/>
      <c r="J62" s="32"/>
      <c r="K62" s="29"/>
      <c r="L62" t="str">
        <f t="shared" ca="1" si="3"/>
        <v>Habs</v>
      </c>
    </row>
    <row r="63" spans="2:12" ht="13.8" customHeight="1" x14ac:dyDescent="0.3">
      <c r="B63" s="27">
        <v>1</v>
      </c>
      <c r="C63" s="26" t="str">
        <f>C230</f>
        <v>Zahnriemen T2,5 120mm 6mm Breite</v>
      </c>
      <c r="D63" t="s">
        <v>390</v>
      </c>
      <c r="E63" s="9"/>
      <c r="H63" s="19"/>
      <c r="I63" s="31"/>
      <c r="J63" s="32"/>
      <c r="K63" s="29"/>
      <c r="L63" t="str">
        <f t="shared" ca="1" si="3"/>
        <v>Habs</v>
      </c>
    </row>
    <row r="64" spans="2:12" s="49" customFormat="1" ht="13.8" customHeight="1" x14ac:dyDescent="0.3">
      <c r="B64" s="50">
        <v>1</v>
      </c>
      <c r="C64" s="51" t="str">
        <f>C207</f>
        <v>Zahnriemenscheibe T2,5, 12 Zähne (d=9,55)</v>
      </c>
      <c r="D64" s="49" t="s">
        <v>439</v>
      </c>
      <c r="E64" s="52"/>
      <c r="H64" s="53"/>
      <c r="I64" s="54"/>
      <c r="J64" s="55"/>
      <c r="K64" s="56"/>
      <c r="L64" s="49" t="str">
        <f t="shared" ca="1" si="3"/>
        <v>-</v>
      </c>
    </row>
    <row r="65" spans="1:12" s="49" customFormat="1" ht="13.8" customHeight="1" x14ac:dyDescent="0.3">
      <c r="B65" s="50">
        <v>1</v>
      </c>
      <c r="C65" s="51" t="str">
        <f>C214</f>
        <v>Zahnriemenscheibe T2,5, 30 Zähne (d=23,87)</v>
      </c>
      <c r="D65" s="49" t="s">
        <v>385</v>
      </c>
      <c r="E65" s="52"/>
      <c r="H65" s="53"/>
      <c r="I65" s="54"/>
      <c r="J65" s="55"/>
      <c r="K65" s="56"/>
      <c r="L65" s="49" t="str">
        <f t="shared" ca="1" si="3"/>
        <v>Habs</v>
      </c>
    </row>
    <row r="66" spans="1:12" ht="13.8" customHeight="1" x14ac:dyDescent="0.3">
      <c r="B66" s="27">
        <v>1</v>
      </c>
      <c r="C66" s="26" t="str">
        <f>C208</f>
        <v xml:space="preserve"> Zahnriemenscheibe T2,5, 15 Zähne (d=11,94)</v>
      </c>
      <c r="D66" t="s">
        <v>385</v>
      </c>
      <c r="E66" s="9"/>
      <c r="H66" s="19"/>
      <c r="I66" s="31"/>
      <c r="J66" s="32"/>
      <c r="K66" s="29"/>
      <c r="L66" t="str">
        <f t="shared" ca="1" si="3"/>
        <v>-</v>
      </c>
    </row>
    <row r="67" spans="1:12" ht="13.8" customHeight="1" x14ac:dyDescent="0.3">
      <c r="B67" s="27"/>
      <c r="C67" s="26"/>
      <c r="E67" s="9"/>
      <c r="H67" s="19"/>
      <c r="I67" s="31"/>
      <c r="J67" s="32"/>
      <c r="K67" s="29"/>
    </row>
    <row r="68" spans="1:12" ht="13.8" customHeight="1" x14ac:dyDescent="0.3">
      <c r="A68" t="s">
        <v>3</v>
      </c>
      <c r="B68" s="27">
        <v>4</v>
      </c>
      <c r="C68" s="26" t="str">
        <f>C180</f>
        <v>Zylinderkopfschraube Innensechskant M2 6mm</v>
      </c>
      <c r="D68" t="s">
        <v>135</v>
      </c>
      <c r="E68" s="9"/>
      <c r="H68" s="19"/>
      <c r="I68" s="31"/>
      <c r="J68" s="32"/>
      <c r="K68" s="29"/>
      <c r="L68" t="str">
        <f t="shared" ref="L68:L109" ca="1" si="4">INDIRECT(ADDRESS(MATCH(C68,C$172:C$296,0)+ROW($B$172)-1,12))</f>
        <v>Habs</v>
      </c>
    </row>
    <row r="69" spans="1:12" ht="13.8" customHeight="1" x14ac:dyDescent="0.3">
      <c r="B69" s="27">
        <v>4</v>
      </c>
      <c r="C69" s="26" t="str">
        <f>C187</f>
        <v>Muttern M2</v>
      </c>
      <c r="D69" t="s">
        <v>135</v>
      </c>
      <c r="E69" s="9"/>
      <c r="H69" s="19"/>
      <c r="I69" s="31"/>
      <c r="J69" s="32"/>
      <c r="K69" s="29"/>
      <c r="L69" t="str">
        <f t="shared" ca="1" si="4"/>
        <v>Habs</v>
      </c>
    </row>
    <row r="70" spans="1:12" ht="13.8" customHeight="1" x14ac:dyDescent="0.3">
      <c r="B70" s="27">
        <v>1</v>
      </c>
      <c r="C70" s="26" t="str">
        <f>C256</f>
        <v>Rotary Sensor</v>
      </c>
      <c r="D70" t="s">
        <v>138</v>
      </c>
      <c r="E70" s="9"/>
      <c r="H70" s="19"/>
      <c r="I70" s="31"/>
      <c r="J70" s="32"/>
      <c r="K70" s="29"/>
      <c r="L70" t="str">
        <f t="shared" ca="1" si="4"/>
        <v>Habs</v>
      </c>
    </row>
    <row r="71" spans="1:12" ht="13.8" customHeight="1" x14ac:dyDescent="0.3">
      <c r="B71" s="27">
        <v>2</v>
      </c>
      <c r="C71" s="26" t="str">
        <f>C192</f>
        <v>Unterlegscheiben M2 Dicke 0,5mm</v>
      </c>
      <c r="D71" t="s">
        <v>139</v>
      </c>
      <c r="E71" s="9"/>
      <c r="H71" s="19"/>
      <c r="I71" s="31"/>
      <c r="J71" s="32"/>
      <c r="K71" s="29"/>
      <c r="L71" t="str">
        <f t="shared" ca="1" si="4"/>
        <v>Habs</v>
      </c>
    </row>
    <row r="72" spans="1:12" ht="13.8" customHeight="1" x14ac:dyDescent="0.3">
      <c r="B72" s="27">
        <v>2</v>
      </c>
      <c r="C72" s="26" t="str">
        <f>C270</f>
        <v>Rillenkugellager DIN 625 SKF - 61807 35x47x7mm</v>
      </c>
      <c r="D72" t="s">
        <v>168</v>
      </c>
      <c r="E72" s="9"/>
      <c r="H72" s="19"/>
      <c r="I72" s="31"/>
      <c r="J72" s="32"/>
      <c r="K72" s="29"/>
      <c r="L72" t="str">
        <f t="shared" ca="1" si="4"/>
        <v>Habs</v>
      </c>
    </row>
    <row r="73" spans="1:12" ht="13.8" customHeight="1" x14ac:dyDescent="0.3">
      <c r="B73" s="27">
        <v>4</v>
      </c>
      <c r="C73" s="26" t="str">
        <f>C183</f>
        <v>Senkkopfschraube Innensechskant M3 10mm</v>
      </c>
      <c r="D73" t="s">
        <v>169</v>
      </c>
      <c r="E73" s="9"/>
      <c r="H73" s="19"/>
      <c r="I73" s="31"/>
      <c r="J73" s="32"/>
      <c r="K73" s="29"/>
      <c r="L73" t="str">
        <f t="shared" ca="1" si="4"/>
        <v>Habs</v>
      </c>
    </row>
    <row r="74" spans="1:12" ht="13.8" customHeight="1" x14ac:dyDescent="0.3">
      <c r="B74" s="27">
        <v>4</v>
      </c>
      <c r="C74" s="26" t="str">
        <f>C183</f>
        <v>Senkkopfschraube Innensechskant M3 10mm</v>
      </c>
      <c r="D74" t="s">
        <v>171</v>
      </c>
      <c r="E74" s="9"/>
      <c r="H74" s="19"/>
      <c r="I74" s="31"/>
      <c r="J74" s="32"/>
      <c r="K74" s="29"/>
      <c r="L74" t="str">
        <f t="shared" ca="1" si="4"/>
        <v>Habs</v>
      </c>
    </row>
    <row r="75" spans="1:12" ht="13.8" customHeight="1" x14ac:dyDescent="0.3">
      <c r="B75" s="27">
        <v>4</v>
      </c>
      <c r="C75" s="26" t="str">
        <f>C173</f>
        <v>Zylinderkopfschraube Innensechskant M3 40mm</v>
      </c>
      <c r="D75" t="s">
        <v>175</v>
      </c>
      <c r="E75" s="9"/>
      <c r="H75" s="19"/>
      <c r="I75" s="31"/>
      <c r="J75" s="32"/>
      <c r="K75" s="29"/>
      <c r="L75" t="str">
        <f t="shared" ca="1" si="4"/>
        <v>Habs</v>
      </c>
    </row>
    <row r="76" spans="1:12" ht="13.8" customHeight="1" x14ac:dyDescent="0.3">
      <c r="B76" s="27">
        <v>4</v>
      </c>
      <c r="C76" s="26" t="str">
        <f>C175</f>
        <v>Zylinderkopfschraube Innensechskant M3 30mm</v>
      </c>
      <c r="D76" t="s">
        <v>176</v>
      </c>
      <c r="E76" s="9"/>
      <c r="H76" s="19"/>
      <c r="I76" s="31"/>
      <c r="J76" s="32"/>
      <c r="K76" s="29"/>
      <c r="L76" t="str">
        <f t="shared" ca="1" si="4"/>
        <v>Habs</v>
      </c>
    </row>
    <row r="77" spans="1:12" ht="13.8" customHeight="1" x14ac:dyDescent="0.3">
      <c r="B77" s="27">
        <v>8</v>
      </c>
      <c r="C77" s="26" t="str">
        <f>C186</f>
        <v>Muttern M3, Schlüsselweite 5.5 mm</v>
      </c>
      <c r="D77" t="s">
        <v>176</v>
      </c>
      <c r="E77" s="9"/>
      <c r="H77" s="19"/>
      <c r="I77" s="31"/>
      <c r="J77" s="32"/>
      <c r="K77" s="29"/>
      <c r="L77" t="str">
        <f t="shared" ca="1" si="4"/>
        <v>Habs</v>
      </c>
    </row>
    <row r="78" spans="1:12" ht="13.8" customHeight="1" x14ac:dyDescent="0.3">
      <c r="B78" s="27">
        <v>12</v>
      </c>
      <c r="C78" s="26" t="str">
        <f>C191</f>
        <v>Unterlegscheiben M3 Dicke 0,5mm, Außendurchmesser 7mm</v>
      </c>
      <c r="D78" t="s">
        <v>177</v>
      </c>
      <c r="E78" s="9"/>
      <c r="H78" s="19"/>
      <c r="I78" s="31"/>
      <c r="J78" s="32"/>
      <c r="K78" s="29"/>
      <c r="L78" t="str">
        <f t="shared" ca="1" si="4"/>
        <v>Habs</v>
      </c>
    </row>
    <row r="79" spans="1:12" ht="13.8" customHeight="1" x14ac:dyDescent="0.3">
      <c r="B79" s="27">
        <v>4</v>
      </c>
      <c r="C79" s="26" t="str">
        <f>C172</f>
        <v>Zylinderkopfschraube Innensechskant M3 45mm</v>
      </c>
      <c r="D79" t="s">
        <v>178</v>
      </c>
      <c r="E79" s="9"/>
      <c r="H79" s="19"/>
      <c r="I79" s="31"/>
      <c r="J79" s="32"/>
      <c r="K79" s="29"/>
      <c r="L79" t="str">
        <f t="shared" ca="1" si="4"/>
        <v>Habs</v>
      </c>
    </row>
    <row r="80" spans="1:12" ht="13.8" customHeight="1" x14ac:dyDescent="0.3">
      <c r="B80" s="27">
        <v>8</v>
      </c>
      <c r="C80" s="26" t="str">
        <f>C265</f>
        <v>Rillenkugellager  4 x13 x 5 mm mit Flansch</v>
      </c>
      <c r="D80" t="s">
        <v>178</v>
      </c>
      <c r="E80" s="9"/>
      <c r="H80" s="19"/>
      <c r="I80" s="31"/>
      <c r="J80" s="32"/>
      <c r="K80" s="29"/>
      <c r="L80" t="str">
        <f t="shared" ca="1" si="4"/>
        <v>Habs</v>
      </c>
    </row>
    <row r="81" spans="2:12" ht="13.8" customHeight="1" x14ac:dyDescent="0.3">
      <c r="B81" s="27">
        <v>4</v>
      </c>
      <c r="C81" s="26" t="str">
        <f>C266</f>
        <v xml:space="preserve">Rillenkugellager  4 x13 x 5 mm </v>
      </c>
      <c r="D81" t="s">
        <v>178</v>
      </c>
      <c r="E81" s="9"/>
      <c r="H81" s="19"/>
      <c r="I81" s="31"/>
      <c r="J81" s="32"/>
      <c r="K81" s="29"/>
      <c r="L81" t="str">
        <f t="shared" ca="1" si="4"/>
        <v>Habs</v>
      </c>
    </row>
    <row r="82" spans="2:12" ht="13.8" customHeight="1" x14ac:dyDescent="0.3">
      <c r="B82" s="27">
        <v>40</v>
      </c>
      <c r="C82" s="26" t="str">
        <f>C200</f>
        <v>Rohr 4mmx3.1mm (=M3)</v>
      </c>
      <c r="D82" t="s">
        <v>178</v>
      </c>
      <c r="E82" s="9"/>
      <c r="H82" s="19"/>
      <c r="I82" s="31"/>
      <c r="J82" s="32"/>
      <c r="K82" s="29"/>
      <c r="L82" t="str">
        <f t="shared" ca="1" si="4"/>
        <v>Habs</v>
      </c>
    </row>
    <row r="83" spans="2:12" ht="13.8" customHeight="1" x14ac:dyDescent="0.3">
      <c r="B83" s="27">
        <v>12</v>
      </c>
      <c r="C83" s="26" t="str">
        <f>C191</f>
        <v>Unterlegscheiben M3 Dicke 0,5mm, Außendurchmesser 7mm</v>
      </c>
      <c r="D83" t="s">
        <v>178</v>
      </c>
      <c r="E83" s="9"/>
      <c r="H83" s="19"/>
      <c r="I83" s="31"/>
      <c r="J83" s="32"/>
      <c r="K83" s="29"/>
      <c r="L83" t="str">
        <f t="shared" ca="1" si="4"/>
        <v>Habs</v>
      </c>
    </row>
    <row r="84" spans="2:12" ht="13.8" customHeight="1" x14ac:dyDescent="0.3">
      <c r="B84" s="27">
        <v>1</v>
      </c>
      <c r="C84" s="26" t="str">
        <f>C189</f>
        <v>Madenschraube M3 16mm</v>
      </c>
      <c r="D84" t="s">
        <v>178</v>
      </c>
      <c r="E84" s="9"/>
      <c r="H84" s="19"/>
      <c r="I84" s="31"/>
      <c r="J84" s="32"/>
      <c r="K84" s="29"/>
      <c r="L84" t="str">
        <f t="shared" ca="1" si="4"/>
        <v>Habs</v>
      </c>
    </row>
    <row r="85" spans="2:12" ht="13.8" customHeight="1" x14ac:dyDescent="0.3">
      <c r="B85" s="27">
        <v>72</v>
      </c>
      <c r="C85" s="26" t="str">
        <f>C199</f>
        <v>Silberstahlwelle 8mm Durchmesser</v>
      </c>
      <c r="D85" t="s">
        <v>183</v>
      </c>
      <c r="E85" s="9"/>
      <c r="H85" s="19"/>
      <c r="I85" s="31"/>
      <c r="J85" s="32"/>
      <c r="K85" s="29"/>
      <c r="L85" t="str">
        <f t="shared" ca="1" si="4"/>
        <v>Habs</v>
      </c>
    </row>
    <row r="86" spans="2:12" ht="13.8" customHeight="1" x14ac:dyDescent="0.3">
      <c r="B86" s="27">
        <v>2</v>
      </c>
      <c r="C86" s="26" t="str">
        <f>C190</f>
        <v>Madenschraube M3 5mm</v>
      </c>
      <c r="D86" t="s">
        <v>183</v>
      </c>
      <c r="E86" s="9"/>
      <c r="H86" s="19"/>
      <c r="I86" s="31"/>
      <c r="J86" s="32"/>
      <c r="K86" s="29"/>
      <c r="L86" t="str">
        <f t="shared" ca="1" si="4"/>
        <v>Habs</v>
      </c>
    </row>
    <row r="87" spans="2:12" ht="13.8" customHeight="1" x14ac:dyDescent="0.3">
      <c r="B87" s="27">
        <v>2</v>
      </c>
      <c r="C87" s="26" t="str">
        <f>C271</f>
        <v>Rillenkugellager 8x22x7</v>
      </c>
      <c r="D87" t="s">
        <v>183</v>
      </c>
      <c r="E87" s="9"/>
      <c r="H87" s="19"/>
      <c r="I87" s="31"/>
      <c r="J87" s="32"/>
      <c r="K87" s="29"/>
      <c r="L87" t="str">
        <f t="shared" ca="1" si="4"/>
        <v>Habs</v>
      </c>
    </row>
    <row r="88" spans="2:12" ht="13.8" customHeight="1" x14ac:dyDescent="0.3">
      <c r="B88" s="27">
        <v>4</v>
      </c>
      <c r="C88" s="26" t="str">
        <f>C193</f>
        <v>Unterlegscheiben 8mm Innendurchmesser</v>
      </c>
      <c r="D88" t="s">
        <v>183</v>
      </c>
      <c r="E88" s="9"/>
      <c r="H88" s="19"/>
      <c r="I88" s="31"/>
      <c r="J88" s="32"/>
      <c r="K88" s="29"/>
      <c r="L88" t="str">
        <f t="shared" ca="1" si="4"/>
        <v>-</v>
      </c>
    </row>
    <row r="89" spans="2:12" ht="13.8" customHeight="1" x14ac:dyDescent="0.3">
      <c r="B89" s="27">
        <v>4</v>
      </c>
      <c r="C89" s="26" t="str">
        <f>C172</f>
        <v>Zylinderkopfschraube Innensechskant M3 45mm</v>
      </c>
      <c r="D89" t="s">
        <v>193</v>
      </c>
      <c r="E89" s="9"/>
      <c r="H89" s="19"/>
      <c r="I89" s="31"/>
      <c r="J89" s="32"/>
      <c r="K89" s="29"/>
      <c r="L89" t="str">
        <f t="shared" ca="1" si="4"/>
        <v>Habs</v>
      </c>
    </row>
    <row r="90" spans="2:12" ht="13.8" customHeight="1" x14ac:dyDescent="0.3">
      <c r="B90" s="27">
        <v>4</v>
      </c>
      <c r="C90" s="26" t="str">
        <f>C191</f>
        <v>Unterlegscheiben M3 Dicke 0,5mm, Außendurchmesser 7mm</v>
      </c>
      <c r="D90" t="s">
        <v>193</v>
      </c>
      <c r="E90" s="9"/>
      <c r="H90" s="19"/>
      <c r="I90" s="31"/>
      <c r="J90" s="32"/>
      <c r="K90" s="29"/>
      <c r="L90" t="str">
        <f t="shared" ca="1" si="4"/>
        <v>Habs</v>
      </c>
    </row>
    <row r="91" spans="2:12" ht="13.8" customHeight="1" x14ac:dyDescent="0.3">
      <c r="B91" s="27">
        <v>4</v>
      </c>
      <c r="C91" s="26" t="str">
        <f>C185</f>
        <v>Vierkant Mutter M3 Breite 5.5mm</v>
      </c>
      <c r="D91" t="s">
        <v>193</v>
      </c>
      <c r="E91" s="9"/>
      <c r="H91" s="19"/>
      <c r="I91" s="31"/>
      <c r="J91" s="32"/>
      <c r="K91" s="29"/>
      <c r="L91" t="str">
        <f t="shared" ca="1" si="4"/>
        <v>Habs</v>
      </c>
    </row>
    <row r="92" spans="2:12" ht="13.8" customHeight="1" x14ac:dyDescent="0.3">
      <c r="B92" s="27">
        <v>1</v>
      </c>
      <c r="C92" s="26" t="str">
        <f>C172</f>
        <v>Zylinderkopfschraube Innensechskant M3 45mm</v>
      </c>
      <c r="D92" t="s">
        <v>192</v>
      </c>
      <c r="E92" s="9"/>
      <c r="H92" s="19"/>
      <c r="I92" s="31"/>
      <c r="J92" s="32"/>
      <c r="K92" s="29"/>
      <c r="L92" t="str">
        <f t="shared" ca="1" si="4"/>
        <v>Habs</v>
      </c>
    </row>
    <row r="93" spans="2:12" ht="13.8" customHeight="1" x14ac:dyDescent="0.3">
      <c r="B93" s="27">
        <v>4</v>
      </c>
      <c r="C93" s="26" t="str">
        <f>C191</f>
        <v>Unterlegscheiben M3 Dicke 0,5mm, Außendurchmesser 7mm</v>
      </c>
      <c r="D93" t="s">
        <v>192</v>
      </c>
      <c r="E93" s="9"/>
      <c r="H93" s="19"/>
      <c r="I93" s="31"/>
      <c r="J93" s="32"/>
      <c r="K93" s="29"/>
      <c r="L93" t="str">
        <f t="shared" ca="1" si="4"/>
        <v>Habs</v>
      </c>
    </row>
    <row r="94" spans="2:12" ht="13.8" customHeight="1" x14ac:dyDescent="0.3">
      <c r="B94" s="27">
        <v>1</v>
      </c>
      <c r="C94" s="26" t="str">
        <f>C185</f>
        <v>Vierkant Mutter M3 Breite 5.5mm</v>
      </c>
      <c r="D94" t="s">
        <v>192</v>
      </c>
      <c r="E94" s="9"/>
      <c r="H94" s="19"/>
      <c r="I94" s="31"/>
      <c r="J94" s="32"/>
      <c r="K94" s="29"/>
      <c r="L94" t="str">
        <f t="shared" ca="1" si="4"/>
        <v>Habs</v>
      </c>
    </row>
    <row r="95" spans="2:12" ht="13.8" customHeight="1" x14ac:dyDescent="0.3">
      <c r="B95" s="27">
        <v>2</v>
      </c>
      <c r="C95" s="26" t="str">
        <f>C266</f>
        <v xml:space="preserve">Rillenkugellager  4 x13 x 5 mm </v>
      </c>
      <c r="D95" t="s">
        <v>192</v>
      </c>
      <c r="E95" s="9"/>
      <c r="H95" s="19"/>
      <c r="I95" s="31"/>
      <c r="J95" s="32"/>
      <c r="K95" s="29"/>
      <c r="L95" t="str">
        <f t="shared" ca="1" si="4"/>
        <v>Habs</v>
      </c>
    </row>
    <row r="96" spans="2:12" ht="13.8" customHeight="1" x14ac:dyDescent="0.3">
      <c r="B96" s="27">
        <v>40</v>
      </c>
      <c r="C96" s="26" t="str">
        <f>C200</f>
        <v>Rohr 4mmx3.1mm (=M3)</v>
      </c>
      <c r="D96" t="s">
        <v>192</v>
      </c>
      <c r="E96" s="9"/>
      <c r="H96" s="19"/>
      <c r="I96" s="31"/>
      <c r="J96" s="32"/>
      <c r="K96" s="29"/>
      <c r="L96" t="str">
        <f t="shared" ca="1" si="4"/>
        <v>Habs</v>
      </c>
    </row>
    <row r="97" spans="1:12" ht="13.8" customHeight="1" x14ac:dyDescent="0.3">
      <c r="B97" s="27">
        <v>4</v>
      </c>
      <c r="C97" s="26" t="str">
        <f>C194</f>
        <v>Unterlegscheiben M3 Kunststoff 0,8mm, Außendurchmesser 7mm</v>
      </c>
      <c r="D97" t="s">
        <v>192</v>
      </c>
      <c r="E97" s="9"/>
      <c r="H97" s="19"/>
      <c r="I97" s="31"/>
      <c r="J97" s="32"/>
      <c r="K97" s="29"/>
      <c r="L97" t="str">
        <f t="shared" ca="1" si="4"/>
        <v>Habs</v>
      </c>
    </row>
    <row r="98" spans="1:12" ht="13.8" customHeight="1" x14ac:dyDescent="0.3">
      <c r="B98" s="27">
        <v>4</v>
      </c>
      <c r="C98" s="26" t="str">
        <f>C183</f>
        <v>Senkkopfschraube Innensechskant M3 10mm</v>
      </c>
      <c r="D98" t="s">
        <v>116</v>
      </c>
      <c r="E98" s="9"/>
      <c r="H98" s="19"/>
      <c r="I98" s="31"/>
      <c r="J98" s="32"/>
      <c r="K98" s="29"/>
      <c r="L98" t="str">
        <f t="shared" ca="1" si="4"/>
        <v>Habs</v>
      </c>
    </row>
    <row r="99" spans="1:12" ht="13.8" customHeight="1" x14ac:dyDescent="0.3">
      <c r="B99" s="27">
        <v>8</v>
      </c>
      <c r="C99" s="26" t="str">
        <f>C177</f>
        <v>Zylinderkopfschraube Innensechskant M3 20mm</v>
      </c>
      <c r="D99" t="s">
        <v>195</v>
      </c>
      <c r="E99" s="9"/>
      <c r="H99" s="19"/>
      <c r="I99" s="31"/>
      <c r="J99" s="32"/>
      <c r="K99" s="29"/>
      <c r="L99" t="str">
        <f t="shared" ca="1" si="4"/>
        <v>Habs</v>
      </c>
    </row>
    <row r="100" spans="1:12" ht="13.8" customHeight="1" x14ac:dyDescent="0.3">
      <c r="B100" s="27">
        <v>4</v>
      </c>
      <c r="C100" s="26" t="str">
        <f>C202</f>
        <v>Distanzbolzen 2x Innen M3 20mm, Schlüsselweite 5,5mm</v>
      </c>
      <c r="D100" t="s">
        <v>195</v>
      </c>
      <c r="E100" s="9"/>
      <c r="H100" s="19"/>
      <c r="I100" s="31"/>
      <c r="J100" s="32"/>
      <c r="K100" s="29"/>
      <c r="L100" t="str">
        <f t="shared" ca="1" si="4"/>
        <v>Habs</v>
      </c>
    </row>
    <row r="101" spans="1:12" ht="13.8" customHeight="1" x14ac:dyDescent="0.3">
      <c r="B101" s="27">
        <v>8</v>
      </c>
      <c r="C101" s="26" t="str">
        <f>C191</f>
        <v>Unterlegscheiben M3 Dicke 0,5mm, Außendurchmesser 7mm</v>
      </c>
      <c r="D101" t="s">
        <v>195</v>
      </c>
      <c r="E101" s="9"/>
      <c r="H101" s="19"/>
      <c r="I101" s="31"/>
      <c r="J101" s="32"/>
      <c r="K101" s="29"/>
      <c r="L101" t="str">
        <f t="shared" ca="1" si="4"/>
        <v>Habs</v>
      </c>
    </row>
    <row r="102" spans="1:12" ht="13.8" customHeight="1" x14ac:dyDescent="0.3">
      <c r="B102" s="27">
        <v>4</v>
      </c>
      <c r="C102" s="26" t="str">
        <f>C175</f>
        <v>Zylinderkopfschraube Innensechskant M3 30mm</v>
      </c>
      <c r="D102" t="s">
        <v>196</v>
      </c>
      <c r="E102" s="9"/>
      <c r="H102" s="19"/>
      <c r="I102" s="31"/>
      <c r="J102" s="32"/>
      <c r="K102" s="29"/>
      <c r="L102" t="str">
        <f t="shared" ca="1" si="4"/>
        <v>Habs</v>
      </c>
    </row>
    <row r="103" spans="1:12" ht="13.8" customHeight="1" x14ac:dyDescent="0.3">
      <c r="B103" s="27">
        <v>4</v>
      </c>
      <c r="C103" s="26" t="str">
        <f>C191</f>
        <v>Unterlegscheiben M3 Dicke 0,5mm, Außendurchmesser 7mm</v>
      </c>
      <c r="D103" t="s">
        <v>196</v>
      </c>
      <c r="E103" s="9"/>
      <c r="H103" s="19"/>
      <c r="I103" s="31"/>
      <c r="J103" s="32"/>
      <c r="K103" s="29"/>
      <c r="L103" t="str">
        <f t="shared" ca="1" si="4"/>
        <v>Habs</v>
      </c>
    </row>
    <row r="104" spans="1:12" ht="13.8" customHeight="1" x14ac:dyDescent="0.3">
      <c r="B104" s="27">
        <v>1</v>
      </c>
      <c r="C104" s="26" t="str">
        <f>C241</f>
        <v>Zahnriemen T5 375mm 10mm Breite</v>
      </c>
      <c r="D104" t="s">
        <v>416</v>
      </c>
      <c r="E104" s="9"/>
      <c r="H104" s="19"/>
      <c r="I104" s="31"/>
      <c r="J104" s="32"/>
      <c r="K104" s="29"/>
      <c r="L104" t="str">
        <f t="shared" ca="1" si="4"/>
        <v>Habs</v>
      </c>
    </row>
    <row r="105" spans="1:12" ht="13.8" customHeight="1" x14ac:dyDescent="0.3">
      <c r="B105" s="27">
        <v>1</v>
      </c>
      <c r="C105" s="26" t="str">
        <f>C242</f>
        <v>Zahnriemen T5 430mm 10mm Breite</v>
      </c>
      <c r="D105" t="s">
        <v>418</v>
      </c>
      <c r="E105" s="9"/>
      <c r="H105" s="19"/>
      <c r="I105" s="31"/>
      <c r="J105" s="32"/>
      <c r="K105" s="29"/>
      <c r="L105" t="str">
        <f t="shared" ca="1" si="4"/>
        <v>Habs</v>
      </c>
    </row>
    <row r="106" spans="1:12" ht="13.8" customHeight="1" x14ac:dyDescent="0.3">
      <c r="B106" s="27">
        <v>1</v>
      </c>
      <c r="C106" s="26" t="str">
        <f>C223</f>
        <v>Zahnriemenscheibe T5, 14 Zähne (d=22,48)</v>
      </c>
      <c r="D106" t="s">
        <v>343</v>
      </c>
      <c r="E106" s="9"/>
      <c r="H106" s="19"/>
      <c r="I106" s="31"/>
      <c r="J106" s="32"/>
      <c r="K106" s="29"/>
      <c r="L106" t="str">
        <f t="shared" ca="1" si="4"/>
        <v>Habs</v>
      </c>
    </row>
    <row r="107" spans="1:12" ht="13.8" customHeight="1" x14ac:dyDescent="0.3">
      <c r="B107" s="27">
        <v>1</v>
      </c>
      <c r="C107" s="26" t="str">
        <f>C223</f>
        <v>Zahnriemenscheibe T5, 14 Zähne (d=22,48)</v>
      </c>
      <c r="D107" t="s">
        <v>417</v>
      </c>
      <c r="E107" s="9"/>
      <c r="H107" s="19"/>
      <c r="I107" s="31"/>
      <c r="J107" s="32"/>
      <c r="K107" s="29"/>
      <c r="L107" t="str">
        <f t="shared" ca="1" si="4"/>
        <v>Habs</v>
      </c>
    </row>
    <row r="108" spans="1:12" ht="13.8" customHeight="1" x14ac:dyDescent="0.3">
      <c r="B108" s="27">
        <v>1</v>
      </c>
      <c r="C108" s="26" t="str">
        <f>C228</f>
        <v>Zahnriemenscheibe T5, 48 Zähne (d=76,39)</v>
      </c>
      <c r="D108" t="s">
        <v>423</v>
      </c>
      <c r="E108" s="9"/>
      <c r="H108" s="19"/>
      <c r="I108" s="31"/>
      <c r="J108" s="32"/>
      <c r="K108" s="29"/>
      <c r="L108" t="str">
        <f t="shared" ca="1" si="4"/>
        <v>Habs</v>
      </c>
    </row>
    <row r="109" spans="1:12" ht="13.8" customHeight="1" x14ac:dyDescent="0.3">
      <c r="B109" s="27">
        <v>1</v>
      </c>
      <c r="C109" s="26" t="str">
        <f>C253</f>
        <v xml:space="preserve">NEMA 24 - 60x60x57 - 1.9Nm - 6,35mm Achse - 1.4A - 2.ST6018M2008 </v>
      </c>
      <c r="D109" t="s">
        <v>129</v>
      </c>
      <c r="E109" s="9"/>
      <c r="H109" s="19"/>
      <c r="I109" s="31"/>
      <c r="J109" s="32"/>
      <c r="K109" s="29"/>
      <c r="L109" t="str">
        <f t="shared" ca="1" si="4"/>
        <v>Habs</v>
      </c>
    </row>
    <row r="110" spans="1:12" ht="13.8" customHeight="1" x14ac:dyDescent="0.3">
      <c r="B110" s="27"/>
      <c r="C110" s="26"/>
      <c r="E110" s="9"/>
      <c r="H110" s="19"/>
      <c r="I110" s="31"/>
      <c r="J110" s="32"/>
      <c r="K110" s="29"/>
    </row>
    <row r="111" spans="1:12" ht="13.8" customHeight="1" x14ac:dyDescent="0.3">
      <c r="B111" s="27"/>
      <c r="C111" s="26"/>
      <c r="E111" s="9"/>
      <c r="H111" s="19"/>
      <c r="I111" s="31"/>
      <c r="J111" s="32"/>
      <c r="K111" s="29"/>
    </row>
    <row r="112" spans="1:12" ht="13.8" customHeight="1" x14ac:dyDescent="0.3">
      <c r="A112" t="s">
        <v>309</v>
      </c>
      <c r="B112" s="27">
        <v>4</v>
      </c>
      <c r="C112" s="26" t="str">
        <f>C180</f>
        <v>Zylinderkopfschraube Innensechskant M2 6mm</v>
      </c>
      <c r="D112" t="s">
        <v>135</v>
      </c>
      <c r="E112" s="9"/>
      <c r="H112" s="19"/>
      <c r="I112" s="31"/>
      <c r="J112" s="32"/>
      <c r="K112" s="29"/>
      <c r="L112" t="str">
        <f t="shared" ref="L112:L143" ca="1" si="5">INDIRECT(ADDRESS(MATCH(C112,C$172:C$296,0)+ROW($B$172)-1,12))</f>
        <v>Habs</v>
      </c>
    </row>
    <row r="113" spans="2:12" ht="13.8" customHeight="1" x14ac:dyDescent="0.3">
      <c r="B113" s="27">
        <v>4</v>
      </c>
      <c r="C113" s="26" t="str">
        <f>C187</f>
        <v>Muttern M2</v>
      </c>
      <c r="D113" t="s">
        <v>135</v>
      </c>
      <c r="E113" s="9"/>
      <c r="H113" s="19"/>
      <c r="I113" s="31"/>
      <c r="J113" s="32"/>
      <c r="K113" s="29"/>
      <c r="L113" t="str">
        <f t="shared" ca="1" si="5"/>
        <v>Habs</v>
      </c>
    </row>
    <row r="114" spans="2:12" ht="13.8" customHeight="1" x14ac:dyDescent="0.3">
      <c r="B114" s="27">
        <v>1</v>
      </c>
      <c r="C114" s="26" t="str">
        <f>C256</f>
        <v>Rotary Sensor</v>
      </c>
      <c r="D114" t="s">
        <v>138</v>
      </c>
      <c r="E114" s="9"/>
      <c r="H114" s="19"/>
      <c r="I114" s="31"/>
      <c r="J114" s="32"/>
      <c r="K114" s="29"/>
      <c r="L114" t="str">
        <f t="shared" ca="1" si="5"/>
        <v>Habs</v>
      </c>
    </row>
    <row r="115" spans="2:12" ht="13.8" customHeight="1" x14ac:dyDescent="0.3">
      <c r="B115" s="27">
        <v>2</v>
      </c>
      <c r="C115" s="26" t="str">
        <f>C192</f>
        <v>Unterlegscheiben M2 Dicke 0,5mm</v>
      </c>
      <c r="D115" t="s">
        <v>139</v>
      </c>
      <c r="E115" s="9"/>
      <c r="H115" s="19"/>
      <c r="I115" s="31"/>
      <c r="J115" s="32"/>
      <c r="K115" s="29"/>
      <c r="L115" t="str">
        <f t="shared" ca="1" si="5"/>
        <v>Habs</v>
      </c>
    </row>
    <row r="116" spans="2:12" ht="13.8" customHeight="1" x14ac:dyDescent="0.3">
      <c r="B116" s="27">
        <v>2</v>
      </c>
      <c r="C116" s="26" t="str">
        <f>C266</f>
        <v xml:space="preserve">Rillenkugellager  4 x13 x 5 mm </v>
      </c>
      <c r="D116" t="s">
        <v>214</v>
      </c>
      <c r="E116" s="9"/>
      <c r="H116" s="19"/>
      <c r="I116" s="31"/>
      <c r="J116" s="32"/>
      <c r="K116" s="29"/>
      <c r="L116" t="str">
        <f t="shared" ca="1" si="5"/>
        <v>Habs</v>
      </c>
    </row>
    <row r="117" spans="2:12" ht="13.8" customHeight="1" x14ac:dyDescent="0.3">
      <c r="B117" s="27">
        <v>4</v>
      </c>
      <c r="C117" s="26" t="str">
        <f>C265</f>
        <v>Rillenkugellager  4 x13 x 5 mm mit Flansch</v>
      </c>
      <c r="D117" t="s">
        <v>214</v>
      </c>
      <c r="E117" s="9"/>
      <c r="H117" s="19"/>
      <c r="I117" s="31"/>
      <c r="J117" s="32"/>
      <c r="K117" s="29"/>
      <c r="L117" t="str">
        <f t="shared" ca="1" si="5"/>
        <v>Habs</v>
      </c>
    </row>
    <row r="118" spans="2:12" ht="13.8" customHeight="1" x14ac:dyDescent="0.3">
      <c r="B118" s="27">
        <v>40</v>
      </c>
      <c r="C118" s="26" t="str">
        <f>C200</f>
        <v>Rohr 4mmx3.1mm (=M3)</v>
      </c>
      <c r="D118" t="s">
        <v>214</v>
      </c>
      <c r="E118" s="9"/>
      <c r="H118" s="19"/>
      <c r="I118" s="31"/>
      <c r="J118" s="32"/>
      <c r="K118" s="29"/>
      <c r="L118" t="str">
        <f t="shared" ca="1" si="5"/>
        <v>Habs</v>
      </c>
    </row>
    <row r="119" spans="2:12" ht="13.8" customHeight="1" x14ac:dyDescent="0.3">
      <c r="B119" s="27">
        <v>4</v>
      </c>
      <c r="C119" s="26" t="str">
        <f>C194</f>
        <v>Unterlegscheiben M3 Kunststoff 0,8mm, Außendurchmesser 7mm</v>
      </c>
      <c r="D119" t="s">
        <v>214</v>
      </c>
      <c r="E119" s="9"/>
      <c r="H119" s="19"/>
      <c r="I119" s="31"/>
      <c r="J119" s="32"/>
      <c r="K119" s="29"/>
      <c r="L119" t="str">
        <f t="shared" ca="1" si="5"/>
        <v>Habs</v>
      </c>
    </row>
    <row r="120" spans="2:12" ht="13.8" customHeight="1" x14ac:dyDescent="0.3">
      <c r="B120" s="27">
        <v>4</v>
      </c>
      <c r="C120" s="26" t="str">
        <f>C185</f>
        <v>Vierkant Mutter M3 Breite 5.5mm</v>
      </c>
      <c r="D120" t="s">
        <v>214</v>
      </c>
      <c r="E120" s="9"/>
      <c r="H120" s="19"/>
      <c r="I120" s="31"/>
      <c r="J120" s="32"/>
      <c r="K120" s="29"/>
      <c r="L120" t="str">
        <f t="shared" ca="1" si="5"/>
        <v>Habs</v>
      </c>
    </row>
    <row r="121" spans="2:12" ht="13.8" customHeight="1" x14ac:dyDescent="0.3">
      <c r="B121" s="27">
        <v>2</v>
      </c>
      <c r="C121" s="26" t="str">
        <f>C177</f>
        <v>Zylinderkopfschraube Innensechskant M3 20mm</v>
      </c>
      <c r="D121" t="s">
        <v>214</v>
      </c>
      <c r="E121" s="9"/>
      <c r="H121" s="19"/>
      <c r="I121" s="31"/>
      <c r="J121" s="32"/>
      <c r="K121" s="29"/>
      <c r="L121" t="str">
        <f t="shared" ca="1" si="5"/>
        <v>Habs</v>
      </c>
    </row>
    <row r="122" spans="2:12" ht="13.8" customHeight="1" x14ac:dyDescent="0.3">
      <c r="B122" s="27">
        <v>3</v>
      </c>
      <c r="C122" s="26" t="str">
        <f>C191</f>
        <v>Unterlegscheiben M3 Dicke 0,5mm, Außendurchmesser 7mm</v>
      </c>
      <c r="D122" t="s">
        <v>214</v>
      </c>
      <c r="E122" s="9"/>
      <c r="H122" s="19"/>
      <c r="I122" s="31"/>
      <c r="J122" s="32"/>
      <c r="K122" s="29"/>
      <c r="L122" t="str">
        <f t="shared" ca="1" si="5"/>
        <v>Habs</v>
      </c>
    </row>
    <row r="123" spans="2:12" ht="13.8" customHeight="1" x14ac:dyDescent="0.3">
      <c r="B123" s="27">
        <v>1</v>
      </c>
      <c r="C123" s="26" t="str">
        <f>C173</f>
        <v>Zylinderkopfschraube Innensechskant M3 40mm</v>
      </c>
      <c r="D123" t="s">
        <v>214</v>
      </c>
      <c r="E123" s="9"/>
      <c r="H123" s="19"/>
      <c r="I123" s="31"/>
      <c r="J123" s="32"/>
      <c r="K123" s="29"/>
      <c r="L123" t="str">
        <f t="shared" ca="1" si="5"/>
        <v>Habs</v>
      </c>
    </row>
    <row r="124" spans="2:12" ht="13.8" customHeight="1" x14ac:dyDescent="0.3">
      <c r="B124" s="27">
        <v>1</v>
      </c>
      <c r="C124" s="26" t="str">
        <f>C172</f>
        <v>Zylinderkopfschraube Innensechskant M3 45mm</v>
      </c>
      <c r="D124" t="s">
        <v>214</v>
      </c>
      <c r="E124" s="9"/>
      <c r="H124" s="19"/>
      <c r="I124" s="31"/>
      <c r="J124" s="32"/>
      <c r="K124" s="29"/>
      <c r="L124" t="str">
        <f t="shared" ca="1" si="5"/>
        <v>Habs</v>
      </c>
    </row>
    <row r="125" spans="2:12" ht="13.8" customHeight="1" x14ac:dyDescent="0.3">
      <c r="B125" s="27">
        <v>1</v>
      </c>
      <c r="C125" s="26" t="str">
        <f>C176</f>
        <v>Zylinderkopfschraube Innensechskant M3 25mm</v>
      </c>
      <c r="D125" t="s">
        <v>214</v>
      </c>
      <c r="E125" s="9"/>
      <c r="H125" s="19"/>
      <c r="I125" s="31"/>
      <c r="J125" s="32"/>
      <c r="K125" s="29"/>
      <c r="L125" t="str">
        <f t="shared" ca="1" si="5"/>
        <v>Habs</v>
      </c>
    </row>
    <row r="126" spans="2:12" ht="13.8" customHeight="1" x14ac:dyDescent="0.3">
      <c r="B126" s="27">
        <v>2</v>
      </c>
      <c r="C126" s="26" t="str">
        <f>C271</f>
        <v>Rillenkugellager 8x22x7</v>
      </c>
      <c r="D126" t="s">
        <v>216</v>
      </c>
      <c r="E126" s="9"/>
      <c r="H126" s="19"/>
      <c r="I126" s="31"/>
      <c r="J126" s="32"/>
      <c r="K126" s="29"/>
      <c r="L126" t="str">
        <f t="shared" ca="1" si="5"/>
        <v>Habs</v>
      </c>
    </row>
    <row r="127" spans="2:12" ht="13.8" customHeight="1" x14ac:dyDescent="0.3">
      <c r="B127" s="27">
        <v>120</v>
      </c>
      <c r="C127" s="26" t="str">
        <f>C199</f>
        <v>Silberstahlwelle 8mm Durchmesser</v>
      </c>
      <c r="D127" t="s">
        <v>216</v>
      </c>
      <c r="E127" s="9"/>
      <c r="H127" s="19"/>
      <c r="I127" s="31"/>
      <c r="J127" s="32"/>
      <c r="K127" s="29"/>
      <c r="L127" t="str">
        <f t="shared" ca="1" si="5"/>
        <v>Habs</v>
      </c>
    </row>
    <row r="128" spans="2:12" ht="13.8" customHeight="1" x14ac:dyDescent="0.3">
      <c r="B128" s="27">
        <v>1</v>
      </c>
      <c r="C128" s="26" t="str">
        <f>C228</f>
        <v>Zahnriemenscheibe T5, 48 Zähne (d=76,39)</v>
      </c>
      <c r="D128" t="s">
        <v>216</v>
      </c>
      <c r="E128" s="9"/>
      <c r="H128" s="19"/>
      <c r="I128" s="31"/>
      <c r="J128" s="32"/>
      <c r="K128" s="29"/>
      <c r="L128" t="str">
        <f t="shared" ca="1" si="5"/>
        <v>Habs</v>
      </c>
    </row>
    <row r="129" spans="2:12" ht="13.8" customHeight="1" x14ac:dyDescent="0.3">
      <c r="B129" s="27">
        <v>1</v>
      </c>
      <c r="C129" s="26" t="str">
        <f>C222</f>
        <v>Zahnriemenscheibe T5, 12 Zähne (d=19,10)</v>
      </c>
      <c r="D129" t="s">
        <v>216</v>
      </c>
      <c r="E129" s="9"/>
      <c r="H129" s="19"/>
      <c r="I129" s="31"/>
      <c r="J129" s="32"/>
      <c r="K129" s="29"/>
      <c r="L129" t="str">
        <f t="shared" ca="1" si="5"/>
        <v>Habs</v>
      </c>
    </row>
    <row r="130" spans="2:12" ht="13.8" customHeight="1" x14ac:dyDescent="0.3">
      <c r="B130" s="27">
        <v>1</v>
      </c>
      <c r="C130" s="26" t="str">
        <f>C242</f>
        <v>Zahnriemen T5 430mm 10mm Breite</v>
      </c>
      <c r="D130" t="s">
        <v>431</v>
      </c>
      <c r="E130" s="9"/>
      <c r="H130" s="19"/>
      <c r="I130" s="31"/>
      <c r="J130" s="32"/>
      <c r="K130" s="29"/>
      <c r="L130" t="str">
        <f t="shared" ca="1" si="5"/>
        <v>Habs</v>
      </c>
    </row>
    <row r="131" spans="2:12" ht="13.8" customHeight="1" x14ac:dyDescent="0.3">
      <c r="B131" s="27">
        <v>1</v>
      </c>
      <c r="C131" s="26" t="str">
        <f>C223</f>
        <v>Zahnriemenscheibe T5, 14 Zähne (d=22,48)</v>
      </c>
      <c r="D131" t="s">
        <v>221</v>
      </c>
      <c r="E131" s="9"/>
      <c r="H131" s="19"/>
      <c r="I131" s="31"/>
      <c r="J131" s="32"/>
      <c r="K131" s="29"/>
      <c r="L131" t="str">
        <f t="shared" ca="1" si="5"/>
        <v>Habs</v>
      </c>
    </row>
    <row r="132" spans="2:12" ht="13.8" customHeight="1" x14ac:dyDescent="0.3">
      <c r="B132" s="27">
        <v>1</v>
      </c>
      <c r="C132" s="26" t="str">
        <f>C241</f>
        <v>Zahnriemen T5 375mm 10mm Breite</v>
      </c>
      <c r="D132" t="s">
        <v>222</v>
      </c>
      <c r="E132" s="9"/>
      <c r="H132" s="19"/>
      <c r="I132" s="31"/>
      <c r="J132" s="32"/>
      <c r="K132" s="29"/>
      <c r="L132" t="str">
        <f t="shared" ca="1" si="5"/>
        <v>Habs</v>
      </c>
    </row>
    <row r="133" spans="2:12" ht="13.8" customHeight="1" x14ac:dyDescent="0.3">
      <c r="B133" s="27">
        <v>4</v>
      </c>
      <c r="C133" s="26" t="str">
        <f>C177</f>
        <v>Zylinderkopfschraube Innensechskant M3 20mm</v>
      </c>
      <c r="D133" t="s">
        <v>223</v>
      </c>
      <c r="E133" s="9"/>
      <c r="H133" s="19"/>
      <c r="I133" s="31"/>
      <c r="J133" s="32"/>
      <c r="K133" s="29"/>
      <c r="L133" t="str">
        <f t="shared" ca="1" si="5"/>
        <v>Habs</v>
      </c>
    </row>
    <row r="134" spans="2:12" ht="13.8" customHeight="1" x14ac:dyDescent="0.3">
      <c r="B134" s="27">
        <v>4</v>
      </c>
      <c r="C134" s="26" t="str">
        <f>C186</f>
        <v>Muttern M3, Schlüsselweite 5.5 mm</v>
      </c>
      <c r="D134" t="s">
        <v>223</v>
      </c>
      <c r="E134" s="9"/>
      <c r="H134" s="19"/>
      <c r="I134" s="31"/>
      <c r="J134" s="32"/>
      <c r="K134" s="29"/>
      <c r="L134" t="str">
        <f t="shared" ca="1" si="5"/>
        <v>Habs</v>
      </c>
    </row>
    <row r="135" spans="2:12" ht="13.8" customHeight="1" x14ac:dyDescent="0.3">
      <c r="B135" s="27">
        <v>4</v>
      </c>
      <c r="C135" s="26" t="str">
        <f>C191</f>
        <v>Unterlegscheiben M3 Dicke 0,5mm, Außendurchmesser 7mm</v>
      </c>
      <c r="D135" t="s">
        <v>223</v>
      </c>
      <c r="E135" s="9"/>
      <c r="H135" s="19"/>
      <c r="I135" s="31"/>
      <c r="J135" s="32"/>
      <c r="K135" s="29"/>
      <c r="L135" t="str">
        <f t="shared" ca="1" si="5"/>
        <v>Habs</v>
      </c>
    </row>
    <row r="136" spans="2:12" ht="13.8" customHeight="1" x14ac:dyDescent="0.3">
      <c r="B136" s="27">
        <v>4</v>
      </c>
      <c r="C136" s="26" t="str">
        <f>C172</f>
        <v>Zylinderkopfschraube Innensechskant M3 45mm</v>
      </c>
      <c r="D136" t="s">
        <v>224</v>
      </c>
      <c r="E136" s="9"/>
      <c r="H136" s="19"/>
      <c r="I136" s="31"/>
      <c r="J136" s="32"/>
      <c r="K136" s="29"/>
      <c r="L136" t="str">
        <f t="shared" ca="1" si="5"/>
        <v>Habs</v>
      </c>
    </row>
    <row r="137" spans="2:12" ht="13.8" customHeight="1" x14ac:dyDescent="0.3">
      <c r="B137" s="27">
        <v>4</v>
      </c>
      <c r="C137" s="26" t="str">
        <f>C191</f>
        <v>Unterlegscheiben M3 Dicke 0,5mm, Außendurchmesser 7mm</v>
      </c>
      <c r="D137" t="s">
        <v>224</v>
      </c>
      <c r="E137" s="9"/>
      <c r="H137" s="19"/>
      <c r="I137" s="31"/>
      <c r="J137" s="32"/>
      <c r="K137" s="29"/>
      <c r="L137" t="str">
        <f t="shared" ca="1" si="5"/>
        <v>Habs</v>
      </c>
    </row>
    <row r="138" spans="2:12" ht="13.8" customHeight="1" x14ac:dyDescent="0.3">
      <c r="B138" s="27">
        <v>4</v>
      </c>
      <c r="C138" s="26" t="str">
        <f>C202</f>
        <v>Distanzbolzen 2x Innen M3 20mm, Schlüsselweite 5,5mm</v>
      </c>
      <c r="D138" t="s">
        <v>224</v>
      </c>
      <c r="E138" s="9"/>
      <c r="H138" s="19"/>
      <c r="I138" s="31"/>
      <c r="J138" s="32"/>
      <c r="K138" s="29"/>
      <c r="L138" t="str">
        <f t="shared" ca="1" si="5"/>
        <v>Habs</v>
      </c>
    </row>
    <row r="139" spans="2:12" ht="13.8" customHeight="1" x14ac:dyDescent="0.3">
      <c r="B139" s="27">
        <f>50*6</f>
        <v>300</v>
      </c>
      <c r="C139" s="26" t="str">
        <f>C204</f>
        <v>Gewindestange M3</v>
      </c>
      <c r="D139" t="s">
        <v>225</v>
      </c>
      <c r="E139" s="9"/>
      <c r="H139" s="19"/>
      <c r="I139" s="31"/>
      <c r="J139" s="32"/>
      <c r="K139" s="29"/>
      <c r="L139" t="str">
        <f t="shared" ca="1" si="5"/>
        <v>Habs</v>
      </c>
    </row>
    <row r="140" spans="2:12" ht="13.8" customHeight="1" x14ac:dyDescent="0.3">
      <c r="B140" s="27">
        <v>6</v>
      </c>
      <c r="C140" s="26" t="str">
        <f>C201</f>
        <v>Unterlegscheiben M3 Stahl  0,8mm, Außendurchmesser 9mm</v>
      </c>
      <c r="D140" t="s">
        <v>225</v>
      </c>
      <c r="E140" s="9"/>
      <c r="H140" s="19"/>
      <c r="I140" s="31"/>
      <c r="J140" s="32"/>
      <c r="K140" s="29"/>
      <c r="L140" t="str">
        <f t="shared" ca="1" si="5"/>
        <v>Habs</v>
      </c>
    </row>
    <row r="141" spans="2:12" ht="13.8" customHeight="1" x14ac:dyDescent="0.3">
      <c r="B141" s="27">
        <v>6</v>
      </c>
      <c r="C141" s="26" t="str">
        <f>C202</f>
        <v>Distanzbolzen 2x Innen M3 20mm, Schlüsselweite 5,5mm</v>
      </c>
      <c r="D141" t="s">
        <v>225</v>
      </c>
      <c r="E141" s="9"/>
      <c r="H141" s="19"/>
      <c r="I141" s="31"/>
      <c r="J141" s="32"/>
      <c r="K141" s="29"/>
      <c r="L141" t="str">
        <f t="shared" ca="1" si="5"/>
        <v>Habs</v>
      </c>
    </row>
    <row r="142" spans="2:12" ht="13.8" customHeight="1" x14ac:dyDescent="0.3">
      <c r="B142" s="27">
        <v>1</v>
      </c>
      <c r="C142" s="26" t="str">
        <f>C254</f>
        <v>NEMA 24 - 60x60x87 - 3.0Nm - 8mm Achse - 4.0A</v>
      </c>
      <c r="D142" t="s">
        <v>129</v>
      </c>
      <c r="E142" s="9"/>
      <c r="H142" s="19"/>
      <c r="I142" s="31"/>
      <c r="J142" s="32"/>
      <c r="K142" s="29"/>
      <c r="L142" t="str">
        <f t="shared" ca="1" si="5"/>
        <v>Habs</v>
      </c>
    </row>
    <row r="143" spans="2:12" ht="13.8" customHeight="1" x14ac:dyDescent="0.3">
      <c r="B143" s="27">
        <v>2</v>
      </c>
      <c r="C143" s="26" t="str">
        <f>C274</f>
        <v>Rillenkugellager DIN 625 SKF - SKF 61818 - 80x100x10</v>
      </c>
      <c r="D143" t="s">
        <v>228</v>
      </c>
      <c r="E143" s="9"/>
      <c r="H143" s="19"/>
      <c r="I143" s="31"/>
      <c r="J143" s="32"/>
      <c r="K143" s="29"/>
      <c r="L143" t="str">
        <f t="shared" ca="1" si="5"/>
        <v>Habs</v>
      </c>
    </row>
    <row r="144" spans="2:12" ht="13.8" customHeight="1" x14ac:dyDescent="0.3">
      <c r="B144" s="27"/>
      <c r="C144" s="26"/>
      <c r="E144" s="9"/>
      <c r="H144" s="19"/>
      <c r="I144" s="31"/>
      <c r="J144" s="32"/>
      <c r="K144" s="29"/>
    </row>
    <row r="145" spans="1:12" ht="13.8" customHeight="1" x14ac:dyDescent="0.3">
      <c r="A145" t="s">
        <v>310</v>
      </c>
      <c r="B145" s="27">
        <v>1</v>
      </c>
      <c r="C145" s="26" t="str">
        <f>C272</f>
        <v>Rillenkugellager DIN 625 SKF - SKF 61818 - 90x115x13</v>
      </c>
      <c r="D145" t="s">
        <v>229</v>
      </c>
      <c r="E145" s="9"/>
      <c r="H145" s="19"/>
      <c r="I145" s="31"/>
      <c r="J145" s="32"/>
      <c r="K145" s="29"/>
      <c r="L145" t="str">
        <f t="shared" ref="L145:L165" ca="1" si="6">INDIRECT(ADDRESS(MATCH(C145,C$172:C$296,0)+ROW($B$172)-1,12))</f>
        <v>Habs</v>
      </c>
    </row>
    <row r="146" spans="1:12" ht="13.8" customHeight="1" x14ac:dyDescent="0.3">
      <c r="B146" s="27">
        <v>6</v>
      </c>
      <c r="C146" s="26" t="str">
        <f>C173</f>
        <v>Zylinderkopfschraube Innensechskant M3 40mm</v>
      </c>
      <c r="D146" t="s">
        <v>225</v>
      </c>
      <c r="E146" s="9"/>
      <c r="H146" s="19"/>
      <c r="I146" s="31"/>
      <c r="J146" s="32"/>
      <c r="K146" s="29"/>
      <c r="L146" t="str">
        <f t="shared" ca="1" si="6"/>
        <v>Habs</v>
      </c>
    </row>
    <row r="147" spans="1:12" ht="13.8" customHeight="1" x14ac:dyDescent="0.3">
      <c r="B147" s="27">
        <v>6</v>
      </c>
      <c r="C147" s="26" t="str">
        <f>C201</f>
        <v>Unterlegscheiben M3 Stahl  0,8mm, Außendurchmesser 9mm</v>
      </c>
      <c r="D147" t="s">
        <v>225</v>
      </c>
      <c r="E147" s="9"/>
      <c r="H147" s="19"/>
      <c r="I147" s="31"/>
      <c r="J147" s="32"/>
      <c r="K147" s="29"/>
      <c r="L147" t="str">
        <f t="shared" ca="1" si="6"/>
        <v>Habs</v>
      </c>
    </row>
    <row r="148" spans="1:12" ht="13.8" customHeight="1" x14ac:dyDescent="0.3">
      <c r="B148" s="27">
        <v>8</v>
      </c>
      <c r="C148" s="26" t="str">
        <f>C183</f>
        <v>Senkkopfschraube Innensechskant M3 10mm</v>
      </c>
      <c r="D148" t="s">
        <v>238</v>
      </c>
      <c r="E148" s="9"/>
      <c r="H148" s="19"/>
      <c r="I148" s="31"/>
      <c r="J148" s="32"/>
      <c r="K148" s="29"/>
      <c r="L148" t="str">
        <f t="shared" ca="1" si="6"/>
        <v>Habs</v>
      </c>
    </row>
    <row r="149" spans="1:12" ht="13.8" customHeight="1" x14ac:dyDescent="0.3">
      <c r="B149" s="27">
        <v>8</v>
      </c>
      <c r="C149" s="26" t="str">
        <f>C202</f>
        <v>Distanzbolzen 2x Innen M3 20mm, Schlüsselweite 5,5mm</v>
      </c>
      <c r="D149" t="s">
        <v>238</v>
      </c>
      <c r="E149" s="9"/>
      <c r="H149" s="19"/>
      <c r="I149" s="31"/>
      <c r="J149" s="32"/>
      <c r="K149" s="29"/>
      <c r="L149" t="str">
        <f t="shared" ca="1" si="6"/>
        <v>Habs</v>
      </c>
    </row>
    <row r="150" spans="1:12" ht="13.8" customHeight="1" x14ac:dyDescent="0.3">
      <c r="B150" s="27">
        <v>8</v>
      </c>
      <c r="C150" s="26" t="str">
        <f>C175</f>
        <v>Zylinderkopfschraube Innensechskant M3 30mm</v>
      </c>
      <c r="D150" t="s">
        <v>238</v>
      </c>
      <c r="E150" s="9"/>
      <c r="H150" s="19"/>
      <c r="I150" s="31"/>
      <c r="J150" s="32"/>
      <c r="K150" s="29"/>
      <c r="L150" t="str">
        <f t="shared" ca="1" si="6"/>
        <v>Habs</v>
      </c>
    </row>
    <row r="151" spans="1:12" ht="13.8" customHeight="1" x14ac:dyDescent="0.3">
      <c r="B151" s="27">
        <v>1</v>
      </c>
      <c r="C151" s="26" t="str">
        <f>C256</f>
        <v>Rotary Sensor</v>
      </c>
      <c r="D151" t="s">
        <v>138</v>
      </c>
      <c r="E151" s="9"/>
      <c r="H151" s="19"/>
      <c r="I151" s="31"/>
      <c r="J151" s="32"/>
      <c r="K151" s="29"/>
      <c r="L151" t="str">
        <f t="shared" ca="1" si="6"/>
        <v>Habs</v>
      </c>
    </row>
    <row r="152" spans="1:12" ht="13.8" customHeight="1" x14ac:dyDescent="0.3">
      <c r="B152" s="27">
        <v>4</v>
      </c>
      <c r="C152" s="26" t="str">
        <f>C180</f>
        <v>Zylinderkopfschraube Innensechskant M2 6mm</v>
      </c>
      <c r="D152" t="s">
        <v>135</v>
      </c>
      <c r="E152" s="9"/>
      <c r="H152" s="19"/>
      <c r="I152" s="31"/>
      <c r="J152" s="32"/>
      <c r="K152" s="29"/>
      <c r="L152" t="str">
        <f t="shared" ca="1" si="6"/>
        <v>Habs</v>
      </c>
    </row>
    <row r="153" spans="1:12" ht="13.8" customHeight="1" x14ac:dyDescent="0.3">
      <c r="B153" s="27">
        <v>4</v>
      </c>
      <c r="C153" s="26" t="str">
        <f>C187</f>
        <v>Muttern M2</v>
      </c>
      <c r="D153" t="s">
        <v>135</v>
      </c>
      <c r="E153" s="9"/>
      <c r="H153" s="19"/>
      <c r="I153" s="31"/>
      <c r="J153" s="32"/>
      <c r="K153" s="29"/>
      <c r="L153" t="str">
        <f t="shared" ca="1" si="6"/>
        <v>Habs</v>
      </c>
    </row>
    <row r="154" spans="1:12" ht="13.8" customHeight="1" x14ac:dyDescent="0.3">
      <c r="B154" s="27">
        <v>4</v>
      </c>
      <c r="C154" s="26" t="str">
        <f>C186</f>
        <v>Muttern M3, Schlüsselweite 5.5 mm</v>
      </c>
      <c r="D154" t="s">
        <v>239</v>
      </c>
      <c r="E154" s="9"/>
      <c r="H154" s="19"/>
      <c r="I154" s="31"/>
      <c r="J154" s="32"/>
      <c r="K154" s="29"/>
      <c r="L154" t="str">
        <f t="shared" ca="1" si="6"/>
        <v>Habs</v>
      </c>
    </row>
    <row r="155" spans="1:12" ht="13.8" customHeight="1" x14ac:dyDescent="0.3">
      <c r="B155" s="27">
        <v>4</v>
      </c>
      <c r="C155" s="26" t="str">
        <f>C177</f>
        <v>Zylinderkopfschraube Innensechskant M3 20mm</v>
      </c>
      <c r="D155" t="s">
        <v>239</v>
      </c>
      <c r="E155" s="9"/>
      <c r="H155" s="19"/>
      <c r="I155" s="31"/>
      <c r="J155" s="32"/>
      <c r="K155" s="29"/>
      <c r="L155" t="str">
        <f t="shared" ca="1" si="6"/>
        <v>Habs</v>
      </c>
    </row>
    <row r="156" spans="1:12" ht="13.8" customHeight="1" x14ac:dyDescent="0.3">
      <c r="B156" s="27">
        <v>4</v>
      </c>
      <c r="C156" s="26" t="str">
        <f>C191</f>
        <v>Unterlegscheiben M3 Dicke 0,5mm, Außendurchmesser 7mm</v>
      </c>
      <c r="D156" t="s">
        <v>239</v>
      </c>
      <c r="E156" s="9"/>
      <c r="H156" s="19"/>
      <c r="I156" s="31"/>
      <c r="J156" s="32"/>
      <c r="K156" s="29"/>
      <c r="L156" t="str">
        <f t="shared" ca="1" si="6"/>
        <v>Habs</v>
      </c>
    </row>
    <row r="157" spans="1:12" ht="13.8" customHeight="1" x14ac:dyDescent="0.3">
      <c r="B157" s="27">
        <v>2</v>
      </c>
      <c r="C157" s="26" t="str">
        <f>C266</f>
        <v xml:space="preserve">Rillenkugellager  4 x13 x 5 mm </v>
      </c>
      <c r="D157" t="s">
        <v>240</v>
      </c>
      <c r="E157" s="9"/>
      <c r="H157" s="19"/>
      <c r="I157" s="31"/>
      <c r="J157" s="32"/>
      <c r="K157" s="29"/>
      <c r="L157" t="str">
        <f t="shared" ca="1" si="6"/>
        <v>Habs</v>
      </c>
    </row>
    <row r="158" spans="1:12" ht="13.8" customHeight="1" x14ac:dyDescent="0.3">
      <c r="B158" s="27">
        <v>4</v>
      </c>
      <c r="C158" s="26" t="str">
        <f>C265</f>
        <v>Rillenkugellager  4 x13 x 5 mm mit Flansch</v>
      </c>
      <c r="D158" t="s">
        <v>240</v>
      </c>
      <c r="E158" s="9"/>
      <c r="H158" s="19"/>
      <c r="I158" s="31"/>
      <c r="J158" s="32"/>
      <c r="K158" s="29"/>
      <c r="L158" t="str">
        <f t="shared" ca="1" si="6"/>
        <v>Habs</v>
      </c>
    </row>
    <row r="159" spans="1:12" ht="13.8" customHeight="1" x14ac:dyDescent="0.3">
      <c r="B159" s="27">
        <f>2*12</f>
        <v>24</v>
      </c>
      <c r="C159" s="26" t="str">
        <f>C200</f>
        <v>Rohr 4mmx3.1mm (=M3)</v>
      </c>
      <c r="D159" t="s">
        <v>240</v>
      </c>
      <c r="E159" s="9"/>
      <c r="H159" s="19"/>
      <c r="I159" s="31"/>
      <c r="J159" s="32"/>
      <c r="K159" s="29"/>
      <c r="L159" t="str">
        <f t="shared" ca="1" si="6"/>
        <v>Habs</v>
      </c>
    </row>
    <row r="160" spans="1:12" ht="13.8" customHeight="1" x14ac:dyDescent="0.3">
      <c r="B160" s="27">
        <v>8</v>
      </c>
      <c r="C160" s="26" t="str">
        <f>C194</f>
        <v>Unterlegscheiben M3 Kunststoff 0,8mm, Außendurchmesser 7mm</v>
      </c>
      <c r="D160" t="s">
        <v>240</v>
      </c>
      <c r="E160" s="9"/>
      <c r="H160" s="19"/>
      <c r="I160" s="31"/>
      <c r="J160" s="32"/>
      <c r="K160" s="29"/>
      <c r="L160" t="str">
        <f t="shared" ca="1" si="6"/>
        <v>Habs</v>
      </c>
    </row>
    <row r="161" spans="1:12" ht="13.8" customHeight="1" x14ac:dyDescent="0.3">
      <c r="B161" s="27">
        <v>1</v>
      </c>
      <c r="C161" s="26" t="str">
        <f>C221</f>
        <v>Zahnriemenscheibe T5, 10 Zähne (d=15,92)</v>
      </c>
      <c r="D161" t="s">
        <v>345</v>
      </c>
      <c r="E161" s="9"/>
      <c r="H161" s="19"/>
      <c r="I161" s="31"/>
      <c r="J161" s="32"/>
      <c r="K161" s="29"/>
      <c r="L161" t="str">
        <f t="shared" ca="1" si="6"/>
        <v>Habs</v>
      </c>
    </row>
    <row r="162" spans="1:12" ht="13.8" customHeight="1" x14ac:dyDescent="0.3">
      <c r="B162" s="27">
        <v>1</v>
      </c>
      <c r="C162" s="26" t="str">
        <f>C243</f>
        <v>Zahnriemen T5 450mm 10mm Breite</v>
      </c>
      <c r="D162" t="s">
        <v>446</v>
      </c>
      <c r="E162" s="9"/>
      <c r="H162" s="19"/>
      <c r="I162" s="31"/>
      <c r="J162" s="32"/>
      <c r="K162" s="29"/>
      <c r="L162" t="str">
        <f t="shared" ca="1" si="6"/>
        <v>Habs</v>
      </c>
    </row>
    <row r="163" spans="1:12" ht="13.8" customHeight="1" x14ac:dyDescent="0.3">
      <c r="B163" s="27">
        <v>1</v>
      </c>
      <c r="C163" s="26" t="str">
        <f>C239</f>
        <v>Zahnriemen T5 330mm 10mm Breite</v>
      </c>
      <c r="D163" t="s">
        <v>446</v>
      </c>
      <c r="E163" s="9"/>
      <c r="H163" s="19"/>
      <c r="I163" s="31"/>
      <c r="J163" s="32"/>
      <c r="K163" s="29"/>
      <c r="L163" t="str">
        <f t="shared" ref="L163" ca="1" si="7">INDIRECT(ADDRESS(MATCH(C163,C$172:C$296,0)+ROW($B$172)-1,12))</f>
        <v>Habs</v>
      </c>
    </row>
    <row r="164" spans="1:12" ht="13.8" customHeight="1" x14ac:dyDescent="0.3">
      <c r="B164" s="27">
        <v>1</v>
      </c>
      <c r="C164" s="26" t="str">
        <f>C255</f>
        <v>NEMA 23 - 57x57x56 - 1,26Nm - 6,35mm Achse - 2.8A</v>
      </c>
      <c r="D164" t="s">
        <v>241</v>
      </c>
      <c r="E164" s="9"/>
      <c r="H164" s="19"/>
      <c r="I164" s="31"/>
      <c r="J164" s="32"/>
      <c r="K164" s="29"/>
      <c r="L164" t="str">
        <f t="shared" ca="1" si="6"/>
        <v>Habs</v>
      </c>
    </row>
    <row r="165" spans="1:12" ht="13.8" customHeight="1" x14ac:dyDescent="0.3">
      <c r="B165" s="27">
        <v>16</v>
      </c>
      <c r="C165" s="26" t="str">
        <f>C261</f>
        <v>Rillenkugellager 3x8x3</v>
      </c>
      <c r="D165" t="s">
        <v>421</v>
      </c>
      <c r="E165" s="9"/>
      <c r="H165" s="19"/>
      <c r="I165" s="31"/>
      <c r="J165" s="32"/>
      <c r="K165" s="29"/>
      <c r="L165" t="str">
        <f t="shared" ca="1" si="6"/>
        <v>-</v>
      </c>
    </row>
    <row r="166" spans="1:12" ht="13.8" customHeight="1" x14ac:dyDescent="0.3">
      <c r="B166" s="27">
        <v>1</v>
      </c>
      <c r="C166" s="26" t="str">
        <f>C205</f>
        <v>Passfeder 2x2x8 DIN 6885</v>
      </c>
      <c r="D166" t="s">
        <v>429</v>
      </c>
      <c r="E166" s="9"/>
      <c r="H166" s="19"/>
      <c r="I166" s="31"/>
      <c r="J166" s="32"/>
      <c r="K166" s="29"/>
    </row>
    <row r="167" spans="1:12" ht="13.8" customHeight="1" x14ac:dyDescent="0.3">
      <c r="B167" s="27"/>
      <c r="C167" s="26"/>
      <c r="E167" s="9"/>
      <c r="H167" s="19"/>
      <c r="I167" s="31"/>
      <c r="J167" s="32"/>
      <c r="K167" s="29"/>
    </row>
    <row r="168" spans="1:12" ht="13.8" customHeight="1" x14ac:dyDescent="0.3">
      <c r="B168" s="27"/>
      <c r="C168" s="26"/>
      <c r="E168" s="9"/>
      <c r="H168" s="19"/>
      <c r="I168" s="31"/>
      <c r="J168" s="32"/>
      <c r="K168" s="29"/>
    </row>
    <row r="169" spans="1:12" ht="13.8" customHeight="1" x14ac:dyDescent="0.3">
      <c r="B169" s="27"/>
      <c r="C169" s="26"/>
      <c r="E169" s="9"/>
      <c r="H169" s="19"/>
      <c r="I169" s="31"/>
      <c r="J169" s="32"/>
      <c r="K169" s="29"/>
    </row>
    <row r="170" spans="1:12" ht="13.8" customHeight="1" x14ac:dyDescent="0.3">
      <c r="A170" s="6" t="s">
        <v>0</v>
      </c>
      <c r="C170" s="26"/>
      <c r="E170" s="9"/>
      <c r="H170" s="19"/>
      <c r="I170" s="30"/>
    </row>
    <row r="171" spans="1:12" ht="13.8" customHeight="1" x14ac:dyDescent="0.3">
      <c r="B171" t="s">
        <v>311</v>
      </c>
      <c r="C171" s="26" t="s">
        <v>366</v>
      </c>
      <c r="E171" s="9"/>
      <c r="G171" t="s">
        <v>312</v>
      </c>
      <c r="H171" s="19" t="s">
        <v>313</v>
      </c>
      <c r="I171" s="30" t="s">
        <v>314</v>
      </c>
      <c r="J171" s="1" t="s">
        <v>316</v>
      </c>
      <c r="K171" s="1" t="s">
        <v>315</v>
      </c>
    </row>
    <row r="172" spans="1:12" ht="13.8" customHeight="1" x14ac:dyDescent="0.3">
      <c r="B172" s="27">
        <f t="shared" ref="B172:B203" si="8">ROUNDUP(I172/G172,0)</f>
        <v>1</v>
      </c>
      <c r="C172" s="26" t="s">
        <v>179</v>
      </c>
      <c r="E172" s="9" t="s">
        <v>215</v>
      </c>
      <c r="G172">
        <v>50</v>
      </c>
      <c r="H172" s="19">
        <v>2.5</v>
      </c>
      <c r="I172" s="31">
        <f t="shared" ref="I172:I181" si="9">SUMIF(C$1:C$170,"="&amp;C172,B$1:B$170)</f>
        <v>14</v>
      </c>
      <c r="J172" s="32">
        <f t="shared" ref="J172:J177" si="10">G172*B172-I172</f>
        <v>36</v>
      </c>
      <c r="K172" s="29">
        <f>B172*H172</f>
        <v>2.5</v>
      </c>
      <c r="L172" t="s">
        <v>317</v>
      </c>
    </row>
    <row r="173" spans="1:12" ht="13.8" customHeight="1" x14ac:dyDescent="0.3">
      <c r="B173" s="27">
        <f t="shared" si="8"/>
        <v>1</v>
      </c>
      <c r="C173" s="26" t="s">
        <v>173</v>
      </c>
      <c r="E173" s="9" t="s">
        <v>273</v>
      </c>
      <c r="G173">
        <v>50</v>
      </c>
      <c r="H173" s="19">
        <v>2.5</v>
      </c>
      <c r="I173" s="31">
        <f t="shared" si="9"/>
        <v>11</v>
      </c>
      <c r="J173" s="32">
        <f t="shared" si="10"/>
        <v>39</v>
      </c>
      <c r="K173" s="29">
        <f>B173*H173</f>
        <v>2.5</v>
      </c>
      <c r="L173" t="s">
        <v>317</v>
      </c>
    </row>
    <row r="174" spans="1:12" ht="13.8" customHeight="1" x14ac:dyDescent="0.3">
      <c r="B174" s="27">
        <f t="shared" si="8"/>
        <v>0</v>
      </c>
      <c r="C174" s="26" t="s">
        <v>415</v>
      </c>
      <c r="E174" s="9" t="s">
        <v>273</v>
      </c>
      <c r="G174">
        <v>50</v>
      </c>
      <c r="H174" s="19">
        <v>2.5</v>
      </c>
      <c r="I174" s="31">
        <f t="shared" si="9"/>
        <v>0</v>
      </c>
      <c r="J174" s="32">
        <f t="shared" ref="J174" si="11">G174*B174-I174</f>
        <v>0</v>
      </c>
      <c r="K174" s="29">
        <f>B174*H174</f>
        <v>0</v>
      </c>
      <c r="L174" t="s">
        <v>318</v>
      </c>
    </row>
    <row r="175" spans="1:12" ht="13.8" customHeight="1" x14ac:dyDescent="0.3">
      <c r="B175" s="27">
        <f t="shared" ref="B175" si="12">ROUNDUP(I175/G175,0)</f>
        <v>1</v>
      </c>
      <c r="C175" s="26" t="s">
        <v>174</v>
      </c>
      <c r="E175" s="9" t="s">
        <v>273</v>
      </c>
      <c r="G175">
        <v>50</v>
      </c>
      <c r="H175" s="19">
        <v>2.5</v>
      </c>
      <c r="I175" s="31">
        <f t="shared" si="9"/>
        <v>22</v>
      </c>
      <c r="J175" s="32">
        <f t="shared" si="10"/>
        <v>28</v>
      </c>
      <c r="K175" s="29">
        <f>B175*H175</f>
        <v>2.5</v>
      </c>
      <c r="L175" t="s">
        <v>317</v>
      </c>
    </row>
    <row r="176" spans="1:12" ht="13.8" customHeight="1" x14ac:dyDescent="0.3">
      <c r="B176" s="27">
        <f t="shared" ref="B176" si="13">ROUNDUP(I176/G176,0)</f>
        <v>1</v>
      </c>
      <c r="C176" s="26" t="s">
        <v>163</v>
      </c>
      <c r="E176" s="9" t="s">
        <v>273</v>
      </c>
      <c r="G176">
        <v>50</v>
      </c>
      <c r="H176" s="19">
        <v>2.5</v>
      </c>
      <c r="I176" s="31">
        <f t="shared" si="9"/>
        <v>7</v>
      </c>
      <c r="J176" s="32">
        <f>G176*B176-I176</f>
        <v>43</v>
      </c>
      <c r="K176" s="29">
        <f t="shared" ref="K176" si="14">B176*H176</f>
        <v>2.5</v>
      </c>
      <c r="L176" t="s">
        <v>317</v>
      </c>
    </row>
    <row r="177" spans="2:12" ht="13.8" customHeight="1" x14ac:dyDescent="0.3">
      <c r="B177" s="27">
        <f t="shared" si="8"/>
        <v>1</v>
      </c>
      <c r="C177" s="26" t="s">
        <v>117</v>
      </c>
      <c r="E177" s="9" t="s">
        <v>273</v>
      </c>
      <c r="G177">
        <v>50</v>
      </c>
      <c r="H177" s="19">
        <v>2.5</v>
      </c>
      <c r="I177" s="31">
        <f t="shared" si="9"/>
        <v>39</v>
      </c>
      <c r="J177" s="32">
        <f t="shared" si="10"/>
        <v>11</v>
      </c>
      <c r="K177" s="29">
        <f>B177*H177</f>
        <v>2.5</v>
      </c>
      <c r="L177" t="s">
        <v>317</v>
      </c>
    </row>
    <row r="178" spans="2:12" ht="13.8" customHeight="1" x14ac:dyDescent="0.3">
      <c r="B178" s="27">
        <f t="shared" ref="B178" si="15">ROUNDUP(I178/G178,0)</f>
        <v>1</v>
      </c>
      <c r="C178" s="26" t="s">
        <v>161</v>
      </c>
      <c r="E178" s="9" t="s">
        <v>162</v>
      </c>
      <c r="G178">
        <v>50</v>
      </c>
      <c r="H178" s="19">
        <v>2.5</v>
      </c>
      <c r="I178" s="31">
        <f t="shared" si="9"/>
        <v>4</v>
      </c>
      <c r="J178" s="32">
        <f t="shared" ref="J178" si="16">G178*B178-I178</f>
        <v>46</v>
      </c>
      <c r="K178" s="29">
        <f t="shared" ref="K178:K270" si="17">B178*H178</f>
        <v>2.5</v>
      </c>
      <c r="L178" t="s">
        <v>317</v>
      </c>
    </row>
    <row r="179" spans="2:12" ht="13.8" customHeight="1" x14ac:dyDescent="0.3">
      <c r="B179" s="27">
        <f t="shared" ref="B179" si="18">ROUNDUP(I179/G179,0)</f>
        <v>0</v>
      </c>
      <c r="C179" s="26" t="s">
        <v>298</v>
      </c>
      <c r="E179" s="9" t="s">
        <v>273</v>
      </c>
      <c r="G179">
        <v>50</v>
      </c>
      <c r="H179" s="19">
        <v>2.5</v>
      </c>
      <c r="I179" s="31">
        <f t="shared" si="9"/>
        <v>0</v>
      </c>
      <c r="J179" s="32">
        <f t="shared" ref="J179" si="19">G179*B179-I179</f>
        <v>0</v>
      </c>
      <c r="K179" s="29">
        <f t="shared" ref="K179" si="20">B179*H179</f>
        <v>0</v>
      </c>
      <c r="L179" t="s">
        <v>317</v>
      </c>
    </row>
    <row r="180" spans="2:12" ht="13.8" customHeight="1" x14ac:dyDescent="0.3">
      <c r="B180" s="27">
        <f>ROUNDUP(I180/G180,0)</f>
        <v>1</v>
      </c>
      <c r="C180" s="26" t="s">
        <v>134</v>
      </c>
      <c r="E180" s="9" t="s">
        <v>272</v>
      </c>
      <c r="G180">
        <v>20</v>
      </c>
      <c r="H180" s="19">
        <v>1.8</v>
      </c>
      <c r="I180" s="31">
        <f t="shared" si="9"/>
        <v>16</v>
      </c>
      <c r="J180" s="32">
        <f>G180*B180-I180</f>
        <v>4</v>
      </c>
      <c r="K180" s="29">
        <f>B180*H180</f>
        <v>1.8</v>
      </c>
      <c r="L180" t="s">
        <v>317</v>
      </c>
    </row>
    <row r="181" spans="2:12" ht="13.8" customHeight="1" x14ac:dyDescent="0.3">
      <c r="B181" s="27">
        <f>ROUNDUP(I181/G181,0)</f>
        <v>1</v>
      </c>
      <c r="C181" s="26" t="s">
        <v>248</v>
      </c>
      <c r="E181" s="9" t="s">
        <v>271</v>
      </c>
      <c r="G181">
        <v>20</v>
      </c>
      <c r="H181" s="19">
        <v>1.8</v>
      </c>
      <c r="I181" s="31">
        <f t="shared" si="9"/>
        <v>4</v>
      </c>
      <c r="J181" s="32">
        <f>G181*B181-I181</f>
        <v>16</v>
      </c>
      <c r="K181" s="29">
        <f>B181*H181</f>
        <v>1.8</v>
      </c>
      <c r="L181" t="s">
        <v>317</v>
      </c>
    </row>
    <row r="182" spans="2:12" ht="13.8" customHeight="1" x14ac:dyDescent="0.3">
      <c r="B182" s="27"/>
      <c r="C182" s="26"/>
      <c r="E182" s="9"/>
      <c r="H182" s="19"/>
      <c r="I182" s="31"/>
      <c r="J182" s="32"/>
      <c r="K182" s="29"/>
    </row>
    <row r="183" spans="2:12" ht="13.8" customHeight="1" x14ac:dyDescent="0.3">
      <c r="B183" s="27">
        <f t="shared" ref="B183" si="21">ROUNDUP(I183/G183,0)</f>
        <v>1</v>
      </c>
      <c r="C183" s="26" t="s">
        <v>170</v>
      </c>
      <c r="E183" s="9" t="s">
        <v>274</v>
      </c>
      <c r="G183">
        <v>50</v>
      </c>
      <c r="H183" s="19">
        <v>2.99</v>
      </c>
      <c r="I183" s="31">
        <f>SUMIF(C$1:C$170,"="&amp;C183,B$1:B$170)</f>
        <v>20</v>
      </c>
      <c r="J183" s="32">
        <f t="shared" ref="J183" si="22">G183*B183-I183</f>
        <v>30</v>
      </c>
      <c r="K183" s="29">
        <f t="shared" ref="K183" si="23">B183*H183</f>
        <v>2.99</v>
      </c>
      <c r="L183" t="s">
        <v>317</v>
      </c>
    </row>
    <row r="184" spans="2:12" ht="13.8" customHeight="1" x14ac:dyDescent="0.3">
      <c r="B184" s="27">
        <f t="shared" ref="B184" si="24">ROUNDUP(I184/G184,0)</f>
        <v>0</v>
      </c>
      <c r="C184" s="26" t="s">
        <v>194</v>
      </c>
      <c r="E184" s="9" t="s">
        <v>275</v>
      </c>
      <c r="F184" t="s">
        <v>172</v>
      </c>
      <c r="G184">
        <v>20</v>
      </c>
      <c r="H184" s="19">
        <v>2.95</v>
      </c>
      <c r="I184" s="31">
        <f>SUMIF(C$1:C$170,"="&amp;C184,B$1:B$170)</f>
        <v>0</v>
      </c>
      <c r="J184" s="32">
        <f t="shared" ref="J184" si="25">G184*B184-I184</f>
        <v>0</v>
      </c>
      <c r="K184" s="29">
        <f t="shared" ref="K184" si="26">B184*H184</f>
        <v>0</v>
      </c>
      <c r="L184" t="s">
        <v>317</v>
      </c>
    </row>
    <row r="185" spans="2:12" ht="13.8" customHeight="1" x14ac:dyDescent="0.3">
      <c r="B185" s="27">
        <f t="shared" si="8"/>
        <v>1</v>
      </c>
      <c r="C185" s="26" t="s">
        <v>166</v>
      </c>
      <c r="E185" s="9" t="s">
        <v>111</v>
      </c>
      <c r="G185">
        <v>100</v>
      </c>
      <c r="H185" s="19">
        <v>2.09</v>
      </c>
      <c r="I185" s="31">
        <f>SUMIF(C$1:C$170,"="&amp;C185,B$1:B$170)</f>
        <v>9</v>
      </c>
      <c r="J185" s="32">
        <f t="shared" ref="J185:J267" si="27">G185*B185-I185</f>
        <v>91</v>
      </c>
      <c r="K185" s="29">
        <f t="shared" si="17"/>
        <v>2.09</v>
      </c>
      <c r="L185" t="s">
        <v>317</v>
      </c>
    </row>
    <row r="186" spans="2:12" ht="13.8" customHeight="1" x14ac:dyDescent="0.3">
      <c r="B186" s="27">
        <f t="shared" ref="B186" si="28">ROUNDUP(I186/G186,0)</f>
        <v>1</v>
      </c>
      <c r="C186" s="26" t="s">
        <v>165</v>
      </c>
      <c r="E186" s="9" t="s">
        <v>119</v>
      </c>
      <c r="G186">
        <v>100</v>
      </c>
      <c r="H186" s="19">
        <v>2.09</v>
      </c>
      <c r="I186" s="31">
        <f>SUMIF(C$1:C$170,"="&amp;C186,B$1:B$170)</f>
        <v>23</v>
      </c>
      <c r="J186" s="32">
        <f t="shared" ref="J186" si="29">G186*B186-I186</f>
        <v>77</v>
      </c>
      <c r="K186" s="29">
        <f t="shared" si="17"/>
        <v>2.09</v>
      </c>
      <c r="L186" t="s">
        <v>317</v>
      </c>
    </row>
    <row r="187" spans="2:12" ht="13.8" customHeight="1" x14ac:dyDescent="0.3">
      <c r="B187" s="27">
        <f t="shared" ref="B187:B189" si="30">ROUNDUP(I187/G187,0)</f>
        <v>1</v>
      </c>
      <c r="C187" s="26" t="s">
        <v>167</v>
      </c>
      <c r="E187" s="9" t="s">
        <v>266</v>
      </c>
      <c r="G187">
        <v>100</v>
      </c>
      <c r="H187" s="19">
        <v>2.09</v>
      </c>
      <c r="I187" s="31">
        <f>SUMIF(C$1:C$170,"="&amp;C187,B$1:B$170)</f>
        <v>16</v>
      </c>
      <c r="J187" s="32">
        <f t="shared" ref="J187:J189" si="31">G187*B187-I187</f>
        <v>84</v>
      </c>
      <c r="K187" s="29">
        <f t="shared" ref="K187:K189" si="32">B187*H187</f>
        <v>2.09</v>
      </c>
      <c r="L187" t="s">
        <v>317</v>
      </c>
    </row>
    <row r="188" spans="2:12" ht="13.8" customHeight="1" x14ac:dyDescent="0.3">
      <c r="B188" s="27"/>
      <c r="C188" s="26"/>
      <c r="E188" s="9"/>
      <c r="H188" s="19"/>
      <c r="I188" s="31"/>
      <c r="J188" s="32"/>
      <c r="K188" s="29"/>
    </row>
    <row r="189" spans="2:12" ht="13.8" customHeight="1" x14ac:dyDescent="0.3">
      <c r="B189" s="27">
        <f t="shared" si="30"/>
        <v>1</v>
      </c>
      <c r="C189" s="26" t="s">
        <v>190</v>
      </c>
      <c r="E189" s="9" t="s">
        <v>297</v>
      </c>
      <c r="G189">
        <v>50</v>
      </c>
      <c r="H189" s="19">
        <v>4.8899999999999997</v>
      </c>
      <c r="I189" s="31">
        <f t="shared" ref="I189:I205" si="33">SUMIF(C$1:C$170,"="&amp;C189,B$1:B$170)</f>
        <v>1</v>
      </c>
      <c r="J189" s="32">
        <f t="shared" si="31"/>
        <v>49</v>
      </c>
      <c r="K189" s="29">
        <f t="shared" si="32"/>
        <v>4.8899999999999997</v>
      </c>
      <c r="L189" t="s">
        <v>317</v>
      </c>
    </row>
    <row r="190" spans="2:12" ht="13.8" customHeight="1" x14ac:dyDescent="0.3">
      <c r="B190" s="27">
        <f t="shared" ref="B190" si="34">ROUNDUP(I190/G190,0)</f>
        <v>1</v>
      </c>
      <c r="C190" s="26" t="s">
        <v>189</v>
      </c>
      <c r="E190" s="9" t="s">
        <v>297</v>
      </c>
      <c r="G190">
        <v>50</v>
      </c>
      <c r="H190" s="19">
        <v>2.29</v>
      </c>
      <c r="I190" s="31">
        <f t="shared" si="33"/>
        <v>2</v>
      </c>
      <c r="J190" s="32">
        <f t="shared" ref="J190" si="35">G190*B190-I190</f>
        <v>48</v>
      </c>
      <c r="K190" s="29">
        <f t="shared" ref="K190" si="36">B190*H190</f>
        <v>2.29</v>
      </c>
      <c r="L190" t="s">
        <v>317</v>
      </c>
    </row>
    <row r="191" spans="2:12" ht="13.8" customHeight="1" x14ac:dyDescent="0.3">
      <c r="B191" s="27">
        <f t="shared" si="8"/>
        <v>1</v>
      </c>
      <c r="C191" s="26" t="s">
        <v>213</v>
      </c>
      <c r="E191" s="9" t="s">
        <v>131</v>
      </c>
      <c r="G191">
        <v>100</v>
      </c>
      <c r="H191" s="19">
        <v>1.79</v>
      </c>
      <c r="I191" s="31">
        <f t="shared" si="33"/>
        <v>73</v>
      </c>
      <c r="J191" s="32">
        <f t="shared" si="27"/>
        <v>27</v>
      </c>
      <c r="K191" s="29">
        <f t="shared" si="17"/>
        <v>1.79</v>
      </c>
      <c r="L191" t="s">
        <v>317</v>
      </c>
    </row>
    <row r="192" spans="2:12" ht="13.8" customHeight="1" x14ac:dyDescent="0.3">
      <c r="B192" s="27">
        <f t="shared" si="8"/>
        <v>1</v>
      </c>
      <c r="C192" s="26" t="s">
        <v>140</v>
      </c>
      <c r="E192" s="9" t="s">
        <v>141</v>
      </c>
      <c r="G192">
        <v>100</v>
      </c>
      <c r="H192" s="19">
        <v>1.79</v>
      </c>
      <c r="I192" s="31">
        <f t="shared" si="33"/>
        <v>6</v>
      </c>
      <c r="J192" s="32">
        <f>G192*B192-I192</f>
        <v>94</v>
      </c>
      <c r="K192" s="29">
        <f t="shared" si="17"/>
        <v>1.79</v>
      </c>
      <c r="L192" t="s">
        <v>317</v>
      </c>
    </row>
    <row r="193" spans="2:12" ht="13.8" customHeight="1" x14ac:dyDescent="0.3">
      <c r="B193" s="27">
        <f t="shared" ref="B193:B194" si="37">ROUNDUP(I193/G193,0)</f>
        <v>1</v>
      </c>
      <c r="C193" s="26" t="s">
        <v>191</v>
      </c>
      <c r="E193" s="9" t="s">
        <v>292</v>
      </c>
      <c r="G193">
        <v>50</v>
      </c>
      <c r="H193" s="19">
        <v>4.33</v>
      </c>
      <c r="I193" s="31">
        <f t="shared" si="33"/>
        <v>4</v>
      </c>
      <c r="J193" s="32">
        <f>G193*B193-I193</f>
        <v>46</v>
      </c>
      <c r="K193" s="29">
        <f t="shared" ref="K193:K194" si="38">B193*H193</f>
        <v>4.33</v>
      </c>
      <c r="L193" t="s">
        <v>259</v>
      </c>
    </row>
    <row r="194" spans="2:12" ht="13.8" customHeight="1" x14ac:dyDescent="0.3">
      <c r="B194" s="27">
        <f t="shared" si="37"/>
        <v>2</v>
      </c>
      <c r="C194" s="26" t="s">
        <v>212</v>
      </c>
      <c r="E194" s="9" t="s">
        <v>211</v>
      </c>
      <c r="G194">
        <v>10</v>
      </c>
      <c r="H194" s="19">
        <v>1.98</v>
      </c>
      <c r="I194" s="31">
        <f t="shared" si="33"/>
        <v>16</v>
      </c>
      <c r="J194" s="32">
        <f>G194*B194-I194</f>
        <v>4</v>
      </c>
      <c r="K194" s="29">
        <f t="shared" si="38"/>
        <v>3.96</v>
      </c>
      <c r="L194" t="s">
        <v>317</v>
      </c>
    </row>
    <row r="195" spans="2:12" ht="13.8" customHeight="1" x14ac:dyDescent="0.3">
      <c r="B195" s="27">
        <f t="shared" ref="B195:B196" si="39">ROUNDUP(I195/G195,0)</f>
        <v>0</v>
      </c>
      <c r="C195" s="26" t="s">
        <v>322</v>
      </c>
      <c r="E195" s="9" t="s">
        <v>305</v>
      </c>
      <c r="G195">
        <v>10</v>
      </c>
      <c r="H195" s="19">
        <v>1.98</v>
      </c>
      <c r="I195" s="31">
        <f t="shared" si="33"/>
        <v>0</v>
      </c>
      <c r="J195" s="32">
        <f>G195*B195-I195</f>
        <v>0</v>
      </c>
      <c r="K195" s="29">
        <f t="shared" ref="K195:K196" si="40">B195*H195</f>
        <v>0</v>
      </c>
      <c r="L195" t="s">
        <v>317</v>
      </c>
    </row>
    <row r="196" spans="2:12" ht="13.8" customHeight="1" x14ac:dyDescent="0.3">
      <c r="B196" s="27">
        <f t="shared" si="39"/>
        <v>0</v>
      </c>
      <c r="C196" s="26" t="s">
        <v>304</v>
      </c>
      <c r="E196" s="9" t="s">
        <v>234</v>
      </c>
      <c r="G196">
        <v>10</v>
      </c>
      <c r="H196" s="19">
        <v>1.98</v>
      </c>
      <c r="I196" s="31">
        <f t="shared" si="33"/>
        <v>0</v>
      </c>
      <c r="J196" s="32">
        <f>G196*B196-I196</f>
        <v>0</v>
      </c>
      <c r="K196" s="29">
        <f t="shared" si="40"/>
        <v>0</v>
      </c>
      <c r="L196" t="s">
        <v>317</v>
      </c>
    </row>
    <row r="197" spans="2:12" ht="13.8" customHeight="1" x14ac:dyDescent="0.3">
      <c r="B197" s="27">
        <f>ROUNDUP(I197/G197,0)</f>
        <v>1</v>
      </c>
      <c r="C197" s="26" t="s">
        <v>143</v>
      </c>
      <c r="E197" s="9" t="s">
        <v>128</v>
      </c>
      <c r="G197">
        <v>500</v>
      </c>
      <c r="H197" s="19">
        <v>4.49</v>
      </c>
      <c r="I197" s="31">
        <f t="shared" si="33"/>
        <v>40</v>
      </c>
      <c r="J197" s="32">
        <f t="shared" ref="J197" si="41">G197*B197-I197</f>
        <v>460</v>
      </c>
      <c r="K197" s="29">
        <f t="shared" si="17"/>
        <v>4.49</v>
      </c>
      <c r="L197" t="s">
        <v>317</v>
      </c>
    </row>
    <row r="198" spans="2:12" ht="13.8" customHeight="1" x14ac:dyDescent="0.3">
      <c r="B198" s="27">
        <f>ROUNDUP(I198/G198,0)</f>
        <v>1</v>
      </c>
      <c r="C198" s="26" t="s">
        <v>158</v>
      </c>
      <c r="E198" s="9" t="s">
        <v>110</v>
      </c>
      <c r="G198">
        <v>500</v>
      </c>
      <c r="H198" s="19">
        <v>2.4900000000000002</v>
      </c>
      <c r="I198" s="31">
        <f t="shared" si="33"/>
        <v>142</v>
      </c>
      <c r="J198" s="32">
        <f t="shared" ref="J198:J199" si="42">G198*B198-I198</f>
        <v>358</v>
      </c>
      <c r="K198" s="29">
        <f t="shared" si="17"/>
        <v>2.4900000000000002</v>
      </c>
      <c r="L198" t="s">
        <v>317</v>
      </c>
    </row>
    <row r="199" spans="2:12" ht="13.8" customHeight="1" x14ac:dyDescent="0.3">
      <c r="B199" s="27">
        <f>ROUNDUP(I199/G199,0)</f>
        <v>1</v>
      </c>
      <c r="C199" s="26" t="s">
        <v>181</v>
      </c>
      <c r="E199" s="9" t="s">
        <v>182</v>
      </c>
      <c r="G199">
        <v>500</v>
      </c>
      <c r="H199" s="19">
        <v>4.49</v>
      </c>
      <c r="I199" s="31">
        <f t="shared" si="33"/>
        <v>192</v>
      </c>
      <c r="J199" s="32">
        <f t="shared" si="42"/>
        <v>308</v>
      </c>
      <c r="K199" s="29">
        <f t="shared" ref="K199" si="43">B199*H199</f>
        <v>4.49</v>
      </c>
      <c r="L199" t="s">
        <v>317</v>
      </c>
    </row>
    <row r="200" spans="2:12" ht="13.8" customHeight="1" x14ac:dyDescent="0.3">
      <c r="B200" s="27">
        <f>ROUNDUP(I200/G200,0)</f>
        <v>1</v>
      </c>
      <c r="C200" s="26" t="s">
        <v>261</v>
      </c>
      <c r="E200" s="9" t="s">
        <v>182</v>
      </c>
      <c r="G200">
        <v>500</v>
      </c>
      <c r="H200" s="19">
        <v>4.49</v>
      </c>
      <c r="I200" s="31">
        <f t="shared" si="33"/>
        <v>144</v>
      </c>
      <c r="J200" s="32">
        <f t="shared" ref="J200" si="44">G200*B200-I200</f>
        <v>356</v>
      </c>
      <c r="K200" s="29">
        <f t="shared" ref="K200" si="45">B200*H200</f>
        <v>4.49</v>
      </c>
      <c r="L200" t="s">
        <v>317</v>
      </c>
    </row>
    <row r="201" spans="2:12" ht="13.8" customHeight="1" x14ac:dyDescent="0.3">
      <c r="B201" s="27">
        <f>ROUNDUP(I201/G201,0)</f>
        <v>1</v>
      </c>
      <c r="C201" s="26" t="s">
        <v>235</v>
      </c>
      <c r="E201" s="9" t="s">
        <v>234</v>
      </c>
      <c r="G201">
        <v>100</v>
      </c>
      <c r="H201" s="19">
        <v>1.59</v>
      </c>
      <c r="I201" s="31">
        <f t="shared" si="33"/>
        <v>12</v>
      </c>
      <c r="J201" s="32">
        <f t="shared" ref="J201" si="46">G201*B201-I201</f>
        <v>88</v>
      </c>
      <c r="K201" s="29">
        <f t="shared" ref="K201" si="47">B201*H201</f>
        <v>1.59</v>
      </c>
      <c r="L201" t="s">
        <v>317</v>
      </c>
    </row>
    <row r="202" spans="2:12" ht="13.8" customHeight="1" x14ac:dyDescent="0.3">
      <c r="B202" s="27">
        <f t="shared" si="8"/>
        <v>37</v>
      </c>
      <c r="C202" s="26" t="s">
        <v>231</v>
      </c>
      <c r="E202" s="9" t="s">
        <v>230</v>
      </c>
      <c r="G202">
        <v>1</v>
      </c>
      <c r="H202" s="19">
        <v>0.3</v>
      </c>
      <c r="I202" s="31">
        <f t="shared" si="33"/>
        <v>37</v>
      </c>
      <c r="J202" s="32">
        <f t="shared" ref="J202" si="48">G202*B202-I202</f>
        <v>0</v>
      </c>
      <c r="K202" s="29">
        <f t="shared" ref="K202" si="49">B202*H202</f>
        <v>11.1</v>
      </c>
      <c r="L202" t="s">
        <v>317</v>
      </c>
    </row>
    <row r="203" spans="2:12" ht="13.8" customHeight="1" x14ac:dyDescent="0.3">
      <c r="B203" s="27">
        <f t="shared" si="8"/>
        <v>1</v>
      </c>
      <c r="C203" s="26" t="s">
        <v>263</v>
      </c>
      <c r="E203" s="9" t="s">
        <v>262</v>
      </c>
      <c r="G203">
        <v>10</v>
      </c>
      <c r="H203" s="19">
        <v>2.09</v>
      </c>
      <c r="I203" s="31">
        <f t="shared" si="33"/>
        <v>3</v>
      </c>
      <c r="J203" s="32">
        <f t="shared" ref="J203" si="50">G203*B203-I203</f>
        <v>7</v>
      </c>
      <c r="K203" s="29">
        <f t="shared" ref="K203" si="51">B203*H203</f>
        <v>2.09</v>
      </c>
      <c r="L203" t="s">
        <v>317</v>
      </c>
    </row>
    <row r="204" spans="2:12" ht="13.8" customHeight="1" x14ac:dyDescent="0.3">
      <c r="B204" s="27">
        <f>ROUNDUP(I204/G204,0)</f>
        <v>1</v>
      </c>
      <c r="C204" s="26" t="s">
        <v>233</v>
      </c>
      <c r="E204" s="9" t="s">
        <v>232</v>
      </c>
      <c r="G204">
        <v>500</v>
      </c>
      <c r="H204" s="19">
        <v>1.69</v>
      </c>
      <c r="I204" s="31">
        <f t="shared" si="33"/>
        <v>300</v>
      </c>
      <c r="J204" s="32">
        <f t="shared" ref="J204" si="52">G204*B204-I204</f>
        <v>200</v>
      </c>
      <c r="K204" s="29">
        <f>B204*H204</f>
        <v>1.69</v>
      </c>
      <c r="L204" t="s">
        <v>317</v>
      </c>
    </row>
    <row r="205" spans="2:12" ht="13.8" customHeight="1" x14ac:dyDescent="0.3">
      <c r="B205" s="27">
        <f>ROUNDUP(I205/G205,0)</f>
        <v>1</v>
      </c>
      <c r="C205" t="s">
        <v>427</v>
      </c>
      <c r="E205" t="s">
        <v>428</v>
      </c>
      <c r="G205">
        <v>1</v>
      </c>
      <c r="H205" s="19">
        <v>0.45</v>
      </c>
      <c r="I205" s="31">
        <f t="shared" si="33"/>
        <v>1</v>
      </c>
      <c r="J205" s="32">
        <f t="shared" ref="J205" si="53">G205*B205-I205</f>
        <v>0</v>
      </c>
      <c r="K205" s="29">
        <f>B205*H205</f>
        <v>0.45</v>
      </c>
      <c r="L205" t="s">
        <v>317</v>
      </c>
    </row>
    <row r="206" spans="2:12" ht="13.8" customHeight="1" x14ac:dyDescent="0.3">
      <c r="E206" s="9"/>
      <c r="H206" s="19"/>
      <c r="I206" s="31"/>
      <c r="J206" s="32"/>
      <c r="K206" s="29"/>
    </row>
    <row r="207" spans="2:12" ht="13.8" customHeight="1" x14ac:dyDescent="0.3">
      <c r="B207" s="27">
        <f>ROUNDUP(I207/G207,0)</f>
        <v>1</v>
      </c>
      <c r="C207" s="26" t="s">
        <v>360</v>
      </c>
      <c r="E207" s="9" t="s">
        <v>320</v>
      </c>
      <c r="G207">
        <v>1</v>
      </c>
      <c r="H207" s="19">
        <v>4.96</v>
      </c>
      <c r="I207" s="31">
        <f t="shared" ref="I207:I219" si="54">SUMIF(C$1:C$170,"="&amp;C207,B$1:B$170)</f>
        <v>1</v>
      </c>
      <c r="J207" s="32">
        <f>G207*B207-I207</f>
        <v>0</v>
      </c>
      <c r="K207" s="29">
        <f>B207*H207</f>
        <v>4.96</v>
      </c>
      <c r="L207" t="s">
        <v>259</v>
      </c>
    </row>
    <row r="208" spans="2:12" ht="13.8" customHeight="1" x14ac:dyDescent="0.3">
      <c r="B208" s="27">
        <f>ROUNDUP(I208/G208,0)</f>
        <v>1</v>
      </c>
      <c r="C208" s="26" t="s">
        <v>368</v>
      </c>
      <c r="E208" t="s">
        <v>367</v>
      </c>
      <c r="G208">
        <v>1</v>
      </c>
      <c r="H208" s="19">
        <v>5.0999999999999996</v>
      </c>
      <c r="I208" s="31">
        <f t="shared" si="54"/>
        <v>1</v>
      </c>
      <c r="J208" s="32">
        <f t="shared" ref="J208" si="55">G208*B208-I208</f>
        <v>0</v>
      </c>
      <c r="K208" s="29">
        <f>B208*H208</f>
        <v>5.0999999999999996</v>
      </c>
      <c r="L208" t="s">
        <v>259</v>
      </c>
    </row>
    <row r="209" spans="2:12" ht="13.8" customHeight="1" x14ac:dyDescent="0.3">
      <c r="B209" s="27">
        <f>ROUNDUP(I209/G209,0)</f>
        <v>1</v>
      </c>
      <c r="C209" s="26" t="s">
        <v>359</v>
      </c>
      <c r="E209" s="9" t="s">
        <v>347</v>
      </c>
      <c r="G209">
        <v>1</v>
      </c>
      <c r="H209" s="19">
        <v>5.0999999999999996</v>
      </c>
      <c r="I209" s="31">
        <f t="shared" si="54"/>
        <v>1</v>
      </c>
      <c r="J209" s="32">
        <f>G209*B209-I209</f>
        <v>0</v>
      </c>
      <c r="K209" s="29">
        <f>B209*H209</f>
        <v>5.0999999999999996</v>
      </c>
      <c r="L209" t="s">
        <v>317</v>
      </c>
    </row>
    <row r="210" spans="2:12" ht="13.8" customHeight="1" x14ac:dyDescent="0.3">
      <c r="B210" s="27">
        <f t="shared" ref="B210" si="56">ROUNDUP(I210/G210,0)</f>
        <v>0</v>
      </c>
      <c r="C210" s="26" t="s">
        <v>369</v>
      </c>
      <c r="E210" s="9" t="s">
        <v>320</v>
      </c>
      <c r="G210">
        <v>1</v>
      </c>
      <c r="H210" s="19">
        <v>4.96</v>
      </c>
      <c r="I210" s="31">
        <f t="shared" si="54"/>
        <v>0</v>
      </c>
      <c r="J210" s="32">
        <f t="shared" ref="J210" si="57">G210*B210-I210</f>
        <v>0</v>
      </c>
      <c r="K210" s="29">
        <f t="shared" ref="K210" si="58">B210*H210</f>
        <v>0</v>
      </c>
      <c r="L210" t="s">
        <v>259</v>
      </c>
    </row>
    <row r="211" spans="2:12" ht="13.8" customHeight="1" x14ac:dyDescent="0.3">
      <c r="B211" s="27">
        <f>ROUNDUP(I211/G211,0)</f>
        <v>0</v>
      </c>
      <c r="C211" s="26" t="s">
        <v>358</v>
      </c>
      <c r="E211" s="48" t="s">
        <v>332</v>
      </c>
      <c r="G211">
        <v>1</v>
      </c>
      <c r="H211" s="19">
        <v>4.54</v>
      </c>
      <c r="I211" s="31">
        <f t="shared" si="54"/>
        <v>0</v>
      </c>
      <c r="J211" s="32">
        <f>G211*B211-I211</f>
        <v>0</v>
      </c>
      <c r="K211" s="29">
        <f>B211*H211</f>
        <v>0</v>
      </c>
      <c r="L211" t="s">
        <v>317</v>
      </c>
    </row>
    <row r="212" spans="2:12" ht="13.8" customHeight="1" x14ac:dyDescent="0.3">
      <c r="B212" s="27">
        <f t="shared" ref="B212" si="59">ROUNDUP(I212/G212,0)</f>
        <v>0</v>
      </c>
      <c r="C212" s="26" t="s">
        <v>356</v>
      </c>
      <c r="E212" s="26" t="s">
        <v>335</v>
      </c>
      <c r="G212">
        <v>1</v>
      </c>
      <c r="H212" s="19">
        <v>4.54</v>
      </c>
      <c r="I212" s="31">
        <f t="shared" si="54"/>
        <v>0</v>
      </c>
      <c r="J212" s="32">
        <f t="shared" ref="J212" si="60">G212*B212-I212</f>
        <v>0</v>
      </c>
      <c r="K212" s="29">
        <f t="shared" ref="K212" si="61">B212*H212</f>
        <v>0</v>
      </c>
      <c r="L212" t="s">
        <v>317</v>
      </c>
    </row>
    <row r="213" spans="2:12" ht="13.8" customHeight="1" x14ac:dyDescent="0.3">
      <c r="B213" s="27">
        <f t="shared" ref="B213" si="62">ROUNDUP(I213/G213,0)</f>
        <v>0</v>
      </c>
      <c r="C213" s="26" t="s">
        <v>357</v>
      </c>
      <c r="E213" s="26" t="s">
        <v>333</v>
      </c>
      <c r="G213">
        <v>1</v>
      </c>
      <c r="H213" s="19">
        <v>4.54</v>
      </c>
      <c r="I213" s="31">
        <f t="shared" si="54"/>
        <v>0</v>
      </c>
      <c r="J213" s="32">
        <f t="shared" ref="J213" si="63">G213*B213-I213</f>
        <v>0</v>
      </c>
      <c r="K213" s="29">
        <f t="shared" ref="K213" si="64">B213*H213</f>
        <v>0</v>
      </c>
      <c r="L213" t="s">
        <v>317</v>
      </c>
    </row>
    <row r="214" spans="2:12" ht="13.8" customHeight="1" x14ac:dyDescent="0.3">
      <c r="B214" s="27">
        <f t="shared" ref="B214:B216" si="65">ROUNDUP(I214/G214,0)</f>
        <v>1</v>
      </c>
      <c r="C214" s="26" t="s">
        <v>361</v>
      </c>
      <c r="E214" s="9" t="s">
        <v>336</v>
      </c>
      <c r="G214">
        <v>1</v>
      </c>
      <c r="H214" s="19">
        <v>5.44</v>
      </c>
      <c r="I214" s="31">
        <f t="shared" si="54"/>
        <v>1</v>
      </c>
      <c r="J214" s="32">
        <f t="shared" ref="J214:J216" si="66">G214*B214-I214</f>
        <v>0</v>
      </c>
      <c r="K214" s="29">
        <f t="shared" ref="K214:K216" si="67">B214*H214</f>
        <v>5.44</v>
      </c>
      <c r="L214" t="s">
        <v>317</v>
      </c>
    </row>
    <row r="215" spans="2:12" ht="13.8" customHeight="1" x14ac:dyDescent="0.3">
      <c r="B215" s="27">
        <f t="shared" ref="B215" si="68">ROUNDUP(I215/G215,0)</f>
        <v>0</v>
      </c>
      <c r="C215" s="26" t="s">
        <v>440</v>
      </c>
      <c r="E215" s="9" t="s">
        <v>441</v>
      </c>
      <c r="G215">
        <v>1</v>
      </c>
      <c r="H215" s="19">
        <v>5.44</v>
      </c>
      <c r="I215" s="31">
        <f t="shared" si="54"/>
        <v>0</v>
      </c>
      <c r="J215" s="32">
        <f t="shared" ref="J215" si="69">G215*B215-I215</f>
        <v>0</v>
      </c>
      <c r="K215" s="29">
        <f t="shared" ref="K215" si="70">B215*H215</f>
        <v>0</v>
      </c>
      <c r="L215" t="s">
        <v>317</v>
      </c>
    </row>
    <row r="216" spans="2:12" ht="13.8" customHeight="1" x14ac:dyDescent="0.3">
      <c r="B216" s="27">
        <f t="shared" si="65"/>
        <v>0</v>
      </c>
      <c r="C216" s="26" t="s">
        <v>384</v>
      </c>
      <c r="E216" s="9" t="s">
        <v>383</v>
      </c>
      <c r="G216">
        <v>1</v>
      </c>
      <c r="H216" s="19">
        <v>5.44</v>
      </c>
      <c r="I216" s="31">
        <f t="shared" si="54"/>
        <v>0</v>
      </c>
      <c r="J216" s="32">
        <f t="shared" si="66"/>
        <v>0</v>
      </c>
      <c r="K216" s="29">
        <f t="shared" si="67"/>
        <v>0</v>
      </c>
      <c r="L216" t="s">
        <v>317</v>
      </c>
    </row>
    <row r="217" spans="2:12" ht="13.8" customHeight="1" x14ac:dyDescent="0.3">
      <c r="B217" s="27">
        <f t="shared" ref="B217" si="71">ROUNDUP(I217/G217,0)</f>
        <v>0</v>
      </c>
      <c r="C217" s="26" t="s">
        <v>362</v>
      </c>
      <c r="E217" s="9" t="s">
        <v>334</v>
      </c>
      <c r="G217">
        <v>1</v>
      </c>
      <c r="H217" s="19">
        <v>5.44</v>
      </c>
      <c r="I217" s="31">
        <f t="shared" si="54"/>
        <v>0</v>
      </c>
      <c r="J217" s="32">
        <f t="shared" ref="J217" si="72">G217*B217-I217</f>
        <v>0</v>
      </c>
      <c r="K217" s="29">
        <f t="shared" ref="K217" si="73">B217*H217</f>
        <v>0</v>
      </c>
      <c r="L217" t="s">
        <v>259</v>
      </c>
    </row>
    <row r="218" spans="2:12" ht="13.8" customHeight="1" x14ac:dyDescent="0.3">
      <c r="B218" s="27">
        <f t="shared" ref="B218:B273" si="74">ROUNDUP(I218/G218,0)</f>
        <v>0</v>
      </c>
      <c r="C218" s="26" t="s">
        <v>364</v>
      </c>
      <c r="E218" s="9" t="s">
        <v>125</v>
      </c>
      <c r="G218">
        <v>1</v>
      </c>
      <c r="H218" s="19">
        <v>5.44</v>
      </c>
      <c r="I218" s="31">
        <f t="shared" si="54"/>
        <v>0</v>
      </c>
      <c r="J218" s="32">
        <f t="shared" ref="J218" si="75">G218*B218-I218</f>
        <v>0</v>
      </c>
      <c r="K218" s="29">
        <f t="shared" si="17"/>
        <v>0</v>
      </c>
      <c r="L218" t="s">
        <v>259</v>
      </c>
    </row>
    <row r="219" spans="2:12" ht="13.8" customHeight="1" x14ac:dyDescent="0.3">
      <c r="B219" s="27">
        <f t="shared" si="74"/>
        <v>0</v>
      </c>
      <c r="C219" s="26" t="s">
        <v>363</v>
      </c>
      <c r="E219" s="9" t="s">
        <v>164</v>
      </c>
      <c r="G219">
        <v>1</v>
      </c>
      <c r="H219" s="19">
        <v>6.34</v>
      </c>
      <c r="I219" s="31">
        <f t="shared" si="54"/>
        <v>0</v>
      </c>
      <c r="J219" s="32">
        <f t="shared" ref="J219" si="76">G219*B219-I219</f>
        <v>0</v>
      </c>
      <c r="K219" s="29">
        <f t="shared" ref="K219" si="77">B219*H219</f>
        <v>0</v>
      </c>
      <c r="L219" t="s">
        <v>259</v>
      </c>
    </row>
    <row r="220" spans="2:12" ht="13.8" customHeight="1" x14ac:dyDescent="0.3">
      <c r="B220" s="27"/>
      <c r="C220" s="26"/>
      <c r="E220" s="9"/>
      <c r="H220" s="19"/>
      <c r="I220" s="31"/>
      <c r="J220" s="32"/>
      <c r="K220" s="29"/>
    </row>
    <row r="221" spans="2:12" ht="13.8" customHeight="1" x14ac:dyDescent="0.3">
      <c r="B221" s="27">
        <f>ROUNDUP(I221/G221,0)</f>
        <v>1</v>
      </c>
      <c r="C221" s="26" t="s">
        <v>386</v>
      </c>
      <c r="E221" s="9" t="s">
        <v>321</v>
      </c>
      <c r="G221">
        <v>1</v>
      </c>
      <c r="H221" s="19">
        <v>4.3899999999999997</v>
      </c>
      <c r="I221" s="31">
        <f t="shared" ref="I221:I228" si="78">SUMIF(C$1:C$170,"="&amp;C221,B$1:B$170)</f>
        <v>1</v>
      </c>
      <c r="J221" s="32">
        <f t="shared" ref="J221" si="79">G221*B221-I221</f>
        <v>0</v>
      </c>
      <c r="K221" s="29">
        <f t="shared" ref="K221" si="80">B221*H221</f>
        <v>4.3899999999999997</v>
      </c>
      <c r="L221" t="s">
        <v>317</v>
      </c>
    </row>
    <row r="222" spans="2:12" ht="13.8" customHeight="1" x14ac:dyDescent="0.3">
      <c r="B222" s="27">
        <f t="shared" ref="B222" si="81">ROUNDUP(I222/G222,0)</f>
        <v>1</v>
      </c>
      <c r="C222" s="26" t="s">
        <v>380</v>
      </c>
      <c r="E222" s="9" t="s">
        <v>344</v>
      </c>
      <c r="G222">
        <v>1</v>
      </c>
      <c r="H222" s="19">
        <v>5.07</v>
      </c>
      <c r="I222" s="31">
        <f t="shared" si="78"/>
        <v>1</v>
      </c>
      <c r="J222" s="32">
        <f t="shared" ref="J222" si="82">G222*B222-I222</f>
        <v>0</v>
      </c>
      <c r="K222" s="29">
        <f t="shared" ref="K222" si="83">B222*H222</f>
        <v>5.07</v>
      </c>
      <c r="L222" t="s">
        <v>317</v>
      </c>
    </row>
    <row r="223" spans="2:12" ht="13.8" customHeight="1" x14ac:dyDescent="0.3">
      <c r="B223" s="27">
        <f>ROUNDUP(I223/G223,0)</f>
        <v>3</v>
      </c>
      <c r="C223" s="26" t="s">
        <v>379</v>
      </c>
      <c r="E223" s="9" t="s">
        <v>185</v>
      </c>
      <c r="G223">
        <v>1</v>
      </c>
      <c r="H223" s="19">
        <v>5.23</v>
      </c>
      <c r="I223" s="31">
        <f t="shared" si="78"/>
        <v>3</v>
      </c>
      <c r="J223" s="32">
        <f t="shared" ref="J223" si="84">G223*B223-I223</f>
        <v>0</v>
      </c>
      <c r="K223" s="29">
        <f t="shared" ref="K223" si="85">B223*H223</f>
        <v>15.690000000000001</v>
      </c>
      <c r="L223" t="s">
        <v>317</v>
      </c>
    </row>
    <row r="224" spans="2:12" ht="13.8" customHeight="1" x14ac:dyDescent="0.3">
      <c r="B224" s="27">
        <f t="shared" ref="B224" si="86">ROUNDUP(I224/G224,0)</f>
        <v>0</v>
      </c>
      <c r="C224" s="26" t="s">
        <v>378</v>
      </c>
      <c r="E224" s="9" t="s">
        <v>348</v>
      </c>
      <c r="G224">
        <v>1</v>
      </c>
      <c r="H224" s="19">
        <v>5.23</v>
      </c>
      <c r="I224" s="31">
        <f t="shared" si="78"/>
        <v>0</v>
      </c>
      <c r="J224" s="32">
        <f t="shared" ref="J224" si="87">G224*B224-I224</f>
        <v>0</v>
      </c>
      <c r="K224" s="29">
        <f t="shared" ref="K224" si="88">B224*H224</f>
        <v>0</v>
      </c>
      <c r="L224" t="s">
        <v>317</v>
      </c>
    </row>
    <row r="225" spans="2:12" ht="13.8" customHeight="1" x14ac:dyDescent="0.3">
      <c r="B225" s="27">
        <f t="shared" si="74"/>
        <v>0</v>
      </c>
      <c r="C225" s="26" t="s">
        <v>371</v>
      </c>
      <c r="E225" s="9" t="s">
        <v>370</v>
      </c>
      <c r="G225">
        <v>1</v>
      </c>
      <c r="H225" s="19">
        <v>5.23</v>
      </c>
      <c r="I225" s="31">
        <f t="shared" si="78"/>
        <v>0</v>
      </c>
      <c r="J225" s="32">
        <f t="shared" ref="J225" si="89">G225*B225-I225</f>
        <v>0</v>
      </c>
      <c r="K225" s="29">
        <f t="shared" ref="K225" si="90">B225*H225</f>
        <v>0</v>
      </c>
      <c r="L225" t="s">
        <v>259</v>
      </c>
    </row>
    <row r="226" spans="2:12" ht="13.8" customHeight="1" x14ac:dyDescent="0.3">
      <c r="B226" s="27">
        <f t="shared" ref="B226" si="91">ROUNDUP(I226/G226,0)</f>
        <v>0</v>
      </c>
      <c r="C226" s="26" t="s">
        <v>373</v>
      </c>
      <c r="E226" s="9" t="s">
        <v>372</v>
      </c>
      <c r="G226">
        <v>1</v>
      </c>
      <c r="H226" s="19">
        <v>6.67</v>
      </c>
      <c r="I226" s="31">
        <f t="shared" si="78"/>
        <v>0</v>
      </c>
      <c r="J226" s="32">
        <f>G226*B226-I226</f>
        <v>0</v>
      </c>
      <c r="K226" s="29">
        <f>B226*H226</f>
        <v>0</v>
      </c>
      <c r="L226" t="s">
        <v>259</v>
      </c>
    </row>
    <row r="227" spans="2:12" ht="13.8" customHeight="1" x14ac:dyDescent="0.3">
      <c r="B227" s="27">
        <f t="shared" ref="B227" si="92">ROUNDUP(I227/G227,0)</f>
        <v>0</v>
      </c>
      <c r="C227" s="26" t="s">
        <v>375</v>
      </c>
      <c r="E227" s="9" t="s">
        <v>374</v>
      </c>
      <c r="G227">
        <v>1</v>
      </c>
      <c r="H227" s="19">
        <v>6.67</v>
      </c>
      <c r="I227" s="31">
        <f t="shared" si="78"/>
        <v>0</v>
      </c>
      <c r="J227" s="32">
        <f t="shared" ref="J227" si="93">G227*B227-I227</f>
        <v>0</v>
      </c>
      <c r="K227" s="29">
        <f t="shared" ref="K227" si="94">B227*H227</f>
        <v>0</v>
      </c>
      <c r="L227" t="s">
        <v>259</v>
      </c>
    </row>
    <row r="228" spans="2:12" ht="13.8" customHeight="1" x14ac:dyDescent="0.3">
      <c r="B228" s="27">
        <f>ROUNDUP(I228/G228,0)</f>
        <v>2</v>
      </c>
      <c r="C228" s="26" t="s">
        <v>387</v>
      </c>
      <c r="E228" s="9" t="s">
        <v>184</v>
      </c>
      <c r="G228">
        <v>1</v>
      </c>
      <c r="H228" s="19">
        <v>11.6</v>
      </c>
      <c r="I228" s="31">
        <f t="shared" si="78"/>
        <v>2</v>
      </c>
      <c r="J228" s="32">
        <f>G228*B228-I228</f>
        <v>0</v>
      </c>
      <c r="K228" s="29">
        <f>B228*H228</f>
        <v>23.2</v>
      </c>
      <c r="L228" t="s">
        <v>317</v>
      </c>
    </row>
    <row r="229" spans="2:12" ht="13.8" customHeight="1" x14ac:dyDescent="0.3">
      <c r="B229" s="27"/>
      <c r="C229" s="26"/>
      <c r="E229" s="9"/>
      <c r="H229" s="19"/>
      <c r="I229" s="31"/>
      <c r="J229" s="32"/>
      <c r="K229" s="29"/>
    </row>
    <row r="230" spans="2:12" ht="13.8" customHeight="1" x14ac:dyDescent="0.3">
      <c r="B230" s="27">
        <f t="shared" ref="B230" si="95">ROUNDUP(I230/G230,0)</f>
        <v>1</v>
      </c>
      <c r="C230" s="26" t="s">
        <v>339</v>
      </c>
      <c r="E230" s="9" t="s">
        <v>340</v>
      </c>
      <c r="G230">
        <v>1</v>
      </c>
      <c r="H230" s="19">
        <v>4</v>
      </c>
      <c r="I230" s="31">
        <f t="shared" ref="I230:I247" si="96">SUMIF(C$1:C$170,"="&amp;C230,B$1:B$170)</f>
        <v>1</v>
      </c>
      <c r="J230" s="32">
        <f>G230*B230-I230</f>
        <v>0</v>
      </c>
      <c r="K230" s="29">
        <f t="shared" ref="K230:K235" si="97">B230*H230</f>
        <v>4</v>
      </c>
      <c r="L230" t="s">
        <v>317</v>
      </c>
    </row>
    <row r="231" spans="2:12" ht="13.8" customHeight="1" x14ac:dyDescent="0.3">
      <c r="B231" s="27">
        <f t="shared" ref="B231" si="98">ROUNDUP(I231/G231,0)</f>
        <v>1</v>
      </c>
      <c r="C231" s="26" t="s">
        <v>338</v>
      </c>
      <c r="E231" s="9" t="s">
        <v>337</v>
      </c>
      <c r="G231">
        <v>1</v>
      </c>
      <c r="H231" s="19">
        <v>4.24</v>
      </c>
      <c r="I231" s="31">
        <f t="shared" si="96"/>
        <v>1</v>
      </c>
      <c r="J231" s="32">
        <f t="shared" ref="J231" si="99">G231*B231-I231</f>
        <v>0</v>
      </c>
      <c r="K231" s="29">
        <f t="shared" si="97"/>
        <v>4.24</v>
      </c>
      <c r="L231" t="s">
        <v>317</v>
      </c>
    </row>
    <row r="232" spans="2:12" ht="13.8" customHeight="1" x14ac:dyDescent="0.3">
      <c r="B232" s="27">
        <f>ROUNDUP(I232/G232,0)</f>
        <v>0</v>
      </c>
      <c r="C232" s="26" t="s">
        <v>202</v>
      </c>
      <c r="E232" s="9" t="s">
        <v>144</v>
      </c>
      <c r="G232">
        <v>1</v>
      </c>
      <c r="H232" s="19">
        <v>4.24</v>
      </c>
      <c r="I232" s="31">
        <f t="shared" si="96"/>
        <v>0</v>
      </c>
      <c r="J232" s="32">
        <f t="shared" ref="J232" si="100">G232*B232-I232</f>
        <v>0</v>
      </c>
      <c r="K232" s="29">
        <f t="shared" si="97"/>
        <v>0</v>
      </c>
      <c r="L232" t="s">
        <v>317</v>
      </c>
    </row>
    <row r="233" spans="2:12" ht="13.8" customHeight="1" x14ac:dyDescent="0.3">
      <c r="B233" s="27">
        <f t="shared" ref="B233" si="101">ROUNDUP(I233/G233,0)</f>
        <v>0</v>
      </c>
      <c r="C233" s="26" t="s">
        <v>342</v>
      </c>
      <c r="E233" s="9" t="s">
        <v>341</v>
      </c>
      <c r="G233">
        <v>1</v>
      </c>
      <c r="H233" s="19">
        <v>4</v>
      </c>
      <c r="I233" s="31">
        <f t="shared" si="96"/>
        <v>0</v>
      </c>
      <c r="J233" s="32">
        <f>G233*B233-I233</f>
        <v>0</v>
      </c>
      <c r="K233" s="29">
        <f t="shared" si="97"/>
        <v>0</v>
      </c>
      <c r="L233" t="s">
        <v>317</v>
      </c>
    </row>
    <row r="234" spans="2:12" ht="13.8" customHeight="1" x14ac:dyDescent="0.3">
      <c r="B234" s="27">
        <f>ROUNDUP(I234/G234,0)</f>
        <v>0</v>
      </c>
      <c r="C234" s="26" t="s">
        <v>205</v>
      </c>
      <c r="E234" s="9" t="s">
        <v>160</v>
      </c>
      <c r="G234">
        <v>1</v>
      </c>
      <c r="H234" s="19">
        <v>4.4400000000000004</v>
      </c>
      <c r="I234" s="31">
        <f t="shared" si="96"/>
        <v>0</v>
      </c>
      <c r="J234" s="32">
        <f t="shared" ref="J234" si="102">G234*B234-I234</f>
        <v>0</v>
      </c>
      <c r="K234" s="29">
        <f t="shared" si="97"/>
        <v>0</v>
      </c>
      <c r="L234" t="s">
        <v>317</v>
      </c>
    </row>
    <row r="235" spans="2:12" ht="13.8" customHeight="1" x14ac:dyDescent="0.3">
      <c r="B235" s="27">
        <f t="shared" si="74"/>
        <v>0</v>
      </c>
      <c r="C235" s="26" t="s">
        <v>201</v>
      </c>
      <c r="E235" s="9" t="s">
        <v>133</v>
      </c>
      <c r="G235">
        <v>1</v>
      </c>
      <c r="H235" s="19">
        <v>4.96</v>
      </c>
      <c r="I235" s="31">
        <f t="shared" si="96"/>
        <v>0</v>
      </c>
      <c r="J235" s="32">
        <f>G235*B235-I235</f>
        <v>0</v>
      </c>
      <c r="K235" s="29">
        <f t="shared" si="97"/>
        <v>0</v>
      </c>
      <c r="L235" t="s">
        <v>317</v>
      </c>
    </row>
    <row r="236" spans="2:12" ht="13.8" customHeight="1" x14ac:dyDescent="0.3">
      <c r="B236" s="27">
        <f t="shared" ref="B236:B239" si="103">ROUNDUP(I236/G236,0)</f>
        <v>1</v>
      </c>
      <c r="C236" s="26" t="s">
        <v>354</v>
      </c>
      <c r="E236" s="26" t="s">
        <v>353</v>
      </c>
      <c r="G236">
        <v>1</v>
      </c>
      <c r="H236" s="19">
        <v>4.96</v>
      </c>
      <c r="I236" s="31">
        <f t="shared" si="96"/>
        <v>1</v>
      </c>
      <c r="J236" s="32">
        <f>G236*B236-I236</f>
        <v>0</v>
      </c>
      <c r="K236" s="29">
        <f t="shared" ref="K236:K238" si="104">B236*H236</f>
        <v>4.96</v>
      </c>
      <c r="L236" t="s">
        <v>317</v>
      </c>
    </row>
    <row r="237" spans="2:12" ht="13.8" customHeight="1" x14ac:dyDescent="0.3">
      <c r="B237" s="27">
        <f t="shared" si="103"/>
        <v>0</v>
      </c>
      <c r="C237" s="26" t="s">
        <v>382</v>
      </c>
      <c r="E237" s="9" t="s">
        <v>381</v>
      </c>
      <c r="G237">
        <v>1</v>
      </c>
      <c r="H237" s="19">
        <v>4</v>
      </c>
      <c r="I237" s="31">
        <f t="shared" si="96"/>
        <v>0</v>
      </c>
      <c r="J237" s="32">
        <f>G237*B237-I237</f>
        <v>0</v>
      </c>
      <c r="K237" s="29">
        <f t="shared" si="104"/>
        <v>0</v>
      </c>
      <c r="L237" t="s">
        <v>317</v>
      </c>
    </row>
    <row r="238" spans="2:12" ht="13.8" customHeight="1" x14ac:dyDescent="0.3">
      <c r="B238" s="27">
        <f t="shared" ref="B238" si="105">ROUNDUP(I238/G238,0)</f>
        <v>0</v>
      </c>
      <c r="C238" s="26" t="s">
        <v>389</v>
      </c>
      <c r="E238" t="s">
        <v>388</v>
      </c>
      <c r="G238">
        <v>1</v>
      </c>
      <c r="H238" s="19">
        <v>4.96</v>
      </c>
      <c r="I238" s="31">
        <f t="shared" si="96"/>
        <v>0</v>
      </c>
      <c r="J238" s="32">
        <f>G238*B238-I238</f>
        <v>0</v>
      </c>
      <c r="K238" s="29">
        <f t="shared" si="104"/>
        <v>0</v>
      </c>
      <c r="L238" t="s">
        <v>317</v>
      </c>
    </row>
    <row r="239" spans="2:12" ht="13.8" customHeight="1" x14ac:dyDescent="0.3">
      <c r="B239" s="27">
        <f t="shared" si="103"/>
        <v>1</v>
      </c>
      <c r="C239" s="26" t="s">
        <v>377</v>
      </c>
      <c r="E239" t="s">
        <v>376</v>
      </c>
      <c r="G239">
        <v>1</v>
      </c>
      <c r="H239" s="19">
        <v>4.96</v>
      </c>
      <c r="I239" s="31">
        <f t="shared" si="96"/>
        <v>1</v>
      </c>
      <c r="J239" s="32">
        <f>G239*B239-I239</f>
        <v>0</v>
      </c>
      <c r="K239" s="29">
        <f t="shared" ref="K239" si="106">B239*H239</f>
        <v>4.96</v>
      </c>
      <c r="L239" t="s">
        <v>317</v>
      </c>
    </row>
    <row r="240" spans="2:12" ht="13.8" customHeight="1" x14ac:dyDescent="0.3">
      <c r="B240" s="27">
        <f t="shared" ref="B240:B245" si="107">ROUNDUP(I240/G240,0)</f>
        <v>0</v>
      </c>
      <c r="C240" s="26" t="s">
        <v>203</v>
      </c>
      <c r="E240" s="9" t="s">
        <v>198</v>
      </c>
      <c r="G240">
        <v>1</v>
      </c>
      <c r="H240" s="19">
        <v>7.13</v>
      </c>
      <c r="I240" s="31">
        <f t="shared" si="96"/>
        <v>0</v>
      </c>
      <c r="J240" s="32">
        <f t="shared" ref="J240:J242" si="108">G240*B240-I240</f>
        <v>0</v>
      </c>
      <c r="K240" s="29">
        <f t="shared" ref="K240:K242" si="109">B240*H240</f>
        <v>0</v>
      </c>
      <c r="L240" t="s">
        <v>317</v>
      </c>
    </row>
    <row r="241" spans="2:12" ht="13.8" customHeight="1" x14ac:dyDescent="0.3">
      <c r="B241" s="27">
        <f t="shared" si="107"/>
        <v>2</v>
      </c>
      <c r="C241" s="26" t="s">
        <v>438</v>
      </c>
      <c r="E241" s="9" t="s">
        <v>220</v>
      </c>
      <c r="G241">
        <v>1</v>
      </c>
      <c r="H241" s="19">
        <v>7.88</v>
      </c>
      <c r="I241" s="31">
        <f t="shared" si="96"/>
        <v>2</v>
      </c>
      <c r="J241" s="32">
        <f t="shared" ref="J241" si="110">G241*B241-I241</f>
        <v>0</v>
      </c>
      <c r="K241" s="29">
        <f t="shared" ref="K241" si="111">B241*H241</f>
        <v>15.76</v>
      </c>
      <c r="L241" t="s">
        <v>317</v>
      </c>
    </row>
    <row r="242" spans="2:12" ht="13.8" customHeight="1" x14ac:dyDescent="0.3">
      <c r="B242" s="27">
        <f t="shared" si="107"/>
        <v>2</v>
      </c>
      <c r="C242" s="26" t="s">
        <v>437</v>
      </c>
      <c r="E242" s="9" t="s">
        <v>220</v>
      </c>
      <c r="G242">
        <v>1</v>
      </c>
      <c r="H242" s="19">
        <v>7.88</v>
      </c>
      <c r="I242" s="31">
        <f t="shared" si="96"/>
        <v>2</v>
      </c>
      <c r="J242" s="32">
        <f t="shared" si="108"/>
        <v>0</v>
      </c>
      <c r="K242" s="29">
        <f t="shared" si="109"/>
        <v>15.76</v>
      </c>
      <c r="L242" t="s">
        <v>317</v>
      </c>
    </row>
    <row r="243" spans="2:12" ht="13.8" customHeight="1" x14ac:dyDescent="0.3">
      <c r="B243" s="27">
        <f t="shared" si="107"/>
        <v>1</v>
      </c>
      <c r="C243" s="26" t="s">
        <v>444</v>
      </c>
      <c r="E243" s="9" t="s">
        <v>220</v>
      </c>
      <c r="G243">
        <v>1</v>
      </c>
      <c r="H243" s="19">
        <v>7.88</v>
      </c>
      <c r="I243" s="31">
        <f t="shared" ref="I243" si="112">SUMIF(C$1:C$170,"="&amp;C243,B$1:B$170)</f>
        <v>1</v>
      </c>
      <c r="J243" s="32">
        <f t="shared" ref="J243" si="113">G243*B243-I243</f>
        <v>0</v>
      </c>
      <c r="K243" s="29">
        <f t="shared" ref="K243" si="114">B243*H243</f>
        <v>7.88</v>
      </c>
      <c r="L243" t="s">
        <v>317</v>
      </c>
    </row>
    <row r="244" spans="2:12" ht="13.8" customHeight="1" x14ac:dyDescent="0.3">
      <c r="B244" s="27">
        <f t="shared" si="107"/>
        <v>0</v>
      </c>
      <c r="C244" s="26" t="s">
        <v>219</v>
      </c>
      <c r="E244" s="9" t="s">
        <v>220</v>
      </c>
      <c r="G244">
        <v>1</v>
      </c>
      <c r="H244" s="19">
        <v>7.88</v>
      </c>
      <c r="I244" s="31">
        <f t="shared" si="96"/>
        <v>0</v>
      </c>
      <c r="J244" s="32">
        <f t="shared" ref="J244" si="115">G244*B244-I244</f>
        <v>0</v>
      </c>
      <c r="K244" s="29">
        <f t="shared" ref="K244" si="116">B244*H244</f>
        <v>0</v>
      </c>
      <c r="L244" t="s">
        <v>317</v>
      </c>
    </row>
    <row r="245" spans="2:12" ht="13.8" customHeight="1" x14ac:dyDescent="0.3">
      <c r="B245" s="27">
        <f t="shared" si="107"/>
        <v>0</v>
      </c>
      <c r="C245" s="26" t="s">
        <v>218</v>
      </c>
      <c r="E245" s="9" t="s">
        <v>217</v>
      </c>
      <c r="G245">
        <v>1</v>
      </c>
      <c r="H245" s="19">
        <v>7.88</v>
      </c>
      <c r="I245" s="31">
        <f t="shared" si="96"/>
        <v>0</v>
      </c>
      <c r="J245" s="32">
        <f t="shared" ref="J245" si="117">G245*B245-I245</f>
        <v>0</v>
      </c>
      <c r="K245" s="29">
        <f t="shared" ref="K245" si="118">B245*H245</f>
        <v>0</v>
      </c>
      <c r="L245" t="s">
        <v>317</v>
      </c>
    </row>
    <row r="246" spans="2:12" ht="13.8" customHeight="1" x14ac:dyDescent="0.3">
      <c r="B246" s="27">
        <f t="shared" si="74"/>
        <v>0</v>
      </c>
      <c r="C246" s="26" t="s">
        <v>204</v>
      </c>
      <c r="E246" s="9" t="s">
        <v>346</v>
      </c>
      <c r="G246">
        <v>1</v>
      </c>
      <c r="H246" s="19">
        <v>8.8699999999999992</v>
      </c>
      <c r="I246" s="31">
        <f t="shared" si="96"/>
        <v>0</v>
      </c>
      <c r="J246" s="32">
        <f t="shared" ref="J246" si="119">G246*B246-I246</f>
        <v>0</v>
      </c>
      <c r="K246" s="29">
        <f t="shared" ref="K246" si="120">B246*H246</f>
        <v>0</v>
      </c>
      <c r="L246" t="s">
        <v>317</v>
      </c>
    </row>
    <row r="247" spans="2:12" ht="13.8" customHeight="1" x14ac:dyDescent="0.3">
      <c r="B247" s="27">
        <f t="shared" si="74"/>
        <v>0</v>
      </c>
      <c r="C247" s="26" t="s">
        <v>243</v>
      </c>
      <c r="E247" s="9" t="s">
        <v>242</v>
      </c>
      <c r="G247">
        <v>1</v>
      </c>
      <c r="H247" s="19">
        <v>7.13</v>
      </c>
      <c r="I247" s="31">
        <f t="shared" si="96"/>
        <v>0</v>
      </c>
      <c r="J247" s="32">
        <f t="shared" ref="J247" si="121">G247*B247-I247</f>
        <v>0</v>
      </c>
      <c r="K247" s="29">
        <f t="shared" ref="K247" si="122">B247*H247</f>
        <v>0</v>
      </c>
      <c r="L247" t="s">
        <v>317</v>
      </c>
    </row>
    <row r="248" spans="2:12" ht="13.8" customHeight="1" x14ac:dyDescent="0.3">
      <c r="B248" s="27"/>
      <c r="C248" s="26"/>
      <c r="H248" s="19"/>
      <c r="I248" s="31"/>
      <c r="J248" s="32"/>
      <c r="K248" s="29"/>
    </row>
    <row r="249" spans="2:12" ht="13.8" customHeight="1" x14ac:dyDescent="0.3">
      <c r="B249" s="27">
        <f t="shared" ref="B249" si="123">ROUNDUP(I249/G249,0)</f>
        <v>0</v>
      </c>
      <c r="C249" s="26" t="s">
        <v>409</v>
      </c>
      <c r="E249" s="9" t="s">
        <v>408</v>
      </c>
      <c r="G249">
        <v>1</v>
      </c>
      <c r="H249" s="19">
        <v>14.5</v>
      </c>
      <c r="I249" s="31">
        <f t="shared" ref="I249:I257" si="124">SUMIF(C$1:C$170,"="&amp;C249,B$1:B$170)</f>
        <v>0</v>
      </c>
      <c r="J249" s="32">
        <f t="shared" ref="J249" si="125">G249*B249-I249</f>
        <v>0</v>
      </c>
      <c r="K249" s="29">
        <f t="shared" ref="K249" si="126">B249*H249</f>
        <v>0</v>
      </c>
      <c r="L249" t="s">
        <v>317</v>
      </c>
    </row>
    <row r="250" spans="2:12" ht="13.8" customHeight="1" x14ac:dyDescent="0.3">
      <c r="B250" s="27">
        <f t="shared" ref="B250" si="127">ROUNDUP(I250/G250,0)</f>
        <v>1</v>
      </c>
      <c r="C250" s="26" t="s">
        <v>412</v>
      </c>
      <c r="E250" t="s">
        <v>411</v>
      </c>
      <c r="G250">
        <v>1</v>
      </c>
      <c r="H250" s="19">
        <v>14.5</v>
      </c>
      <c r="I250" s="31">
        <f t="shared" si="124"/>
        <v>1</v>
      </c>
      <c r="J250" s="32">
        <f t="shared" ref="J250" si="128">G250*B250-I250</f>
        <v>0</v>
      </c>
      <c r="K250" s="29">
        <f t="shared" ref="K250" si="129">B250*H250</f>
        <v>14.5</v>
      </c>
      <c r="L250" t="s">
        <v>317</v>
      </c>
    </row>
    <row r="251" spans="2:12" ht="13.8" customHeight="1" x14ac:dyDescent="0.3">
      <c r="B251" s="27">
        <f t="shared" si="74"/>
        <v>0</v>
      </c>
      <c r="C251" s="26" t="s">
        <v>393</v>
      </c>
      <c r="E251" s="9" t="s">
        <v>392</v>
      </c>
      <c r="G251">
        <v>1</v>
      </c>
      <c r="H251" s="19">
        <v>14.5</v>
      </c>
      <c r="I251" s="31">
        <f t="shared" si="124"/>
        <v>0</v>
      </c>
      <c r="J251" s="32">
        <f t="shared" si="27"/>
        <v>0</v>
      </c>
      <c r="K251" s="29">
        <f t="shared" si="17"/>
        <v>0</v>
      </c>
      <c r="L251" t="s">
        <v>317</v>
      </c>
    </row>
    <row r="252" spans="2:12" ht="13.8" customHeight="1" x14ac:dyDescent="0.3">
      <c r="B252" s="27">
        <f t="shared" si="74"/>
        <v>1</v>
      </c>
      <c r="C252" s="26" t="s">
        <v>410</v>
      </c>
      <c r="E252" s="9" t="s">
        <v>300</v>
      </c>
      <c r="G252">
        <v>1</v>
      </c>
      <c r="H252" s="19">
        <v>8.5</v>
      </c>
      <c r="I252" s="31">
        <f t="shared" si="124"/>
        <v>1</v>
      </c>
      <c r="J252" s="32">
        <f t="shared" ref="J252" si="130">G252*B252-I252</f>
        <v>0</v>
      </c>
      <c r="K252" s="29">
        <f t="shared" ref="K252" si="131">B252*H252</f>
        <v>8.5</v>
      </c>
      <c r="L252" t="s">
        <v>317</v>
      </c>
    </row>
    <row r="253" spans="2:12" ht="13.8" customHeight="1" x14ac:dyDescent="0.3">
      <c r="B253" s="27">
        <f t="shared" si="74"/>
        <v>1</v>
      </c>
      <c r="C253" s="26" t="s">
        <v>414</v>
      </c>
      <c r="E253" s="9" t="s">
        <v>200</v>
      </c>
      <c r="G253">
        <v>1</v>
      </c>
      <c r="H253" s="19">
        <v>54.2</v>
      </c>
      <c r="I253" s="31">
        <f t="shared" si="124"/>
        <v>1</v>
      </c>
      <c r="J253" s="32">
        <f t="shared" ref="J253" si="132">G253*B253-I253</f>
        <v>0</v>
      </c>
      <c r="K253" s="29">
        <f t="shared" ref="K253" si="133">B253*H253</f>
        <v>54.2</v>
      </c>
      <c r="L253" t="s">
        <v>317</v>
      </c>
    </row>
    <row r="254" spans="2:12" ht="13.8" customHeight="1" x14ac:dyDescent="0.3">
      <c r="B254" s="27">
        <f t="shared" si="74"/>
        <v>1</v>
      </c>
      <c r="C254" s="26" t="s">
        <v>433</v>
      </c>
      <c r="E254" s="9" t="s">
        <v>301</v>
      </c>
      <c r="G254">
        <v>1</v>
      </c>
      <c r="H254" s="19">
        <v>37</v>
      </c>
      <c r="I254" s="31">
        <f t="shared" si="124"/>
        <v>1</v>
      </c>
      <c r="J254" s="32">
        <f t="shared" ref="J254" si="134">G254*B254-I254</f>
        <v>0</v>
      </c>
      <c r="K254" s="29">
        <f t="shared" ref="K254" si="135">B254*H254</f>
        <v>37</v>
      </c>
      <c r="L254" t="s">
        <v>317</v>
      </c>
    </row>
    <row r="255" spans="2:12" ht="13.8" customHeight="1" x14ac:dyDescent="0.3">
      <c r="B255" s="27">
        <f t="shared" si="74"/>
        <v>1</v>
      </c>
      <c r="C255" s="26" t="s">
        <v>296</v>
      </c>
      <c r="E255" s="9" t="s">
        <v>299</v>
      </c>
      <c r="G255">
        <v>1</v>
      </c>
      <c r="H255" s="19">
        <v>18</v>
      </c>
      <c r="I255" s="31">
        <f t="shared" si="124"/>
        <v>1</v>
      </c>
      <c r="J255" s="32">
        <f t="shared" ref="J255" si="136">G255*B255-I255</f>
        <v>0</v>
      </c>
      <c r="K255" s="29">
        <f t="shared" ref="K255" si="137">B255*H255</f>
        <v>18</v>
      </c>
      <c r="L255" t="s">
        <v>317</v>
      </c>
    </row>
    <row r="256" spans="2:12" ht="13.8" customHeight="1" x14ac:dyDescent="0.3">
      <c r="B256" s="27">
        <f t="shared" si="74"/>
        <v>5</v>
      </c>
      <c r="C256" s="26" t="s">
        <v>136</v>
      </c>
      <c r="E256" s="9" t="s">
        <v>77</v>
      </c>
      <c r="G256">
        <v>1</v>
      </c>
      <c r="H256" s="19">
        <v>14.53</v>
      </c>
      <c r="I256" s="31">
        <f t="shared" si="124"/>
        <v>5</v>
      </c>
      <c r="J256" s="32">
        <f t="shared" si="27"/>
        <v>0</v>
      </c>
      <c r="K256" s="29">
        <f t="shared" si="17"/>
        <v>72.649999999999991</v>
      </c>
      <c r="L256" t="s">
        <v>317</v>
      </c>
    </row>
    <row r="257" spans="2:12" ht="13.8" customHeight="1" x14ac:dyDescent="0.3">
      <c r="B257" s="27">
        <f t="shared" si="74"/>
        <v>2</v>
      </c>
      <c r="C257" s="26" t="s">
        <v>404</v>
      </c>
      <c r="E257" s="9" t="s">
        <v>207</v>
      </c>
      <c r="G257">
        <v>1</v>
      </c>
      <c r="H257" s="19">
        <v>36.42</v>
      </c>
      <c r="I257" s="31">
        <f t="shared" si="124"/>
        <v>2</v>
      </c>
      <c r="J257" s="32">
        <f t="shared" ref="J257" si="138">G257*B257-I257</f>
        <v>0</v>
      </c>
      <c r="K257" s="29">
        <f t="shared" ref="K257" si="139">B257*H257</f>
        <v>72.84</v>
      </c>
      <c r="L257" t="s">
        <v>317</v>
      </c>
    </row>
    <row r="258" spans="2:12" ht="13.8" customHeight="1" x14ac:dyDescent="0.3">
      <c r="B258" s="27"/>
      <c r="C258" s="26"/>
      <c r="E258" s="9"/>
      <c r="H258" s="19"/>
      <c r="I258" s="31"/>
      <c r="J258" s="32"/>
      <c r="K258" s="29"/>
    </row>
    <row r="259" spans="2:12" ht="13.8" customHeight="1" x14ac:dyDescent="0.3">
      <c r="B259" s="27">
        <f t="shared" ref="B259:B264" si="140">ROUNDUP(I259/G259,0)</f>
        <v>16</v>
      </c>
      <c r="C259" s="26" t="s">
        <v>402</v>
      </c>
      <c r="E259" s="9" t="s">
        <v>403</v>
      </c>
      <c r="G259">
        <v>1</v>
      </c>
      <c r="H259" s="19">
        <v>1.35</v>
      </c>
      <c r="I259" s="31">
        <f t="shared" ref="I259:I273" si="141">SUMIF(C$1:C$170,"="&amp;C259,B$1:B$170)</f>
        <v>16</v>
      </c>
      <c r="J259" s="32">
        <f t="shared" ref="J259" si="142">G259*B259-I259</f>
        <v>0</v>
      </c>
      <c r="K259" s="29">
        <f t="shared" ref="K259:K264" si="143">B259*H259</f>
        <v>21.6</v>
      </c>
      <c r="L259" t="s">
        <v>317</v>
      </c>
    </row>
    <row r="260" spans="2:12" ht="13.8" customHeight="1" x14ac:dyDescent="0.3">
      <c r="B260" s="27">
        <f t="shared" si="140"/>
        <v>0</v>
      </c>
      <c r="C260" s="26" t="s">
        <v>422</v>
      </c>
      <c r="E260" s="9" t="s">
        <v>406</v>
      </c>
      <c r="G260">
        <v>1</v>
      </c>
      <c r="H260" s="19">
        <v>1.35</v>
      </c>
      <c r="I260" s="31">
        <f t="shared" si="141"/>
        <v>0</v>
      </c>
      <c r="J260" s="32">
        <f t="shared" ref="J260" si="144">G260*B260-I260</f>
        <v>0</v>
      </c>
      <c r="K260" s="29">
        <f t="shared" si="143"/>
        <v>0</v>
      </c>
      <c r="L260" t="s">
        <v>259</v>
      </c>
    </row>
    <row r="261" spans="2:12" ht="13.8" customHeight="1" x14ac:dyDescent="0.3">
      <c r="B261" s="27">
        <f t="shared" si="140"/>
        <v>16</v>
      </c>
      <c r="C261" s="26" t="s">
        <v>407</v>
      </c>
      <c r="E261" s="9" t="s">
        <v>425</v>
      </c>
      <c r="G261">
        <v>1</v>
      </c>
      <c r="H261" s="19">
        <v>1.35</v>
      </c>
      <c r="I261" s="31">
        <f t="shared" si="141"/>
        <v>16</v>
      </c>
      <c r="J261" s="32">
        <f t="shared" ref="J261" si="145">G261*B261-I261</f>
        <v>0</v>
      </c>
      <c r="K261" s="29">
        <f t="shared" si="143"/>
        <v>21.6</v>
      </c>
      <c r="L261" t="s">
        <v>259</v>
      </c>
    </row>
    <row r="262" spans="2:12" ht="13.8" customHeight="1" x14ac:dyDescent="0.3">
      <c r="B262" s="27">
        <f t="shared" si="140"/>
        <v>7</v>
      </c>
      <c r="C262" s="26" t="s">
        <v>157</v>
      </c>
      <c r="E262" s="9" t="s">
        <v>156</v>
      </c>
      <c r="G262">
        <v>1</v>
      </c>
      <c r="H262" s="19">
        <v>1.05</v>
      </c>
      <c r="I262" s="31">
        <f t="shared" si="141"/>
        <v>7</v>
      </c>
      <c r="J262" s="32">
        <f t="shared" ref="J262" si="146">G262*B262-I262</f>
        <v>0</v>
      </c>
      <c r="K262" s="29">
        <f t="shared" si="143"/>
        <v>7.3500000000000005</v>
      </c>
      <c r="L262" t="s">
        <v>317</v>
      </c>
    </row>
    <row r="263" spans="2:12" ht="13.8" customHeight="1" x14ac:dyDescent="0.3">
      <c r="B263" s="27">
        <f t="shared" si="140"/>
        <v>0</v>
      </c>
      <c r="C263" s="26" t="s">
        <v>399</v>
      </c>
      <c r="E263" s="9" t="s">
        <v>398</v>
      </c>
      <c r="G263">
        <v>1</v>
      </c>
      <c r="H263" s="19">
        <v>1.35</v>
      </c>
      <c r="I263" s="31">
        <f t="shared" si="141"/>
        <v>0</v>
      </c>
      <c r="J263" s="32">
        <f t="shared" ref="J263" si="147">G263*B263-I263</f>
        <v>0</v>
      </c>
      <c r="K263" s="29">
        <f t="shared" si="143"/>
        <v>0</v>
      </c>
      <c r="L263" t="s">
        <v>317</v>
      </c>
    </row>
    <row r="264" spans="2:12" ht="13.8" customHeight="1" x14ac:dyDescent="0.3">
      <c r="B264" s="27">
        <f t="shared" si="140"/>
        <v>0</v>
      </c>
      <c r="C264" s="26" t="s">
        <v>395</v>
      </c>
      <c r="E264" s="9" t="s">
        <v>394</v>
      </c>
      <c r="G264">
        <v>1</v>
      </c>
      <c r="H264" s="19">
        <v>2.19</v>
      </c>
      <c r="I264" s="31">
        <f t="shared" si="141"/>
        <v>0</v>
      </c>
      <c r="J264" s="32">
        <f t="shared" ref="J264" si="148">G264*B264-I264</f>
        <v>0</v>
      </c>
      <c r="K264" s="29">
        <f t="shared" si="143"/>
        <v>0</v>
      </c>
      <c r="L264" t="s">
        <v>259</v>
      </c>
    </row>
    <row r="265" spans="2:12" ht="13.8" customHeight="1" x14ac:dyDescent="0.3">
      <c r="B265" s="27">
        <f t="shared" si="74"/>
        <v>16</v>
      </c>
      <c r="C265" s="26" t="s">
        <v>197</v>
      </c>
      <c r="E265" s="9" t="s">
        <v>208</v>
      </c>
      <c r="G265">
        <v>1</v>
      </c>
      <c r="H265" s="19">
        <v>1.54</v>
      </c>
      <c r="I265" s="31">
        <f t="shared" si="141"/>
        <v>16</v>
      </c>
      <c r="J265" s="32">
        <f t="shared" ref="J265" si="149">G265*B265-I265</f>
        <v>0</v>
      </c>
      <c r="K265" s="29">
        <f t="shared" ref="K265" si="150">B265*H265</f>
        <v>24.64</v>
      </c>
      <c r="L265" t="s">
        <v>317</v>
      </c>
    </row>
    <row r="266" spans="2:12" ht="13.8" customHeight="1" x14ac:dyDescent="0.3">
      <c r="B266" s="27">
        <f t="shared" si="74"/>
        <v>10</v>
      </c>
      <c r="C266" s="26" t="s">
        <v>210</v>
      </c>
      <c r="E266" s="9" t="s">
        <v>209</v>
      </c>
      <c r="G266">
        <v>1</v>
      </c>
      <c r="H266" s="19">
        <v>1.54</v>
      </c>
      <c r="I266" s="31">
        <f t="shared" si="141"/>
        <v>10</v>
      </c>
      <c r="J266" s="32">
        <f t="shared" ref="J266" si="151">G266*B266-I266</f>
        <v>0</v>
      </c>
      <c r="K266" s="29">
        <f t="shared" ref="K266" si="152">B266*H266</f>
        <v>15.4</v>
      </c>
      <c r="L266" t="s">
        <v>317</v>
      </c>
    </row>
    <row r="267" spans="2:12" ht="13.8" customHeight="1" x14ac:dyDescent="0.3">
      <c r="B267" s="27">
        <f t="shared" si="74"/>
        <v>0</v>
      </c>
      <c r="C267" s="26" t="s">
        <v>127</v>
      </c>
      <c r="E267" s="9" t="s">
        <v>126</v>
      </c>
      <c r="G267">
        <v>1</v>
      </c>
      <c r="H267" s="19">
        <v>1.95</v>
      </c>
      <c r="I267" s="31">
        <f t="shared" si="141"/>
        <v>0</v>
      </c>
      <c r="J267" s="32">
        <f t="shared" si="27"/>
        <v>0</v>
      </c>
      <c r="K267" s="29">
        <f t="shared" si="17"/>
        <v>0</v>
      </c>
      <c r="L267" t="s">
        <v>317</v>
      </c>
    </row>
    <row r="268" spans="2:12" ht="13.8" customHeight="1" x14ac:dyDescent="0.3">
      <c r="B268" s="27">
        <f>ROUNDUP(I268/G268,0)</f>
        <v>2</v>
      </c>
      <c r="C268" s="26" t="s">
        <v>152</v>
      </c>
      <c r="E268" s="9" t="s">
        <v>153</v>
      </c>
      <c r="G268">
        <v>1</v>
      </c>
      <c r="H268" s="19">
        <v>1</v>
      </c>
      <c r="I268" s="31">
        <f t="shared" si="141"/>
        <v>2</v>
      </c>
      <c r="J268" s="32">
        <f t="shared" ref="J268" si="153">G268*B268-I268</f>
        <v>0</v>
      </c>
      <c r="K268" s="29">
        <f>B268*H268</f>
        <v>2</v>
      </c>
      <c r="L268" t="s">
        <v>317</v>
      </c>
    </row>
    <row r="269" spans="2:12" ht="13.8" customHeight="1" x14ac:dyDescent="0.3">
      <c r="B269" s="27">
        <f t="shared" si="74"/>
        <v>2</v>
      </c>
      <c r="C269" s="26" t="s">
        <v>121</v>
      </c>
      <c r="E269" s="9" t="s">
        <v>123</v>
      </c>
      <c r="G269">
        <v>1</v>
      </c>
      <c r="H269" s="19">
        <v>1.39</v>
      </c>
      <c r="I269" s="31">
        <f t="shared" si="141"/>
        <v>2</v>
      </c>
      <c r="J269" s="32">
        <f t="shared" ref="J269" si="154">G269*B269-I269</f>
        <v>0</v>
      </c>
      <c r="K269" s="29">
        <f t="shared" si="17"/>
        <v>2.78</v>
      </c>
      <c r="L269" t="s">
        <v>317</v>
      </c>
    </row>
    <row r="270" spans="2:12" ht="13.8" customHeight="1" x14ac:dyDescent="0.3">
      <c r="B270" s="27">
        <f t="shared" si="74"/>
        <v>5</v>
      </c>
      <c r="C270" s="26" t="s">
        <v>114</v>
      </c>
      <c r="E270" s="9" t="s">
        <v>75</v>
      </c>
      <c r="G270">
        <v>1</v>
      </c>
      <c r="H270" s="19">
        <v>3.29</v>
      </c>
      <c r="I270" s="31">
        <f t="shared" si="141"/>
        <v>5</v>
      </c>
      <c r="J270" s="32">
        <f t="shared" ref="J270" si="155">G270*B270-I270</f>
        <v>0</v>
      </c>
      <c r="K270" s="29">
        <f t="shared" si="17"/>
        <v>16.45</v>
      </c>
      <c r="L270" t="s">
        <v>317</v>
      </c>
    </row>
    <row r="271" spans="2:12" ht="13.8" customHeight="1" x14ac:dyDescent="0.3">
      <c r="B271" s="27">
        <f t="shared" si="74"/>
        <v>4</v>
      </c>
      <c r="C271" s="26" t="s">
        <v>226</v>
      </c>
      <c r="E271" s="9" t="s">
        <v>227</v>
      </c>
      <c r="G271">
        <v>1</v>
      </c>
      <c r="H271" s="19">
        <v>1</v>
      </c>
      <c r="I271" s="31">
        <f t="shared" si="141"/>
        <v>4</v>
      </c>
      <c r="J271" s="32">
        <f t="shared" ref="J271" si="156">G271*B271-I271</f>
        <v>0</v>
      </c>
      <c r="K271" s="29">
        <f t="shared" ref="K271" si="157">B271*H271</f>
        <v>4</v>
      </c>
      <c r="L271" t="s">
        <v>317</v>
      </c>
    </row>
    <row r="272" spans="2:12" ht="13.8" customHeight="1" x14ac:dyDescent="0.3">
      <c r="B272" s="27">
        <f t="shared" si="74"/>
        <v>1</v>
      </c>
      <c r="C272" s="26" t="s">
        <v>108</v>
      </c>
      <c r="E272" s="9" t="s">
        <v>236</v>
      </c>
      <c r="G272">
        <v>1</v>
      </c>
      <c r="H272" s="19">
        <v>20</v>
      </c>
      <c r="I272" s="31">
        <f t="shared" si="141"/>
        <v>1</v>
      </c>
      <c r="J272" s="32">
        <f t="shared" ref="J272" si="158">G272*B272-I272</f>
        <v>0</v>
      </c>
      <c r="K272" s="29">
        <f t="shared" ref="K272" si="159">B272*H272</f>
        <v>20</v>
      </c>
      <c r="L272" t="s">
        <v>317</v>
      </c>
    </row>
    <row r="273" spans="1:12" ht="13.8" customHeight="1" x14ac:dyDescent="0.3">
      <c r="B273" s="27">
        <f t="shared" si="74"/>
        <v>0</v>
      </c>
      <c r="C273" s="26" t="s">
        <v>237</v>
      </c>
      <c r="E273" s="9" t="s">
        <v>247</v>
      </c>
      <c r="G273">
        <v>1</v>
      </c>
      <c r="H273" s="19">
        <v>18.079999999999998</v>
      </c>
      <c r="I273" s="31">
        <f t="shared" si="141"/>
        <v>0</v>
      </c>
      <c r="J273" s="32">
        <f t="shared" ref="J273" si="160">G273*B273-I273</f>
        <v>0</v>
      </c>
      <c r="K273" s="29">
        <f t="shared" ref="K273" si="161">B273*H273</f>
        <v>0</v>
      </c>
      <c r="L273" t="s">
        <v>317</v>
      </c>
    </row>
    <row r="274" spans="1:12" ht="13.8" customHeight="1" x14ac:dyDescent="0.3">
      <c r="B274" s="27">
        <f t="shared" ref="B274" si="162">ROUNDUP(I274/G274,0)</f>
        <v>2</v>
      </c>
      <c r="C274" s="26" t="s">
        <v>445</v>
      </c>
      <c r="E274" s="9" t="s">
        <v>247</v>
      </c>
      <c r="G274">
        <v>1</v>
      </c>
      <c r="H274" s="19">
        <v>18.079999999999998</v>
      </c>
      <c r="I274" s="31">
        <f t="shared" ref="I274" si="163">SUMIF(C$1:C$170,"="&amp;C274,B$1:B$170)</f>
        <v>2</v>
      </c>
      <c r="J274" s="32">
        <f t="shared" ref="J274" si="164">G274*B274-I274</f>
        <v>0</v>
      </c>
      <c r="K274" s="29">
        <f t="shared" ref="K274" si="165">B274*H274</f>
        <v>36.159999999999997</v>
      </c>
      <c r="L274" t="s">
        <v>317</v>
      </c>
    </row>
    <row r="275" spans="1:12" ht="13.8" customHeight="1" x14ac:dyDescent="0.3">
      <c r="B275" s="27"/>
      <c r="C275" s="26"/>
      <c r="E275" s="9"/>
      <c r="H275" s="19"/>
      <c r="I275" s="31"/>
      <c r="J275" s="32"/>
      <c r="K275" s="29"/>
    </row>
    <row r="276" spans="1:12" ht="13.8" customHeight="1" x14ac:dyDescent="0.3">
      <c r="A276" s="6" t="s">
        <v>188</v>
      </c>
      <c r="B276" s="27"/>
      <c r="E276"/>
      <c r="H276" s="19"/>
      <c r="I276" s="31"/>
      <c r="J276" s="32"/>
      <c r="K276" s="29"/>
    </row>
    <row r="277" spans="1:12" ht="13.8" customHeight="1" x14ac:dyDescent="0.3">
      <c r="A277" s="6"/>
      <c r="B277" s="27">
        <v>1</v>
      </c>
      <c r="C277" s="26" t="s">
        <v>303</v>
      </c>
      <c r="E277" t="s">
        <v>302</v>
      </c>
      <c r="G277">
        <v>1</v>
      </c>
      <c r="H277" s="19">
        <v>10.99</v>
      </c>
      <c r="I277" s="31">
        <f t="shared" ref="I277:I286" si="166">SUMIF(C$1:C$170,"="&amp;C277,B$1:B$170)</f>
        <v>0</v>
      </c>
      <c r="J277" s="32">
        <f t="shared" ref="J277" si="167">G277*B277-I277</f>
        <v>1</v>
      </c>
      <c r="K277" s="29">
        <f t="shared" ref="K277" si="168">B277*H277</f>
        <v>10.99</v>
      </c>
      <c r="L277" t="s">
        <v>317</v>
      </c>
    </row>
    <row r="278" spans="1:12" ht="13.8" customHeight="1" x14ac:dyDescent="0.3">
      <c r="B278" s="27">
        <v>1</v>
      </c>
      <c r="C278" s="26" t="s">
        <v>180</v>
      </c>
      <c r="E278" s="9" t="s">
        <v>284</v>
      </c>
      <c r="G278">
        <v>1</v>
      </c>
      <c r="H278" s="19">
        <v>10.99</v>
      </c>
      <c r="I278" s="31">
        <f t="shared" si="166"/>
        <v>1</v>
      </c>
      <c r="J278" s="32">
        <f t="shared" ref="J278:J279" si="169">G278*B278-I278</f>
        <v>0</v>
      </c>
      <c r="K278" s="29">
        <f t="shared" ref="K278:K279" si="170">B278*H278</f>
        <v>10.99</v>
      </c>
      <c r="L278" t="s">
        <v>317</v>
      </c>
    </row>
    <row r="279" spans="1:12" ht="13.8" customHeight="1" x14ac:dyDescent="0.3">
      <c r="B279" s="27">
        <v>1</v>
      </c>
      <c r="C279" s="26" t="s">
        <v>186</v>
      </c>
      <c r="E279" s="9" t="s">
        <v>287</v>
      </c>
      <c r="G279">
        <v>1</v>
      </c>
      <c r="H279" s="19">
        <v>2.8</v>
      </c>
      <c r="I279" s="31">
        <f t="shared" si="166"/>
        <v>0</v>
      </c>
      <c r="J279" s="32">
        <f t="shared" si="169"/>
        <v>1</v>
      </c>
      <c r="K279" s="29">
        <f t="shared" si="170"/>
        <v>2.8</v>
      </c>
      <c r="L279" t="s">
        <v>317</v>
      </c>
    </row>
    <row r="280" spans="1:12" ht="13.8" customHeight="1" x14ac:dyDescent="0.3">
      <c r="B280" s="27">
        <v>1</v>
      </c>
      <c r="C280" s="26" t="s">
        <v>187</v>
      </c>
      <c r="E280" s="9" t="s">
        <v>288</v>
      </c>
      <c r="G280">
        <v>1</v>
      </c>
      <c r="H280" s="19">
        <v>2.8</v>
      </c>
      <c r="I280" s="31">
        <f t="shared" si="166"/>
        <v>1</v>
      </c>
      <c r="J280" s="32">
        <f t="shared" ref="J280" si="171">G280*B280-I280</f>
        <v>0</v>
      </c>
      <c r="K280" s="29">
        <f t="shared" ref="K280" si="172">B280*H280</f>
        <v>2.8</v>
      </c>
      <c r="L280" t="s">
        <v>317</v>
      </c>
    </row>
    <row r="281" spans="1:12" ht="13.8" customHeight="1" x14ac:dyDescent="0.3">
      <c r="B281" s="27">
        <v>1</v>
      </c>
      <c r="C281" s="26" t="s">
        <v>286</v>
      </c>
      <c r="E281" s="9" t="s">
        <v>289</v>
      </c>
      <c r="G281">
        <v>1</v>
      </c>
      <c r="H281" s="19">
        <v>2.8</v>
      </c>
      <c r="I281" s="31">
        <f t="shared" si="166"/>
        <v>0</v>
      </c>
      <c r="J281" s="32">
        <f>G281*B281-I281</f>
        <v>1</v>
      </c>
      <c r="K281" s="29">
        <f>B281*H281</f>
        <v>2.8</v>
      </c>
      <c r="L281" t="s">
        <v>317</v>
      </c>
    </row>
    <row r="282" spans="1:12" ht="13.8" customHeight="1" x14ac:dyDescent="0.3">
      <c r="B282" s="27">
        <v>1</v>
      </c>
      <c r="C282" s="26" t="s">
        <v>285</v>
      </c>
      <c r="E282" s="9" t="s">
        <v>290</v>
      </c>
      <c r="G282">
        <v>1</v>
      </c>
      <c r="H282" s="19">
        <v>2.8</v>
      </c>
      <c r="I282" s="31">
        <f t="shared" si="166"/>
        <v>1</v>
      </c>
      <c r="J282" s="32">
        <f t="shared" ref="J282" si="173">G282*B282-I282</f>
        <v>0</v>
      </c>
      <c r="K282" s="29">
        <f t="shared" ref="K282" si="174">B282*H282</f>
        <v>2.8</v>
      </c>
      <c r="L282" t="s">
        <v>317</v>
      </c>
    </row>
    <row r="283" spans="1:12" ht="13.8" customHeight="1" x14ac:dyDescent="0.3">
      <c r="B283" s="27">
        <v>1</v>
      </c>
      <c r="C283" s="26" t="s">
        <v>73</v>
      </c>
      <c r="E283" s="9" t="s">
        <v>256</v>
      </c>
      <c r="G283">
        <v>1</v>
      </c>
      <c r="H283" s="19">
        <v>1839</v>
      </c>
      <c r="I283" s="31">
        <f t="shared" si="166"/>
        <v>0</v>
      </c>
      <c r="J283" s="32">
        <f t="shared" ref="J283" si="175">G283*B283-I283</f>
        <v>1</v>
      </c>
      <c r="K283" s="29">
        <f t="shared" ref="K283" si="176">B283*H283</f>
        <v>1839</v>
      </c>
      <c r="L283" t="s">
        <v>317</v>
      </c>
    </row>
    <row r="284" spans="1:12" ht="13.8" customHeight="1" x14ac:dyDescent="0.3">
      <c r="B284" s="27">
        <v>1</v>
      </c>
      <c r="C284" s="26" t="s">
        <v>257</v>
      </c>
      <c r="E284" s="9" t="s">
        <v>258</v>
      </c>
      <c r="G284">
        <v>1</v>
      </c>
      <c r="H284" s="19">
        <v>31.5</v>
      </c>
      <c r="I284" s="31">
        <f t="shared" si="166"/>
        <v>0</v>
      </c>
      <c r="J284" s="32">
        <f t="shared" ref="J284" si="177">G284*B284-I284</f>
        <v>1</v>
      </c>
      <c r="K284" s="29">
        <f t="shared" ref="K284" si="178">B284*H284</f>
        <v>31.5</v>
      </c>
      <c r="L284" t="s">
        <v>317</v>
      </c>
    </row>
    <row r="285" spans="1:12" ht="13.8" customHeight="1" x14ac:dyDescent="0.3">
      <c r="B285" s="27">
        <v>1</v>
      </c>
      <c r="C285" s="26" t="s">
        <v>265</v>
      </c>
      <c r="E285" s="9" t="s">
        <v>258</v>
      </c>
      <c r="G285">
        <v>1</v>
      </c>
      <c r="H285" s="19">
        <v>49</v>
      </c>
      <c r="I285" s="31">
        <f t="shared" si="166"/>
        <v>0</v>
      </c>
      <c r="J285" s="32">
        <f t="shared" ref="J285" si="179">G285*B285-I285</f>
        <v>1</v>
      </c>
      <c r="K285" s="29">
        <f t="shared" ref="K285" si="180">B285*H285</f>
        <v>49</v>
      </c>
      <c r="L285" t="s">
        <v>317</v>
      </c>
    </row>
    <row r="286" spans="1:12" ht="13.8" customHeight="1" x14ac:dyDescent="0.3">
      <c r="B286" s="27">
        <v>1</v>
      </c>
      <c r="C286" s="26" t="s">
        <v>291</v>
      </c>
      <c r="E286" s="9" t="s">
        <v>292</v>
      </c>
      <c r="H286" s="19"/>
      <c r="I286" s="31">
        <f t="shared" si="166"/>
        <v>0</v>
      </c>
      <c r="J286" s="32"/>
      <c r="K286" s="29"/>
      <c r="L286" t="s">
        <v>317</v>
      </c>
    </row>
    <row r="287" spans="1:12" ht="13.8" customHeight="1" x14ac:dyDescent="0.3">
      <c r="B287" s="27"/>
      <c r="H287" s="19"/>
      <c r="I287" s="31"/>
      <c r="J287" s="32"/>
      <c r="K287" s="29"/>
    </row>
    <row r="288" spans="1:12" ht="13.8" customHeight="1" x14ac:dyDescent="0.3">
      <c r="A288" s="6" t="s">
        <v>254</v>
      </c>
      <c r="H288" s="19"/>
      <c r="I288" s="31"/>
      <c r="J288" s="32"/>
      <c r="K288" s="29"/>
    </row>
    <row r="289" spans="1:12" ht="13.8" customHeight="1" x14ac:dyDescent="0.3">
      <c r="B289" s="27">
        <v>1</v>
      </c>
      <c r="C289" s="26" t="s">
        <v>255</v>
      </c>
      <c r="E289" s="9" t="s">
        <v>294</v>
      </c>
      <c r="G289">
        <v>1</v>
      </c>
      <c r="H289" s="19">
        <v>0.87</v>
      </c>
      <c r="I289" s="31">
        <f t="shared" ref="I289:I294" si="181">SUMIF(C$1:C$170,"="&amp;C289,B$1:B$170)</f>
        <v>0</v>
      </c>
      <c r="J289" s="32">
        <f t="shared" ref="J289:J290" si="182">G289*B289-I289</f>
        <v>1</v>
      </c>
      <c r="K289" s="29">
        <f t="shared" ref="K289:K290" si="183">B289*H289</f>
        <v>0.87</v>
      </c>
      <c r="L289" t="s">
        <v>317</v>
      </c>
    </row>
    <row r="290" spans="1:12" ht="13.8" customHeight="1" x14ac:dyDescent="0.3">
      <c r="B290" s="27">
        <v>1</v>
      </c>
      <c r="C290" s="26" t="s">
        <v>260</v>
      </c>
      <c r="E290" s="9" t="s">
        <v>293</v>
      </c>
      <c r="G290">
        <v>1</v>
      </c>
      <c r="H290" s="19">
        <v>0.8</v>
      </c>
      <c r="I290" s="31">
        <f t="shared" si="181"/>
        <v>0</v>
      </c>
      <c r="J290" s="32">
        <f t="shared" si="182"/>
        <v>1</v>
      </c>
      <c r="K290" s="29">
        <f t="shared" si="183"/>
        <v>0.8</v>
      </c>
      <c r="L290" t="s">
        <v>317</v>
      </c>
    </row>
    <row r="291" spans="1:12" ht="13.8" customHeight="1" x14ac:dyDescent="0.3">
      <c r="B291" s="27">
        <v>5</v>
      </c>
      <c r="C291" s="26" t="s">
        <v>277</v>
      </c>
      <c r="E291" s="9" t="s">
        <v>295</v>
      </c>
      <c r="G291">
        <v>1</v>
      </c>
      <c r="H291" s="19">
        <v>19.989999999999998</v>
      </c>
      <c r="I291" s="31">
        <f t="shared" si="181"/>
        <v>0</v>
      </c>
      <c r="J291" s="32">
        <f t="shared" ref="J291:J292" si="184">G291*B291-I291</f>
        <v>5</v>
      </c>
      <c r="K291" s="29">
        <f t="shared" ref="K291:K292" si="185">B291*H291</f>
        <v>99.949999999999989</v>
      </c>
      <c r="L291" t="s">
        <v>317</v>
      </c>
    </row>
    <row r="292" spans="1:12" ht="13.8" customHeight="1" x14ac:dyDescent="0.3">
      <c r="B292" s="27">
        <v>1</v>
      </c>
      <c r="C292" s="26" t="s">
        <v>283</v>
      </c>
      <c r="E292" s="9" t="s">
        <v>282</v>
      </c>
      <c r="G292">
        <v>1</v>
      </c>
      <c r="H292" s="19">
        <v>44</v>
      </c>
      <c r="I292" s="31">
        <f t="shared" si="181"/>
        <v>0</v>
      </c>
      <c r="J292" s="32">
        <f t="shared" si="184"/>
        <v>1</v>
      </c>
      <c r="K292" s="29">
        <f t="shared" si="185"/>
        <v>44</v>
      </c>
      <c r="L292" t="s">
        <v>317</v>
      </c>
    </row>
    <row r="293" spans="1:12" ht="13.8" customHeight="1" x14ac:dyDescent="0.3">
      <c r="B293" s="27">
        <v>5</v>
      </c>
      <c r="C293" s="26" t="s">
        <v>278</v>
      </c>
      <c r="E293" s="9" t="s">
        <v>279</v>
      </c>
      <c r="G293">
        <v>1</v>
      </c>
      <c r="H293" s="19">
        <v>2.0499999999999998</v>
      </c>
      <c r="I293" s="31">
        <f t="shared" si="181"/>
        <v>0</v>
      </c>
      <c r="J293" s="32">
        <f t="shared" ref="J293:J294" si="186">G293*B293-I293</f>
        <v>5</v>
      </c>
      <c r="K293" s="29">
        <f t="shared" ref="K293:K294" si="187">B293*H293</f>
        <v>10.25</v>
      </c>
      <c r="L293" t="s">
        <v>317</v>
      </c>
    </row>
    <row r="294" spans="1:12" ht="13.8" customHeight="1" x14ac:dyDescent="0.3">
      <c r="B294" s="27">
        <v>5</v>
      </c>
      <c r="C294" s="26" t="s">
        <v>280</v>
      </c>
      <c r="E294" s="9" t="s">
        <v>281</v>
      </c>
      <c r="G294">
        <v>1</v>
      </c>
      <c r="H294" s="19">
        <v>1.95</v>
      </c>
      <c r="I294" s="31">
        <f t="shared" si="181"/>
        <v>0</v>
      </c>
      <c r="J294" s="32">
        <f t="shared" si="186"/>
        <v>5</v>
      </c>
      <c r="K294" s="29">
        <f t="shared" si="187"/>
        <v>9.75</v>
      </c>
      <c r="L294" t="s">
        <v>317</v>
      </c>
    </row>
    <row r="295" spans="1:12" ht="13.8" customHeight="1" x14ac:dyDescent="0.3">
      <c r="B295" s="27"/>
      <c r="C295" s="26"/>
      <c r="E295" s="9"/>
      <c r="H295" s="19"/>
      <c r="I295" s="31"/>
      <c r="J295" s="32"/>
      <c r="K295" s="29"/>
    </row>
    <row r="296" spans="1:12" ht="13.8" customHeight="1" x14ac:dyDescent="0.3">
      <c r="B296" s="27"/>
      <c r="E296" s="9"/>
      <c r="H296" s="19"/>
      <c r="I296" s="31"/>
      <c r="J296" s="32"/>
      <c r="K296" s="29"/>
    </row>
    <row r="297" spans="1:12" ht="13.8" customHeight="1" x14ac:dyDescent="0.3">
      <c r="B297" s="27"/>
      <c r="H297" s="19"/>
      <c r="I297" s="31"/>
      <c r="J297" s="32"/>
      <c r="K297" s="29"/>
    </row>
    <row r="298" spans="1:12" ht="13.8" customHeight="1" x14ac:dyDescent="0.3">
      <c r="H298" s="19"/>
      <c r="I298" s="31"/>
      <c r="J298" s="32"/>
      <c r="K298" s="29" t="s">
        <v>245</v>
      </c>
      <c r="L298" s="1" t="s">
        <v>246</v>
      </c>
    </row>
    <row r="299" spans="1:12" ht="13.8" customHeight="1" x14ac:dyDescent="0.35">
      <c r="B299" s="27"/>
      <c r="E299" s="22"/>
      <c r="H299" s="19"/>
      <c r="I299" s="31"/>
      <c r="J299" s="32"/>
      <c r="K299" s="33">
        <f>SUM(K172:K297)</f>
        <v>2774.2699999999995</v>
      </c>
      <c r="L299" s="28">
        <f ca="1">SUMIF(L1:L297,"=-",K1:K297)</f>
        <v>35.99</v>
      </c>
    </row>
    <row r="300" spans="1:12" ht="13.8" customHeight="1" x14ac:dyDescent="0.3">
      <c r="A300" t="s">
        <v>424</v>
      </c>
      <c r="B300" s="27"/>
      <c r="C300" t="s">
        <v>434</v>
      </c>
      <c r="D300" t="s">
        <v>435</v>
      </c>
      <c r="E300" s="9" t="s">
        <v>441</v>
      </c>
      <c r="H300" s="19"/>
      <c r="I300" s="31"/>
      <c r="J300" s="32"/>
    </row>
    <row r="301" spans="1:12" ht="13.8" customHeight="1" x14ac:dyDescent="0.3">
      <c r="B301" s="27"/>
      <c r="E301" s="9"/>
      <c r="H301" s="19"/>
      <c r="I301" s="31"/>
      <c r="J301" s="32"/>
    </row>
    <row r="302" spans="1:12" ht="13.8" customHeight="1" x14ac:dyDescent="0.3">
      <c r="B302" s="27"/>
      <c r="E302" s="9"/>
      <c r="H302" s="19"/>
      <c r="I302" s="31"/>
      <c r="J302" s="32"/>
    </row>
    <row r="303" spans="1:12" x14ac:dyDescent="0.3">
      <c r="H303" s="19"/>
      <c r="I303" s="30"/>
    </row>
    <row r="304" spans="1:12" x14ac:dyDescent="0.3">
      <c r="C304" t="s">
        <v>442</v>
      </c>
      <c r="D304" t="s">
        <v>443</v>
      </c>
      <c r="E304" s="24"/>
      <c r="I304" s="30"/>
    </row>
    <row r="306" spans="4:11" x14ac:dyDescent="0.3">
      <c r="E306" s="22"/>
      <c r="I306" s="30"/>
      <c r="J306"/>
      <c r="K306"/>
    </row>
    <row r="307" spans="4:11" x14ac:dyDescent="0.3">
      <c r="E307" s="22"/>
      <c r="I307" s="30"/>
      <c r="J307"/>
      <c r="K307"/>
    </row>
    <row r="308" spans="4:11" x14ac:dyDescent="0.3">
      <c r="D308" s="6"/>
      <c r="E308" s="22"/>
      <c r="I308" s="30"/>
      <c r="J308"/>
      <c r="K308"/>
    </row>
    <row r="309" spans="4:11" x14ac:dyDescent="0.3">
      <c r="D309" s="8"/>
      <c r="I309" s="30"/>
      <c r="J309"/>
      <c r="K309"/>
    </row>
    <row r="310" spans="4:11" x14ac:dyDescent="0.3">
      <c r="E310" s="22"/>
      <c r="I310" s="30"/>
      <c r="J310"/>
      <c r="K310"/>
    </row>
    <row r="311" spans="4:11" x14ac:dyDescent="0.3">
      <c r="E311" s="24"/>
      <c r="I311" s="30"/>
      <c r="J311"/>
      <c r="K311"/>
    </row>
    <row r="312" spans="4:11" x14ac:dyDescent="0.3">
      <c r="E312" s="22"/>
      <c r="I312" s="30"/>
      <c r="J312"/>
      <c r="K312"/>
    </row>
    <row r="313" spans="4:11" x14ac:dyDescent="0.3">
      <c r="I313" s="30"/>
      <c r="J313"/>
      <c r="K313"/>
    </row>
    <row r="314" spans="4:11" x14ac:dyDescent="0.3">
      <c r="E314" s="22"/>
      <c r="I314" s="30"/>
      <c r="J314"/>
      <c r="K314"/>
    </row>
    <row r="315" spans="4:11" x14ac:dyDescent="0.3">
      <c r="D315" s="6"/>
      <c r="E315" s="22"/>
      <c r="I315" s="30"/>
      <c r="J315"/>
      <c r="K315"/>
    </row>
    <row r="316" spans="4:11" x14ac:dyDescent="0.3">
      <c r="E316" s="21"/>
      <c r="I316" s="30"/>
      <c r="J316"/>
      <c r="K316"/>
    </row>
    <row r="317" spans="4:11" ht="15" customHeight="1" x14ac:dyDescent="0.3">
      <c r="E317" s="22"/>
      <c r="I317" s="30"/>
      <c r="J317"/>
      <c r="K317"/>
    </row>
    <row r="318" spans="4:11" x14ac:dyDescent="0.3">
      <c r="E318" s="21"/>
      <c r="I318" s="30"/>
      <c r="J318"/>
      <c r="K318"/>
    </row>
    <row r="319" spans="4:11" x14ac:dyDescent="0.3">
      <c r="E319" s="22"/>
      <c r="I319" s="30"/>
      <c r="J319"/>
      <c r="K319"/>
    </row>
    <row r="320" spans="4:11" x14ac:dyDescent="0.3">
      <c r="E320" s="21"/>
      <c r="I320" s="30"/>
      <c r="J320"/>
      <c r="K320"/>
    </row>
    <row r="321" spans="5:11" ht="15" customHeight="1" x14ac:dyDescent="0.3">
      <c r="E321" s="21"/>
      <c r="I321" s="30"/>
      <c r="J321"/>
      <c r="K321"/>
    </row>
    <row r="322" spans="5:11" ht="15" customHeight="1" x14ac:dyDescent="0.3">
      <c r="E322" s="21"/>
      <c r="I322" s="30"/>
      <c r="J322"/>
      <c r="K322"/>
    </row>
    <row r="323" spans="5:11" x14ac:dyDescent="0.3">
      <c r="E323" s="21"/>
      <c r="I323" s="30"/>
      <c r="J323"/>
      <c r="K323"/>
    </row>
    <row r="324" spans="5:11" x14ac:dyDescent="0.3">
      <c r="H324" s="19"/>
      <c r="I324" s="30"/>
      <c r="J324"/>
      <c r="K324"/>
    </row>
    <row r="325" spans="5:11" x14ac:dyDescent="0.3">
      <c r="H325" s="20"/>
      <c r="I325" s="30"/>
      <c r="J325"/>
      <c r="K325"/>
    </row>
  </sheetData>
  <conditionalFormatting sqref="B4:K14 B26:D26 F26:K26 B19:K25 L176 D206:K206 B207:K207 B208:D208 F208:K208 F211:K213 B211:D213 B209:K210 B278:K286 D296:K296 B296 B289:K295 C277 G277:K277 F236:K239 B236:D239 B248:C248 E249 F248:K250 B249:D250 B172:K204 B205 F205:K205 D205 B214:K235 E300:E302 B240:K247 B251:K275 B27:K169">
    <cfRule type="expression" dxfId="31" priority="192">
      <formula>$L4=$O$6</formula>
    </cfRule>
  </conditionalFormatting>
  <conditionalFormatting sqref="N4:XFD6 M7:XFD13 A4:L13 A14:XFD14 A206 D206:XFD206 A207:XFD207 A208:D208 F208:XFD208 F211:XFD213 A211:D213 A209:XFD210 A296:B296 D296:XFD296 C277 G277:L277 A278:XFD286 A236:D239 F236:XFD239 A248:C248 E249 A249:D250 F248:XFD250 A172:XFD204 A205:B205 F205:XFD205 D205 A289:XFD295 A214:XFD235 E300:E302 A240:XFD247 A251:XFD275 A19:XFD169">
    <cfRule type="expression" dxfId="30" priority="193">
      <formula>$L4=$O$5</formula>
    </cfRule>
    <cfRule type="expression" dxfId="29" priority="194">
      <formula>$L4=$O$4</formula>
    </cfRule>
  </conditionalFormatting>
  <conditionalFormatting sqref="E250">
    <cfRule type="expression" dxfId="28" priority="196">
      <formula>$L248=$O$6</formula>
    </cfRule>
  </conditionalFormatting>
  <conditionalFormatting sqref="E250">
    <cfRule type="expression" dxfId="27" priority="199">
      <formula>$L248=$O$5</formula>
    </cfRule>
    <cfRule type="expression" dxfId="26" priority="200">
      <formula>$L248=$O$4</formula>
    </cfRule>
  </conditionalFormatting>
  <conditionalFormatting sqref="E236">
    <cfRule type="expression" dxfId="25" priority="208">
      <formula>$L249=$O$6</formula>
    </cfRule>
  </conditionalFormatting>
  <conditionalFormatting sqref="E236">
    <cfRule type="expression" dxfId="24" priority="212">
      <formula>$L249=$O$5</formula>
    </cfRule>
    <cfRule type="expression" dxfId="23" priority="213">
      <formula>$L249=$O$4</formula>
    </cfRule>
  </conditionalFormatting>
  <conditionalFormatting sqref="B15:K16">
    <cfRule type="expression" dxfId="22" priority="72">
      <formula>$L15=$O$6</formula>
    </cfRule>
  </conditionalFormatting>
  <conditionalFormatting sqref="A15:XFD16">
    <cfRule type="expression" dxfId="21" priority="73">
      <formula>$L15=$O$5</formula>
    </cfRule>
    <cfRule type="expression" dxfId="20" priority="74">
      <formula>$L15=$O$4</formula>
    </cfRule>
  </conditionalFormatting>
  <conditionalFormatting sqref="A18 M18:XFD18">
    <cfRule type="expression" dxfId="19" priority="64">
      <formula>$L18=$O$5</formula>
    </cfRule>
    <cfRule type="expression" dxfId="18" priority="65">
      <formula>$L18=$O$4</formula>
    </cfRule>
  </conditionalFormatting>
  <conditionalFormatting sqref="B18:K18">
    <cfRule type="expression" dxfId="17" priority="61">
      <formula>$L18=$O$6</formula>
    </cfRule>
  </conditionalFormatting>
  <conditionalFormatting sqref="B18:L18">
    <cfRule type="expression" dxfId="16" priority="62">
      <formula>$L18=$O$5</formula>
    </cfRule>
    <cfRule type="expression" dxfId="15" priority="63">
      <formula>$L18=$O$4</formula>
    </cfRule>
  </conditionalFormatting>
  <conditionalFormatting sqref="B17:K17">
    <cfRule type="expression" dxfId="14" priority="19">
      <formula>$L17=$O$6</formula>
    </cfRule>
  </conditionalFormatting>
  <conditionalFormatting sqref="A17:XFD17">
    <cfRule type="expression" dxfId="13" priority="20">
      <formula>$L17=$O$5</formula>
    </cfRule>
    <cfRule type="expression" dxfId="12" priority="21">
      <formula>$L17=$O$4</formula>
    </cfRule>
  </conditionalFormatting>
  <conditionalFormatting sqref="E213">
    <cfRule type="expression" dxfId="11" priority="214">
      <formula>$L206=$O$6</formula>
    </cfRule>
  </conditionalFormatting>
  <conditionalFormatting sqref="E213">
    <cfRule type="expression" dxfId="10" priority="215">
      <formula>$L206=$O$5</formula>
    </cfRule>
    <cfRule type="expression" dxfId="9" priority="216">
      <formula>$L206=$O$4</formula>
    </cfRule>
  </conditionalFormatting>
  <conditionalFormatting sqref="E211">
    <cfRule type="expression" dxfId="8" priority="217">
      <formula>$L206=$O$6</formula>
    </cfRule>
  </conditionalFormatting>
  <conditionalFormatting sqref="E211">
    <cfRule type="expression" dxfId="7" priority="218">
      <formula>$L206=$O$5</formula>
    </cfRule>
    <cfRule type="expression" dxfId="6" priority="219">
      <formula>$L206=$O$4</formula>
    </cfRule>
  </conditionalFormatting>
  <conditionalFormatting sqref="E212">
    <cfRule type="expression" dxfId="5" priority="220">
      <formula>$L204=$O$6</formula>
    </cfRule>
  </conditionalFormatting>
  <conditionalFormatting sqref="E212">
    <cfRule type="expression" dxfId="4" priority="222">
      <formula>$L204=$O$5</formula>
    </cfRule>
    <cfRule type="expression" dxfId="3" priority="223">
      <formula>$L204=$O$4</formula>
    </cfRule>
  </conditionalFormatting>
  <dataValidations disablePrompts="1" count="1">
    <dataValidation type="list" allowBlank="1" showInputMessage="1" showErrorMessage="1" sqref="L172:L205 L277:L286 L207:L257 L289:L294 L259:L274">
      <formula1>$O$1:$O$6</formula1>
    </dataValidation>
  </dataValidations>
  <hyperlinks>
    <hyperlink ref="E267" r:id="rId1"/>
    <hyperlink ref="E256" r:id="rId2"/>
    <hyperlink ref="E253" r:id="rId3"/>
    <hyperlink ref="E211" r:id="rId4"/>
    <hyperlink ref="E237" r:id="rId5"/>
    <hyperlink ref="E251" r:id="rId6"/>
  </hyperlinks>
  <pageMargins left="0.70866141732283472" right="0.70866141732283472" top="0.78740157480314965" bottom="0.78740157480314965" header="0.31496062992125984" footer="0.31496062992125984"/>
  <pageSetup paperSize="9" scale="34" orientation="landscape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8</vt:i4>
      </vt:variant>
      <vt:variant>
        <vt:lpstr>Benannte Bereiche</vt:lpstr>
      </vt:variant>
      <vt:variant>
        <vt:i4>3</vt:i4>
      </vt:variant>
    </vt:vector>
  </HeadingPairs>
  <TitlesOfParts>
    <vt:vector size="11" baseType="lpstr">
      <vt:lpstr>Kräfte</vt:lpstr>
      <vt:lpstr>Zahnriemenscheiben</vt:lpstr>
      <vt:lpstr>DIN</vt:lpstr>
      <vt:lpstr>Rotary Encoder</vt:lpstr>
      <vt:lpstr>Linearlager</vt:lpstr>
      <vt:lpstr>Herkulex Servo</vt:lpstr>
      <vt:lpstr>PiBot Stepper Driver</vt:lpstr>
      <vt:lpstr>BOM</vt:lpstr>
      <vt:lpstr>BOM!Druckbereich</vt:lpstr>
      <vt:lpstr>Kaufstatus</vt:lpstr>
      <vt:lpstr>ShoppingStatus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2016-10-02T14:47:31Z</dcterms:modified>
</cp:coreProperties>
</file>