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416" activeTab="2"/>
  </bookViews>
  <sheets>
    <sheet name="Kinematik" sheetId="1" r:id="rId1"/>
    <sheet name="Theory Sources" sheetId="2" r:id="rId2"/>
    <sheet name="Trajectory Speed profile" sheetId="3" r:id="rId3"/>
  </sheets>
  <calcPr calcId="152511"/>
  <fileRecoveryPr repairLoad="1"/>
</workbook>
</file>

<file path=xl/calcChain.xml><?xml version="1.0" encoding="utf-8"?>
<calcChain xmlns="http://schemas.openxmlformats.org/spreadsheetml/2006/main">
  <c r="B12" i="3" l="1"/>
  <c r="B9" i="3"/>
  <c r="B11" i="3" s="1"/>
  <c r="E15" i="3"/>
  <c r="E5" i="3" l="1"/>
  <c r="E6" i="3"/>
  <c r="B10" i="3"/>
  <c r="E7" i="3"/>
  <c r="B17" i="3"/>
  <c r="E16" i="3" l="1"/>
  <c r="B13" i="3"/>
  <c r="C13" i="3"/>
  <c r="I23" i="3"/>
  <c r="J23" i="3" s="1"/>
  <c r="K23" i="3" s="1"/>
  <c r="L23" i="3" l="1"/>
  <c r="K15" i="3"/>
  <c r="K14" i="3"/>
  <c r="H15" i="3"/>
  <c r="B21" i="3" l="1"/>
  <c r="M23" i="3"/>
  <c r="B16" i="3"/>
  <c r="H24" i="3" s="1"/>
  <c r="I14" i="3"/>
  <c r="T62" i="1" a="1"/>
  <c r="T62" i="1" s="1"/>
  <c r="V53" i="1"/>
  <c r="I26" i="3" l="1"/>
  <c r="K24" i="3"/>
  <c r="J24" i="3"/>
  <c r="I24" i="3"/>
  <c r="J26" i="3"/>
  <c r="L24" i="3"/>
  <c r="L26" i="3"/>
  <c r="H26" i="3"/>
  <c r="K26" i="3"/>
  <c r="M26" i="3"/>
  <c r="J14" i="3"/>
  <c r="B22" i="3"/>
  <c r="N23" i="3"/>
  <c r="N26" i="3" s="1"/>
  <c r="M24" i="3"/>
  <c r="B18" i="3"/>
  <c r="I15" i="3"/>
  <c r="J15" i="3" s="1"/>
  <c r="B19" i="3"/>
  <c r="V65" i="1"/>
  <c r="T63" i="1"/>
  <c r="T64" i="1"/>
  <c r="T65" i="1"/>
  <c r="V63" i="1"/>
  <c r="U62" i="1"/>
  <c r="U64" i="1"/>
  <c r="U65" i="1"/>
  <c r="V62" i="1"/>
  <c r="V64" i="1"/>
  <c r="U63" i="1"/>
  <c r="F53" i="1"/>
  <c r="D53" i="1"/>
  <c r="H53" i="1"/>
  <c r="H25" i="3" l="1"/>
  <c r="D5" i="3"/>
  <c r="N25" i="3"/>
  <c r="I25" i="3"/>
  <c r="L25" i="3"/>
  <c r="J25" i="3"/>
  <c r="K25" i="3"/>
  <c r="M25" i="3"/>
  <c r="O23" i="3"/>
  <c r="N24" i="3"/>
  <c r="N53" i="1"/>
  <c r="P54" i="1"/>
  <c r="N54" i="1"/>
  <c r="N55" i="1"/>
  <c r="O53" i="1"/>
  <c r="O54" i="1"/>
  <c r="O55" i="1"/>
  <c r="P55" i="1"/>
  <c r="P53" i="1"/>
  <c r="O25" i="3" l="1"/>
  <c r="O26" i="3"/>
  <c r="P23" i="3"/>
  <c r="O24" i="3"/>
  <c r="N58" i="1" a="1"/>
  <c r="G48" i="1"/>
  <c r="G43" i="1"/>
  <c r="P26" i="3" l="1"/>
  <c r="P25" i="3"/>
  <c r="P24" i="3"/>
  <c r="Q23" i="3"/>
  <c r="N58" i="1"/>
  <c r="P58" i="1"/>
  <c r="N59" i="1"/>
  <c r="O60" i="1"/>
  <c r="N60" i="1"/>
  <c r="P59" i="1"/>
  <c r="P60" i="1"/>
  <c r="O58" i="1"/>
  <c r="O59" i="1"/>
  <c r="F79" i="1"/>
  <c r="Q26" i="3" l="1"/>
  <c r="Q25" i="3"/>
  <c r="R23" i="3"/>
  <c r="Q24" i="3"/>
  <c r="E125" i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R25" i="3" l="1"/>
  <c r="R26" i="3"/>
  <c r="S23" i="3"/>
  <c r="R24" i="3"/>
  <c r="N141" i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S26" i="3" l="1"/>
  <c r="S25" i="3"/>
  <c r="T23" i="3"/>
  <c r="S24" i="3"/>
  <c r="J139" i="1" a="1"/>
  <c r="R23" i="1" a="1"/>
  <c r="U23" i="1" s="1"/>
  <c r="Q29" i="1"/>
  <c r="P29" i="1"/>
  <c r="Q28" i="1"/>
  <c r="O29" i="1"/>
  <c r="P28" i="1"/>
  <c r="N28" i="1"/>
  <c r="N29" i="1"/>
  <c r="T26" i="3" l="1"/>
  <c r="T25" i="3"/>
  <c r="T24" i="3"/>
  <c r="U23" i="3"/>
  <c r="L140" i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U26" i="3" l="1"/>
  <c r="U25" i="3"/>
  <c r="V23" i="3"/>
  <c r="U24" i="3"/>
  <c r="B144" i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V26" i="3" l="1"/>
  <c r="V25" i="3"/>
  <c r="W23" i="3"/>
  <c r="V24" i="3"/>
  <c r="H144" i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W26" i="3" l="1"/>
  <c r="W25" i="3"/>
  <c r="X23" i="3"/>
  <c r="W24" i="3"/>
  <c r="H146" i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X26" i="3" l="1"/>
  <c r="X25" i="3"/>
  <c r="Y23" i="3"/>
  <c r="X24" i="3"/>
  <c r="R33" i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Y26" i="3" l="1"/>
  <c r="Y25" i="3"/>
  <c r="Z23" i="3"/>
  <c r="Y24" i="3"/>
  <c r="W34" i="1"/>
  <c r="W33" i="1" s="1"/>
  <c r="V36" i="1"/>
  <c r="V35" i="1"/>
  <c r="V34" i="1"/>
  <c r="V33" i="1"/>
  <c r="R38" i="1" a="1"/>
  <c r="Z26" i="3" l="1"/>
  <c r="Z25" i="3"/>
  <c r="AA23" i="3"/>
  <c r="Z24" i="3"/>
  <c r="X33" i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AA26" i="3" l="1"/>
  <c r="AA25" i="3"/>
  <c r="AB23" i="3"/>
  <c r="AA24" i="3"/>
  <c r="W39" i="1"/>
  <c r="W38" i="1" s="1"/>
  <c r="V39" i="1"/>
  <c r="V38" i="1"/>
  <c r="V40" i="1"/>
  <c r="V41" i="1"/>
  <c r="R43" i="1" a="1"/>
  <c r="AB26" i="3" l="1"/>
  <c r="AB25" i="3"/>
  <c r="AC23" i="3"/>
  <c r="AB24" i="3"/>
  <c r="W40" i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AC26" i="3" l="1"/>
  <c r="AC25" i="3"/>
  <c r="AD23" i="3"/>
  <c r="AC24" i="3"/>
  <c r="W44" i="1"/>
  <c r="V45" i="1"/>
  <c r="V44" i="1"/>
  <c r="V43" i="1"/>
  <c r="V46" i="1"/>
  <c r="R48" i="1" a="1"/>
  <c r="AD26" i="3" l="1"/>
  <c r="AD25" i="3"/>
  <c r="AE23" i="3"/>
  <c r="AD24" i="3"/>
  <c r="W45" i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AE26" i="3" l="1"/>
  <c r="AE25" i="3"/>
  <c r="AF23" i="3"/>
  <c r="AE24" i="3"/>
  <c r="R53" i="1" a="1"/>
  <c r="T56" i="1" s="1"/>
  <c r="V50" i="1"/>
  <c r="G10" i="1" s="1"/>
  <c r="V48" i="1"/>
  <c r="G8" i="1" s="1"/>
  <c r="W49" i="1"/>
  <c r="V49" i="1"/>
  <c r="G9" i="1" s="1"/>
  <c r="V51" i="1"/>
  <c r="AF26" i="3" l="1"/>
  <c r="AF25" i="3"/>
  <c r="AF24" i="3"/>
  <c r="AG23" i="3"/>
  <c r="U53" i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AG26" i="3" l="1"/>
  <c r="AG25" i="3"/>
  <c r="AH23" i="3"/>
  <c r="AG24" i="3"/>
  <c r="E72" i="1"/>
  <c r="W54" i="1"/>
  <c r="W53" i="1" s="1"/>
  <c r="V54" i="1"/>
  <c r="V56" i="1"/>
  <c r="V55" i="1"/>
  <c r="D64" i="1" a="1"/>
  <c r="D65" i="1" s="1"/>
  <c r="H10" i="1"/>
  <c r="H8" i="1"/>
  <c r="C67" i="1"/>
  <c r="C64" i="1"/>
  <c r="N64" i="1" s="1" a="1"/>
  <c r="N66" i="1" s="1"/>
  <c r="P72" i="1" s="1"/>
  <c r="C65" i="1"/>
  <c r="AH26" i="3" l="1"/>
  <c r="AH25" i="3"/>
  <c r="AI23" i="3"/>
  <c r="AH24" i="3"/>
  <c r="N67" i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AI26" i="3" l="1"/>
  <c r="AI25" i="3"/>
  <c r="AJ23" i="3"/>
  <c r="AI24" i="3"/>
  <c r="O64" i="1" a="1"/>
  <c r="O64" i="1"/>
  <c r="O66" i="1"/>
  <c r="O65" i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AJ26" i="3" l="1"/>
  <c r="AJ25" i="3"/>
  <c r="AJ24" i="3"/>
  <c r="AK23" i="3"/>
  <c r="M70" i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AK26" i="3" l="1"/>
  <c r="AK25" i="3"/>
  <c r="AL23" i="3"/>
  <c r="AK24" i="3"/>
  <c r="M145" i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AL26" i="3" l="1"/>
  <c r="AL25" i="3"/>
  <c r="AM23" i="3"/>
  <c r="AL24" i="3"/>
  <c r="B91" i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AM26" i="3" l="1"/>
  <c r="AM25" i="3"/>
  <c r="AN23" i="3"/>
  <c r="AM24" i="3"/>
  <c r="S144" i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AN26" i="3" l="1"/>
  <c r="AN25" i="3"/>
  <c r="AO23" i="3"/>
  <c r="AN24" i="3"/>
  <c r="D150" i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AO26" i="3" l="1"/>
  <c r="AO25" i="3"/>
  <c r="AP23" i="3"/>
  <c r="AO24" i="3"/>
  <c r="G150" i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AP26" i="3" l="1"/>
  <c r="AP25" i="3"/>
  <c r="AQ23" i="3"/>
  <c r="AP24" i="3"/>
  <c r="J150" i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AQ26" i="3" l="1"/>
  <c r="AQ25" i="3"/>
  <c r="AR23" i="3"/>
  <c r="AQ24" i="3"/>
  <c r="S134" i="1"/>
  <c r="O134" i="1"/>
  <c r="O128" i="1"/>
  <c r="S129" i="1"/>
  <c r="AR26" i="3" l="1"/>
  <c r="AR25" i="3"/>
  <c r="AR24" i="3"/>
  <c r="AS23" i="3"/>
  <c r="AS26" i="3" l="1"/>
  <c r="AS25" i="3"/>
  <c r="AT23" i="3"/>
  <c r="AS24" i="3"/>
  <c r="AT26" i="3" l="1"/>
  <c r="AT25" i="3"/>
  <c r="AU23" i="3"/>
  <c r="AT24" i="3"/>
  <c r="AU26" i="3" l="1"/>
  <c r="AU25" i="3"/>
  <c r="AV23" i="3"/>
  <c r="AU24" i="3"/>
  <c r="AV26" i="3" l="1"/>
  <c r="AV25" i="3"/>
  <c r="AW23" i="3"/>
  <c r="AV24" i="3"/>
  <c r="AW26" i="3" l="1"/>
  <c r="AW25" i="3"/>
  <c r="AX23" i="3"/>
  <c r="AW24" i="3"/>
  <c r="AX26" i="3" l="1"/>
  <c r="AX25" i="3"/>
  <c r="AY23" i="3"/>
  <c r="AX24" i="3"/>
  <c r="AY26" i="3" l="1"/>
  <c r="AY25" i="3"/>
  <c r="AZ23" i="3"/>
  <c r="AY24" i="3"/>
  <c r="AZ26" i="3" l="1"/>
  <c r="AZ25" i="3"/>
  <c r="AZ24" i="3"/>
  <c r="BA23" i="3"/>
  <c r="BA26" i="3" l="1"/>
  <c r="BA25" i="3"/>
  <c r="BB23" i="3"/>
  <c r="BA24" i="3"/>
  <c r="BB26" i="3" l="1"/>
  <c r="BB25" i="3"/>
  <c r="BC23" i="3"/>
  <c r="BB24" i="3"/>
  <c r="BC26" i="3" l="1"/>
  <c r="BC25" i="3"/>
  <c r="BD23" i="3"/>
  <c r="BC24" i="3"/>
  <c r="BD26" i="3" l="1"/>
  <c r="BD25" i="3"/>
  <c r="BD24" i="3"/>
  <c r="BE23" i="3"/>
  <c r="BE26" i="3" l="1"/>
  <c r="BE25" i="3"/>
  <c r="BF23" i="3"/>
  <c r="BE24" i="3"/>
  <c r="BF26" i="3" l="1"/>
  <c r="BF25" i="3"/>
  <c r="BF24" i="3"/>
</calcChain>
</file>

<file path=xl/sharedStrings.xml><?xml version="1.0" encoding="utf-8"?>
<sst xmlns="http://schemas.openxmlformats.org/spreadsheetml/2006/main" count="143" uniqueCount="114">
  <si>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</si>
  <si>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</si>
  <si>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</si>
  <si>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</si>
  <si>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</si>
  <si>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</si>
  <si>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</si>
  <si>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</si>
  <si>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</si>
  <si>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</si>
  <si>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</si>
  <si>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</si>
  <si>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</si>
  <si>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</si>
  <si>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</si>
  <si>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</si>
  <si>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</si>
  <si>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</si>
  <si>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</si>
  <si>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</si>
  <si>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</si>
  <si>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</si>
  <si>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</si>
  <si>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</si>
  <si>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</si>
  <si>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</si>
  <si>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</si>
  <si>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</si>
  <si>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</si>
  <si>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</si>
  <si>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</si>
  <si>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</si>
  <si>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</si>
  <si>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</si>
  <si>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</si>
  <si>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</si>
  <si>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</si>
  <si>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</si>
  <si>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</si>
  <si>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</si>
  <si>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</si>
  <si>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</si>
  <si>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</si>
  <si>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</si>
  <si>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</si>
  <si>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</si>
  <si>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</si>
  <si>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</si>
  <si>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</si>
  <si>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</si>
  <si>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</si>
  <si>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</si>
  <si>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</si>
  <si>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</si>
  <si>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</si>
  <si>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</si>
  <si>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</si>
  <si>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</si>
  <si>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</si>
  <si>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</si>
  <si>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</si>
  <si>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</si>
  <si>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</si>
  <si>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</si>
  <si>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</si>
  <si>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</si>
  <si>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</si>
  <si>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</si>
  <si>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</si>
  <si>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</si>
  <si>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</si>
  <si>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</si>
  <si>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</si>
  <si>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</si>
  <si>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</si>
  <si>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</si>
  <si>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</si>
  <si>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</si>
  <si>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</si>
  <si>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</si>
  <si>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</si>
  <si>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</si>
  <si>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</si>
  <si>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</si>
  <si>
    <t>v</t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</si>
  <si>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</si>
  <si>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1</t>
    </r>
  </si>
  <si>
    <t>[mm/ms]</t>
  </si>
  <si>
    <t>distance</t>
  </si>
  <si>
    <t>time</t>
  </si>
  <si>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ges</t>
    </r>
  </si>
  <si>
    <t>[mm]</t>
  </si>
  <si>
    <t>[ms]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</si>
  <si>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</si>
  <si>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</si>
  <si>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[mm/ms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</si>
  <si>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 xml:space="preserve">d = </t>
  </si>
  <si>
    <r>
      <t>v</t>
    </r>
    <r>
      <rPr>
        <vertAlign val="subscript"/>
        <sz val="11"/>
        <color theme="1"/>
        <rFont val="Calibri"/>
        <family val="2"/>
        <scheme val="minor"/>
      </rPr>
      <t>s</t>
    </r>
  </si>
  <si>
    <t>Speed Profile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</si>
  <si>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(t)</t>
    </r>
  </si>
  <si>
    <t>`v0*t + 0,5*a*t*t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</si>
  <si>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(t)</t>
    </r>
  </si>
  <si>
    <t>(t-t0)*vs + s0(t0)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</si>
  <si>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(t)</t>
    </r>
  </si>
  <si>
    <t>s1(t-(tg-t2)) + 0,5*a*(t-(tg-t2))*(t-(tg-t2))</t>
  </si>
  <si>
    <t>t</t>
  </si>
  <si>
    <t>v(t)</t>
  </si>
  <si>
    <t>x(t)</t>
  </si>
  <si>
    <r>
      <t>t</t>
    </r>
    <r>
      <rPr>
        <vertAlign val="subscript"/>
        <sz val="11"/>
        <color theme="1"/>
        <rFont val="Calibri"/>
        <family val="2"/>
        <scheme val="minor"/>
      </rPr>
      <t>abs,0</t>
    </r>
  </si>
  <si>
    <r>
      <t>t</t>
    </r>
    <r>
      <rPr>
        <vertAlign val="subscript"/>
        <sz val="11"/>
        <color theme="1"/>
        <rFont val="Calibri"/>
        <family val="2"/>
        <scheme val="minor"/>
      </rPr>
      <t>abs,1</t>
    </r>
  </si>
  <si>
    <t>Steigend:</t>
  </si>
  <si>
    <t>u</t>
  </si>
  <si>
    <t>c</t>
  </si>
  <si>
    <t>trapez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</si>
</sst>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0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  <xf numFmtId="2" fontId="0" fillId="0" borderId="0" xfId="0" applyNumberFormat="1"/>
    <xf numFmtId="0" fontId="3" fillId="0" borderId="0" xfId="0" applyFont="1"/>
    <xf numFmtId="172" fontId="0" fillId="0" borderId="0" xfId="0" quotePrefix="1" applyNumberFormat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526856"/>
        <c:axId val="317519800"/>
      </c:scatterChart>
      <c:valAx>
        <c:axId val="317526856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317519800"/>
        <c:crosses val="autoZero"/>
        <c:crossBetween val="midCat"/>
        <c:majorUnit val="300"/>
      </c:valAx>
      <c:valAx>
        <c:axId val="317519800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317526856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522936"/>
        <c:axId val="317520192"/>
      </c:scatterChart>
      <c:valAx>
        <c:axId val="317522936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317520192"/>
        <c:crosses val="autoZero"/>
        <c:crossBetween val="midCat"/>
        <c:majorUnit val="500"/>
      </c:valAx>
      <c:valAx>
        <c:axId val="317520192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7522936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'Trajectory Speed profile'!$H$14:$K$14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244</c:v>
                </c:pt>
                <c:pt idx="2" formatCode="0.000">
                  <c:v>446</c:v>
                </c:pt>
                <c:pt idx="3" formatCode="General">
                  <c:v>690</c:v>
                </c:pt>
              </c:numCache>
            </c:numRef>
          </c:xVal>
          <c:yVal>
            <c:numRef>
              <c:f>'Trajectory Speed profile'!$H$15:$K$15</c:f>
              <c:numCache>
                <c:formatCode>0.000</c:formatCode>
                <c:ptCount val="4"/>
                <c:pt idx="0" formatCode="General">
                  <c:v>0</c:v>
                </c:pt>
                <c:pt idx="1">
                  <c:v>0.122</c:v>
                </c:pt>
                <c:pt idx="2">
                  <c:v>0.122</c:v>
                </c:pt>
                <c:pt idx="3" formatCode="General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15528"/>
        <c:axId val="339615136"/>
      </c:scatterChart>
      <c:valAx>
        <c:axId val="33961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9615136"/>
        <c:crosses val="autoZero"/>
        <c:crossBetween val="midCat"/>
      </c:valAx>
      <c:valAx>
        <c:axId val="33961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9615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Speed</c:v>
          </c:tx>
          <c:spPr>
            <a:ln w="28575">
              <a:solidFill>
                <a:schemeClr val="accent1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'Trajectory Speed profile'!$H$23:$BF$23</c:f>
              <c:numCache>
                <c:formatCode>General</c:formatCode>
                <c:ptCount val="51"/>
                <c:pt idx="0">
                  <c:v>0</c:v>
                </c:pt>
                <c:pt idx="1">
                  <c:v>13.8</c:v>
                </c:pt>
                <c:pt idx="2">
                  <c:v>27.6</c:v>
                </c:pt>
                <c:pt idx="3">
                  <c:v>41.400000000000006</c:v>
                </c:pt>
                <c:pt idx="4">
                  <c:v>55.2</c:v>
                </c:pt>
                <c:pt idx="5">
                  <c:v>69</c:v>
                </c:pt>
                <c:pt idx="6">
                  <c:v>82.8</c:v>
                </c:pt>
                <c:pt idx="7">
                  <c:v>96.6</c:v>
                </c:pt>
                <c:pt idx="8">
                  <c:v>110.39999999999999</c:v>
                </c:pt>
                <c:pt idx="9">
                  <c:v>124.19999999999999</c:v>
                </c:pt>
                <c:pt idx="10">
                  <c:v>138</c:v>
                </c:pt>
                <c:pt idx="11">
                  <c:v>151.80000000000001</c:v>
                </c:pt>
                <c:pt idx="12">
                  <c:v>165.60000000000002</c:v>
                </c:pt>
                <c:pt idx="13">
                  <c:v>179.40000000000003</c:v>
                </c:pt>
                <c:pt idx="14">
                  <c:v>193.20000000000005</c:v>
                </c:pt>
                <c:pt idx="15">
                  <c:v>207.00000000000006</c:v>
                </c:pt>
                <c:pt idx="16">
                  <c:v>220.80000000000007</c:v>
                </c:pt>
                <c:pt idx="17">
                  <c:v>234.60000000000008</c:v>
                </c:pt>
                <c:pt idx="18">
                  <c:v>248.40000000000009</c:v>
                </c:pt>
                <c:pt idx="19">
                  <c:v>262.2000000000001</c:v>
                </c:pt>
                <c:pt idx="20">
                  <c:v>276.00000000000011</c:v>
                </c:pt>
                <c:pt idx="21">
                  <c:v>289.80000000000013</c:v>
                </c:pt>
                <c:pt idx="22">
                  <c:v>303.60000000000014</c:v>
                </c:pt>
                <c:pt idx="23">
                  <c:v>317.40000000000015</c:v>
                </c:pt>
                <c:pt idx="24">
                  <c:v>331.20000000000016</c:v>
                </c:pt>
                <c:pt idx="25">
                  <c:v>345.00000000000017</c:v>
                </c:pt>
                <c:pt idx="26">
                  <c:v>358.80000000000018</c:v>
                </c:pt>
                <c:pt idx="27">
                  <c:v>372.60000000000019</c:v>
                </c:pt>
                <c:pt idx="28">
                  <c:v>386.4000000000002</c:v>
                </c:pt>
                <c:pt idx="29">
                  <c:v>400.20000000000022</c:v>
                </c:pt>
                <c:pt idx="30">
                  <c:v>414.00000000000023</c:v>
                </c:pt>
                <c:pt idx="31">
                  <c:v>427.80000000000024</c:v>
                </c:pt>
                <c:pt idx="32">
                  <c:v>441.60000000000025</c:v>
                </c:pt>
                <c:pt idx="33">
                  <c:v>455.40000000000026</c:v>
                </c:pt>
                <c:pt idx="34">
                  <c:v>469.20000000000027</c:v>
                </c:pt>
                <c:pt idx="35">
                  <c:v>483.00000000000028</c:v>
                </c:pt>
                <c:pt idx="36">
                  <c:v>496.8000000000003</c:v>
                </c:pt>
                <c:pt idx="37">
                  <c:v>510.60000000000031</c:v>
                </c:pt>
                <c:pt idx="38">
                  <c:v>524.40000000000032</c:v>
                </c:pt>
                <c:pt idx="39">
                  <c:v>538.20000000000027</c:v>
                </c:pt>
                <c:pt idx="40">
                  <c:v>552.00000000000023</c:v>
                </c:pt>
                <c:pt idx="41">
                  <c:v>565.80000000000018</c:v>
                </c:pt>
                <c:pt idx="42">
                  <c:v>579.60000000000014</c:v>
                </c:pt>
                <c:pt idx="43">
                  <c:v>593.40000000000009</c:v>
                </c:pt>
                <c:pt idx="44">
                  <c:v>607.20000000000005</c:v>
                </c:pt>
                <c:pt idx="45">
                  <c:v>621</c:v>
                </c:pt>
                <c:pt idx="46">
                  <c:v>634.79999999999995</c:v>
                </c:pt>
                <c:pt idx="47">
                  <c:v>648.59999999999991</c:v>
                </c:pt>
                <c:pt idx="48">
                  <c:v>662.39999999999986</c:v>
                </c:pt>
                <c:pt idx="49">
                  <c:v>676.19999999999982</c:v>
                </c:pt>
                <c:pt idx="50">
                  <c:v>689.99999999999977</c:v>
                </c:pt>
              </c:numCache>
            </c:numRef>
          </c:xVal>
          <c:yVal>
            <c:numRef>
              <c:f>'Trajectory Speed profile'!$H$24:$BF$24</c:f>
              <c:numCache>
                <c:formatCode>0.00</c:formatCode>
                <c:ptCount val="51"/>
                <c:pt idx="0">
                  <c:v>0</c:v>
                </c:pt>
                <c:pt idx="1">
                  <c:v>6.9000000000000008E-3</c:v>
                </c:pt>
                <c:pt idx="2">
                  <c:v>1.3800000000000002E-2</c:v>
                </c:pt>
                <c:pt idx="3">
                  <c:v>2.0700000000000003E-2</c:v>
                </c:pt>
                <c:pt idx="4">
                  <c:v>2.7600000000000003E-2</c:v>
                </c:pt>
                <c:pt idx="5">
                  <c:v>3.4500000000000003E-2</c:v>
                </c:pt>
                <c:pt idx="6">
                  <c:v>4.1399999999999999E-2</c:v>
                </c:pt>
                <c:pt idx="7">
                  <c:v>4.8299999999999996E-2</c:v>
                </c:pt>
                <c:pt idx="8">
                  <c:v>5.5199999999999999E-2</c:v>
                </c:pt>
                <c:pt idx="9">
                  <c:v>6.2099999999999995E-2</c:v>
                </c:pt>
                <c:pt idx="10">
                  <c:v>6.9000000000000006E-2</c:v>
                </c:pt>
                <c:pt idx="11">
                  <c:v>7.5900000000000009E-2</c:v>
                </c:pt>
                <c:pt idx="12">
                  <c:v>8.2800000000000012E-2</c:v>
                </c:pt>
                <c:pt idx="13">
                  <c:v>8.9700000000000016E-2</c:v>
                </c:pt>
                <c:pt idx="14">
                  <c:v>9.6600000000000019E-2</c:v>
                </c:pt>
                <c:pt idx="15">
                  <c:v>0.10350000000000004</c:v>
                </c:pt>
                <c:pt idx="16">
                  <c:v>0.11040000000000004</c:v>
                </c:pt>
                <c:pt idx="17">
                  <c:v>0.11730000000000004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0.122</c:v>
                </c:pt>
                <c:pt idx="31">
                  <c:v>0.122</c:v>
                </c:pt>
                <c:pt idx="32">
                  <c:v>0.122</c:v>
                </c:pt>
                <c:pt idx="33">
                  <c:v>0.11729999999999986</c:v>
                </c:pt>
                <c:pt idx="34">
                  <c:v>0.11039999999999986</c:v>
                </c:pt>
                <c:pt idx="35">
                  <c:v>0.10349999999999986</c:v>
                </c:pt>
                <c:pt idx="36">
                  <c:v>9.6599999999999853E-2</c:v>
                </c:pt>
                <c:pt idx="37">
                  <c:v>8.9699999999999835E-2</c:v>
                </c:pt>
                <c:pt idx="38">
                  <c:v>8.2799999999999846E-2</c:v>
                </c:pt>
                <c:pt idx="39">
                  <c:v>7.5899999999999856E-2</c:v>
                </c:pt>
                <c:pt idx="40">
                  <c:v>6.8999999999999881E-2</c:v>
                </c:pt>
                <c:pt idx="41">
                  <c:v>6.2099999999999905E-2</c:v>
                </c:pt>
                <c:pt idx="42">
                  <c:v>5.519999999999993E-2</c:v>
                </c:pt>
                <c:pt idx="43">
                  <c:v>4.8299999999999954E-2</c:v>
                </c:pt>
                <c:pt idx="44">
                  <c:v>4.1399999999999978E-2</c:v>
                </c:pt>
                <c:pt idx="45">
                  <c:v>3.4499999999999989E-2</c:v>
                </c:pt>
                <c:pt idx="46">
                  <c:v>2.7600000000000013E-2</c:v>
                </c:pt>
                <c:pt idx="47">
                  <c:v>2.0700000000000038E-2</c:v>
                </c:pt>
                <c:pt idx="48">
                  <c:v>1.3800000000000062E-2</c:v>
                </c:pt>
                <c:pt idx="49">
                  <c:v>6.9000000000000866E-3</c:v>
                </c:pt>
                <c:pt idx="50">
                  <c:v>1.1102230246251565E-16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17096"/>
        <c:axId val="339618664"/>
      </c:scatterChart>
      <c:valAx>
        <c:axId val="339617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9618664"/>
        <c:crosses val="autoZero"/>
        <c:crossBetween val="midCat"/>
      </c:valAx>
      <c:valAx>
        <c:axId val="33961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9617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Position Profile x(t)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1"/>
          <c:order val="0"/>
          <c:tx>
            <c:v>Position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'Trajectory Speed profile'!$H$23:$BF$23</c:f>
              <c:numCache>
                <c:formatCode>General</c:formatCode>
                <c:ptCount val="51"/>
                <c:pt idx="0">
                  <c:v>0</c:v>
                </c:pt>
                <c:pt idx="1">
                  <c:v>13.8</c:v>
                </c:pt>
                <c:pt idx="2">
                  <c:v>27.6</c:v>
                </c:pt>
                <c:pt idx="3">
                  <c:v>41.400000000000006</c:v>
                </c:pt>
                <c:pt idx="4">
                  <c:v>55.2</c:v>
                </c:pt>
                <c:pt idx="5">
                  <c:v>69</c:v>
                </c:pt>
                <c:pt idx="6">
                  <c:v>82.8</c:v>
                </c:pt>
                <c:pt idx="7">
                  <c:v>96.6</c:v>
                </c:pt>
                <c:pt idx="8">
                  <c:v>110.39999999999999</c:v>
                </c:pt>
                <c:pt idx="9">
                  <c:v>124.19999999999999</c:v>
                </c:pt>
                <c:pt idx="10">
                  <c:v>138</c:v>
                </c:pt>
                <c:pt idx="11">
                  <c:v>151.80000000000001</c:v>
                </c:pt>
                <c:pt idx="12">
                  <c:v>165.60000000000002</c:v>
                </c:pt>
                <c:pt idx="13">
                  <c:v>179.40000000000003</c:v>
                </c:pt>
                <c:pt idx="14">
                  <c:v>193.20000000000005</c:v>
                </c:pt>
                <c:pt idx="15">
                  <c:v>207.00000000000006</c:v>
                </c:pt>
                <c:pt idx="16">
                  <c:v>220.80000000000007</c:v>
                </c:pt>
                <c:pt idx="17">
                  <c:v>234.60000000000008</c:v>
                </c:pt>
                <c:pt idx="18">
                  <c:v>248.40000000000009</c:v>
                </c:pt>
                <c:pt idx="19">
                  <c:v>262.2000000000001</c:v>
                </c:pt>
                <c:pt idx="20">
                  <c:v>276.00000000000011</c:v>
                </c:pt>
                <c:pt idx="21">
                  <c:v>289.80000000000013</c:v>
                </c:pt>
                <c:pt idx="22">
                  <c:v>303.60000000000014</c:v>
                </c:pt>
                <c:pt idx="23">
                  <c:v>317.40000000000015</c:v>
                </c:pt>
                <c:pt idx="24">
                  <c:v>331.20000000000016</c:v>
                </c:pt>
                <c:pt idx="25">
                  <c:v>345.00000000000017</c:v>
                </c:pt>
                <c:pt idx="26">
                  <c:v>358.80000000000018</c:v>
                </c:pt>
                <c:pt idx="27">
                  <c:v>372.60000000000019</c:v>
                </c:pt>
                <c:pt idx="28">
                  <c:v>386.4000000000002</c:v>
                </c:pt>
                <c:pt idx="29">
                  <c:v>400.20000000000022</c:v>
                </c:pt>
                <c:pt idx="30">
                  <c:v>414.00000000000023</c:v>
                </c:pt>
                <c:pt idx="31">
                  <c:v>427.80000000000024</c:v>
                </c:pt>
                <c:pt idx="32">
                  <c:v>441.60000000000025</c:v>
                </c:pt>
                <c:pt idx="33">
                  <c:v>455.40000000000026</c:v>
                </c:pt>
                <c:pt idx="34">
                  <c:v>469.20000000000027</c:v>
                </c:pt>
                <c:pt idx="35">
                  <c:v>483.00000000000028</c:v>
                </c:pt>
                <c:pt idx="36">
                  <c:v>496.8000000000003</c:v>
                </c:pt>
                <c:pt idx="37">
                  <c:v>510.60000000000031</c:v>
                </c:pt>
                <c:pt idx="38">
                  <c:v>524.40000000000032</c:v>
                </c:pt>
                <c:pt idx="39">
                  <c:v>538.20000000000027</c:v>
                </c:pt>
                <c:pt idx="40">
                  <c:v>552.00000000000023</c:v>
                </c:pt>
                <c:pt idx="41">
                  <c:v>565.80000000000018</c:v>
                </c:pt>
                <c:pt idx="42">
                  <c:v>579.60000000000014</c:v>
                </c:pt>
                <c:pt idx="43">
                  <c:v>593.40000000000009</c:v>
                </c:pt>
                <c:pt idx="44">
                  <c:v>607.20000000000005</c:v>
                </c:pt>
                <c:pt idx="45">
                  <c:v>621</c:v>
                </c:pt>
                <c:pt idx="46">
                  <c:v>634.79999999999995</c:v>
                </c:pt>
                <c:pt idx="47">
                  <c:v>648.59999999999991</c:v>
                </c:pt>
                <c:pt idx="48">
                  <c:v>662.39999999999986</c:v>
                </c:pt>
                <c:pt idx="49">
                  <c:v>676.19999999999982</c:v>
                </c:pt>
                <c:pt idx="50">
                  <c:v>689.99999999999977</c:v>
                </c:pt>
              </c:numCache>
            </c:numRef>
          </c:xVal>
          <c:yVal>
            <c:numRef>
              <c:f>'Trajectory Speed profile'!$H$25:$BF$25</c:f>
              <c:numCache>
                <c:formatCode>General</c:formatCode>
                <c:ptCount val="51"/>
                <c:pt idx="0">
                  <c:v>0</c:v>
                </c:pt>
                <c:pt idx="1">
                  <c:v>4.7610000000000006E-2</c:v>
                </c:pt>
                <c:pt idx="2">
                  <c:v>0.19044000000000003</c:v>
                </c:pt>
                <c:pt idx="3">
                  <c:v>0.42849000000000015</c:v>
                </c:pt>
                <c:pt idx="4">
                  <c:v>0.7617600000000001</c:v>
                </c:pt>
                <c:pt idx="5">
                  <c:v>1.19025</c:v>
                </c:pt>
                <c:pt idx="6">
                  <c:v>1.7139599999999999</c:v>
                </c:pt>
                <c:pt idx="7">
                  <c:v>2.3328899999999995</c:v>
                </c:pt>
                <c:pt idx="8">
                  <c:v>3.0470399999999995</c:v>
                </c:pt>
                <c:pt idx="9">
                  <c:v>3.8564099999999994</c:v>
                </c:pt>
                <c:pt idx="10">
                  <c:v>4.7610000000000001</c:v>
                </c:pt>
                <c:pt idx="11">
                  <c:v>5.7608100000000011</c:v>
                </c:pt>
                <c:pt idx="12">
                  <c:v>6.8558400000000024</c:v>
                </c:pt>
                <c:pt idx="13">
                  <c:v>8.0460900000000031</c:v>
                </c:pt>
                <c:pt idx="14">
                  <c:v>9.3315600000000032</c:v>
                </c:pt>
                <c:pt idx="15">
                  <c:v>10.712250000000006</c:v>
                </c:pt>
                <c:pt idx="16">
                  <c:v>12.188160000000009</c:v>
                </c:pt>
                <c:pt idx="17">
                  <c:v>13.759290000000009</c:v>
                </c:pt>
                <c:pt idx="18">
                  <c:v>15.42080000000001</c:v>
                </c:pt>
                <c:pt idx="19">
                  <c:v>17.104400000000012</c:v>
                </c:pt>
                <c:pt idx="20">
                  <c:v>18.788000000000014</c:v>
                </c:pt>
                <c:pt idx="21">
                  <c:v>20.471600000000016</c:v>
                </c:pt>
                <c:pt idx="22">
                  <c:v>22.155200000000015</c:v>
                </c:pt>
                <c:pt idx="23">
                  <c:v>23.83880000000002</c:v>
                </c:pt>
                <c:pt idx="24">
                  <c:v>25.522400000000019</c:v>
                </c:pt>
                <c:pt idx="25">
                  <c:v>27.206000000000021</c:v>
                </c:pt>
                <c:pt idx="26">
                  <c:v>28.889600000000023</c:v>
                </c:pt>
                <c:pt idx="27">
                  <c:v>30.573200000000021</c:v>
                </c:pt>
                <c:pt idx="28">
                  <c:v>32.256800000000027</c:v>
                </c:pt>
                <c:pt idx="29">
                  <c:v>33.940400000000025</c:v>
                </c:pt>
                <c:pt idx="30">
                  <c:v>35.624000000000024</c:v>
                </c:pt>
                <c:pt idx="31">
                  <c:v>37.307600000000029</c:v>
                </c:pt>
                <c:pt idx="32">
                  <c:v>38.991200000000035</c:v>
                </c:pt>
                <c:pt idx="33">
                  <c:v>40.652710000000035</c:v>
                </c:pt>
                <c:pt idx="34">
                  <c:v>42.223840000000031</c:v>
                </c:pt>
                <c:pt idx="35">
                  <c:v>43.699750000000023</c:v>
                </c:pt>
                <c:pt idx="36">
                  <c:v>45.080440000000031</c:v>
                </c:pt>
                <c:pt idx="37">
                  <c:v>46.365910000000021</c:v>
                </c:pt>
                <c:pt idx="38">
                  <c:v>47.556160000000027</c:v>
                </c:pt>
                <c:pt idx="39">
                  <c:v>48.651190000000021</c:v>
                </c:pt>
                <c:pt idx="40">
                  <c:v>49.65100000000001</c:v>
                </c:pt>
                <c:pt idx="41">
                  <c:v>50.555590000000009</c:v>
                </c:pt>
                <c:pt idx="42">
                  <c:v>51.364960000000011</c:v>
                </c:pt>
                <c:pt idx="43">
                  <c:v>52.07911</c:v>
                </c:pt>
                <c:pt idx="44">
                  <c:v>52.698039999999999</c:v>
                </c:pt>
                <c:pt idx="45">
                  <c:v>53.22175</c:v>
                </c:pt>
                <c:pt idx="46">
                  <c:v>53.650239999999997</c:v>
                </c:pt>
                <c:pt idx="47">
                  <c:v>53.983509999999995</c:v>
                </c:pt>
                <c:pt idx="48">
                  <c:v>54.221559999999997</c:v>
                </c:pt>
                <c:pt idx="49">
                  <c:v>54.36439</c:v>
                </c:pt>
                <c:pt idx="50">
                  <c:v>54.411999999999992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15920"/>
        <c:axId val="339620624"/>
      </c:scatterChart>
      <c:valAx>
        <c:axId val="33961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9620624"/>
        <c:crosses val="autoZero"/>
        <c:crossBetween val="midCat"/>
      </c:valAx>
      <c:valAx>
        <c:axId val="33962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9615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788670</xdr:colOff>
      <xdr:row>0</xdr:row>
      <xdr:rowOff>0</xdr:rowOff>
    </xdr:from>
    <xdr:to>
      <xdr:col>11</xdr:col>
      <xdr:colOff>605790</xdr:colOff>
      <xdr:row>17</xdr:row>
      <xdr:rowOff>68580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784860</xdr:colOff>
      <xdr:row>27</xdr:row>
      <xdr:rowOff>30480</xdr:rowOff>
    </xdr:from>
    <xdr:to>
      <xdr:col>11</xdr:col>
      <xdr:colOff>601980</xdr:colOff>
      <xdr:row>42</xdr:row>
      <xdr:rowOff>91440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708660</xdr:colOff>
      <xdr:row>27</xdr:row>
      <xdr:rowOff>15240</xdr:rowOff>
    </xdr:from>
    <xdr:to>
      <xdr:col>17</xdr:col>
      <xdr:colOff>525780</xdr:colOff>
      <xdr:row>42</xdr:row>
      <xdr:rowOff>76200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zoomScale="85" zoomScaleNormal="85" workbookViewId="0">
      <selection activeCell="A15" sqref="A15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 t="shared" ref="C15:C20" si="0"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si="0"/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64</v>
      </c>
      <c r="G63" t="s">
        <v>62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66</v>
      </c>
      <c r="F69" t="s">
        <v>64</v>
      </c>
      <c r="I69" t="s">
        <v>62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29</v>
      </c>
    </row>
    <row r="75" spans="1:22" ht="15.6" x14ac:dyDescent="0.35">
      <c r="A75" s="9" t="s">
        <v>36</v>
      </c>
    </row>
    <row r="77" spans="1:22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7"/>
  <sheetViews>
    <sheetView tabSelected="1" workbookViewId="0">
      <selection activeCell="B5" sqref="B5"/>
    </sheetView>
  </sheetViews>
  <sheetFormatPr baseColWidth="10" defaultRowHeight="14.4" x14ac:dyDescent="0.3"/>
  <cols>
    <col min="2" max="2" width="12.44140625" bestFit="1" customWidth="1"/>
  </cols>
  <sheetData>
    <row r="1" spans="1:11" ht="18" x14ac:dyDescent="0.35">
      <c r="A1" s="25" t="s">
        <v>98</v>
      </c>
    </row>
    <row r="3" spans="1:11" ht="15.6" x14ac:dyDescent="0.35">
      <c r="A3" t="s">
        <v>85</v>
      </c>
      <c r="B3">
        <v>0</v>
      </c>
      <c r="C3" t="s">
        <v>87</v>
      </c>
    </row>
    <row r="4" spans="1:11" ht="15.6" x14ac:dyDescent="0.35">
      <c r="A4" t="s">
        <v>86</v>
      </c>
      <c r="B4">
        <v>0</v>
      </c>
      <c r="C4" t="s">
        <v>87</v>
      </c>
    </row>
    <row r="5" spans="1:11" x14ac:dyDescent="0.3">
      <c r="A5" t="s">
        <v>88</v>
      </c>
      <c r="B5">
        <v>69</v>
      </c>
      <c r="C5" t="s">
        <v>91</v>
      </c>
      <c r="D5">
        <f>$B$3*$B$21+SIGN($B$15)*0.5*$B$7*$B$21*$B$21+($B$22-$B$21)*$B$17 + $B$17*(B6-$B$22) + SIGN($B$16)*0.5*$B$7*(B6-$B$22)*(B6-$B$22)</f>
        <v>54.411999999999992</v>
      </c>
      <c r="E5">
        <f>B3*B15+0.5*B7*B15*B15+(B3+B7*B15)*(B6-B9-2*B15) + (B3+B7*B15)*(B9+B15)-0.5*B7*(B9+B15)*(B9+B15)</f>
        <v>54.411999999999992</v>
      </c>
    </row>
    <row r="6" spans="1:11" ht="15.6" x14ac:dyDescent="0.35">
      <c r="A6" t="s">
        <v>90</v>
      </c>
      <c r="B6">
        <v>690</v>
      </c>
      <c r="C6" t="s">
        <v>92</v>
      </c>
      <c r="E6">
        <f>B3*B6-B3*B9+B3*B9-0.5*B7*B9*B9 + B15*(B3+B7*B6-B7*B9-2*B3+B7*B9+B3-B7*B9) + B15*B15*(0.5*B7-2*B7+B7-0.5*B7)</f>
        <v>54.412000000000006</v>
      </c>
    </row>
    <row r="7" spans="1:11" ht="16.2" x14ac:dyDescent="0.3">
      <c r="A7" t="s">
        <v>71</v>
      </c>
      <c r="B7">
        <v>5.0000000000000001E-4</v>
      </c>
      <c r="C7" t="s">
        <v>95</v>
      </c>
      <c r="E7">
        <f>B3*B6-0.5*B7*B9*B9 + B15*(B7*B6-B7*B9) + B15*B15*(-B7)</f>
        <v>54.412000000000006</v>
      </c>
    </row>
    <row r="9" spans="1:11" x14ac:dyDescent="0.3">
      <c r="A9" t="s">
        <v>111</v>
      </c>
      <c r="B9">
        <f>(B3-B4)/B7</f>
        <v>0</v>
      </c>
    </row>
    <row r="10" spans="1:11" x14ac:dyDescent="0.3">
      <c r="A10" t="s">
        <v>112</v>
      </c>
      <c r="B10">
        <f>B3*B6-0.5*B7*B9*B9 - B5</f>
        <v>-69</v>
      </c>
    </row>
    <row r="11" spans="1:11" x14ac:dyDescent="0.3">
      <c r="A11" t="s">
        <v>73</v>
      </c>
      <c r="B11">
        <f>B7*B6-B7*B9</f>
        <v>0.34500000000000003</v>
      </c>
    </row>
    <row r="12" spans="1:11" x14ac:dyDescent="0.3">
      <c r="A12" t="s">
        <v>71</v>
      </c>
      <c r="B12">
        <f>-B7</f>
        <v>-5.0000000000000001E-4</v>
      </c>
    </row>
    <row r="13" spans="1:11" x14ac:dyDescent="0.3">
      <c r="A13" t="s">
        <v>105</v>
      </c>
      <c r="B13" s="60" t="e">
        <f>(-B11+SQRT(B11*B11-4*B12*B10))/(2*B12)</f>
        <v>#NUM!</v>
      </c>
      <c r="C13" s="60" t="e">
        <f>(-B11-SQRT(B11*B11-4*B12*B10))/(2*B12)</f>
        <v>#NUM!</v>
      </c>
    </row>
    <row r="14" spans="1:11" x14ac:dyDescent="0.3">
      <c r="G14" t="s">
        <v>89</v>
      </c>
      <c r="H14">
        <v>0</v>
      </c>
      <c r="I14" s="4">
        <f>ABS(B15)</f>
        <v>244</v>
      </c>
      <c r="J14" s="3">
        <f>B6-ABS(B16)</f>
        <v>446</v>
      </c>
      <c r="K14">
        <f>B6</f>
        <v>690</v>
      </c>
    </row>
    <row r="15" spans="1:11" ht="15.6" x14ac:dyDescent="0.35">
      <c r="A15" t="s">
        <v>93</v>
      </c>
      <c r="B15" s="127">
        <v>244</v>
      </c>
      <c r="C15" t="s">
        <v>92</v>
      </c>
      <c r="D15" t="s">
        <v>110</v>
      </c>
      <c r="E15">
        <f>(B5-B3*B6-0.5*(B4-B3)*(B4-B3)/B7)/(B6*B7+(B3-B4))</f>
        <v>199.99999999999997</v>
      </c>
      <c r="G15" t="s">
        <v>84</v>
      </c>
      <c r="H15">
        <f>B3</f>
        <v>0</v>
      </c>
      <c r="I15" s="3">
        <f>B17</f>
        <v>0.122</v>
      </c>
      <c r="J15" s="3">
        <f>I15</f>
        <v>0.122</v>
      </c>
      <c r="K15">
        <f>B4</f>
        <v>0</v>
      </c>
    </row>
    <row r="16" spans="1:11" ht="15.6" x14ac:dyDescent="0.35">
      <c r="A16" t="s">
        <v>94</v>
      </c>
      <c r="B16" s="3">
        <f>(B4-B3)/B7-B15</f>
        <v>-244</v>
      </c>
      <c r="C16" t="s">
        <v>92</v>
      </c>
      <c r="D16" s="75" t="s">
        <v>113</v>
      </c>
      <c r="E16" t="e">
        <f>(-B11+SQRT(B11*B11-4*B12*B10))/(2*B12)</f>
        <v>#NUM!</v>
      </c>
    </row>
    <row r="17" spans="1:70" ht="15.6" x14ac:dyDescent="0.35">
      <c r="A17" t="s">
        <v>97</v>
      </c>
      <c r="B17" s="3">
        <f>B3+B7*B15</f>
        <v>0.122</v>
      </c>
      <c r="C17" t="s">
        <v>87</v>
      </c>
    </row>
    <row r="18" spans="1:70" x14ac:dyDescent="0.3">
      <c r="A18" t="s">
        <v>96</v>
      </c>
      <c r="B18" s="127">
        <f>(B3+B17)/2*B15+B17*(B6-B15-B16)+(B17+B4)/2*B16</f>
        <v>84.179999999999993</v>
      </c>
      <c r="C18" t="s">
        <v>91</v>
      </c>
    </row>
    <row r="19" spans="1:70" ht="15.6" x14ac:dyDescent="0.35">
      <c r="A19" t="s">
        <v>86</v>
      </c>
      <c r="B19">
        <f>B17+B16*B7</f>
        <v>0</v>
      </c>
      <c r="C19" t="s">
        <v>87</v>
      </c>
    </row>
    <row r="21" spans="1:70" ht="15.6" x14ac:dyDescent="0.35">
      <c r="A21" t="s">
        <v>108</v>
      </c>
      <c r="B21" s="127">
        <f>ABS(B15)</f>
        <v>244</v>
      </c>
      <c r="C21" t="s">
        <v>92</v>
      </c>
    </row>
    <row r="22" spans="1:70" ht="15.6" x14ac:dyDescent="0.35">
      <c r="A22" t="s">
        <v>109</v>
      </c>
      <c r="B22" s="127">
        <f>B6-ABS(B16)</f>
        <v>446</v>
      </c>
      <c r="C22" t="s">
        <v>92</v>
      </c>
    </row>
    <row r="23" spans="1:70" ht="15.6" x14ac:dyDescent="0.35">
      <c r="A23" s="128" t="s">
        <v>99</v>
      </c>
      <c r="B23" t="s">
        <v>100</v>
      </c>
      <c r="G23" t="s">
        <v>105</v>
      </c>
      <c r="H23">
        <v>0</v>
      </c>
      <c r="I23">
        <f>(H23+$B$6/50)</f>
        <v>13.8</v>
      </c>
      <c r="J23">
        <f t="shared" ref="J23:BF23" si="0">(I23+$B$6/50)</f>
        <v>27.6</v>
      </c>
      <c r="K23">
        <f t="shared" si="0"/>
        <v>41.400000000000006</v>
      </c>
      <c r="L23">
        <f t="shared" si="0"/>
        <v>55.2</v>
      </c>
      <c r="M23">
        <f t="shared" si="0"/>
        <v>69</v>
      </c>
      <c r="N23">
        <f t="shared" si="0"/>
        <v>82.8</v>
      </c>
      <c r="O23">
        <f t="shared" si="0"/>
        <v>96.6</v>
      </c>
      <c r="P23">
        <f t="shared" si="0"/>
        <v>110.39999999999999</v>
      </c>
      <c r="Q23">
        <f t="shared" si="0"/>
        <v>124.19999999999999</v>
      </c>
      <c r="R23">
        <f t="shared" si="0"/>
        <v>138</v>
      </c>
      <c r="S23">
        <f t="shared" si="0"/>
        <v>151.80000000000001</v>
      </c>
      <c r="T23">
        <f t="shared" si="0"/>
        <v>165.60000000000002</v>
      </c>
      <c r="U23">
        <f t="shared" si="0"/>
        <v>179.40000000000003</v>
      </c>
      <c r="V23">
        <f t="shared" si="0"/>
        <v>193.20000000000005</v>
      </c>
      <c r="W23">
        <f t="shared" si="0"/>
        <v>207.00000000000006</v>
      </c>
      <c r="X23">
        <f t="shared" si="0"/>
        <v>220.80000000000007</v>
      </c>
      <c r="Y23">
        <f t="shared" si="0"/>
        <v>234.60000000000008</v>
      </c>
      <c r="Z23">
        <f t="shared" si="0"/>
        <v>248.40000000000009</v>
      </c>
      <c r="AA23">
        <f t="shared" si="0"/>
        <v>262.2000000000001</v>
      </c>
      <c r="AB23">
        <f t="shared" si="0"/>
        <v>276.00000000000011</v>
      </c>
      <c r="AC23">
        <f t="shared" si="0"/>
        <v>289.80000000000013</v>
      </c>
      <c r="AD23">
        <f t="shared" si="0"/>
        <v>303.60000000000014</v>
      </c>
      <c r="AE23">
        <f t="shared" si="0"/>
        <v>317.40000000000015</v>
      </c>
      <c r="AF23">
        <f t="shared" si="0"/>
        <v>331.20000000000016</v>
      </c>
      <c r="AG23">
        <f t="shared" si="0"/>
        <v>345.00000000000017</v>
      </c>
      <c r="AH23">
        <f t="shared" si="0"/>
        <v>358.80000000000018</v>
      </c>
      <c r="AI23">
        <f t="shared" si="0"/>
        <v>372.60000000000019</v>
      </c>
      <c r="AJ23">
        <f t="shared" si="0"/>
        <v>386.4000000000002</v>
      </c>
      <c r="AK23">
        <f t="shared" si="0"/>
        <v>400.20000000000022</v>
      </c>
      <c r="AL23">
        <f t="shared" si="0"/>
        <v>414.00000000000023</v>
      </c>
      <c r="AM23">
        <f t="shared" si="0"/>
        <v>427.80000000000024</v>
      </c>
      <c r="AN23">
        <f t="shared" si="0"/>
        <v>441.60000000000025</v>
      </c>
      <c r="AO23">
        <f t="shared" si="0"/>
        <v>455.40000000000026</v>
      </c>
      <c r="AP23">
        <f t="shared" si="0"/>
        <v>469.20000000000027</v>
      </c>
      <c r="AQ23">
        <f t="shared" si="0"/>
        <v>483.00000000000028</v>
      </c>
      <c r="AR23">
        <f t="shared" si="0"/>
        <v>496.8000000000003</v>
      </c>
      <c r="AS23">
        <f t="shared" si="0"/>
        <v>510.60000000000031</v>
      </c>
      <c r="AT23">
        <f t="shared" si="0"/>
        <v>524.40000000000032</v>
      </c>
      <c r="AU23">
        <f t="shared" si="0"/>
        <v>538.20000000000027</v>
      </c>
      <c r="AV23">
        <f t="shared" si="0"/>
        <v>552.00000000000023</v>
      </c>
      <c r="AW23">
        <f t="shared" si="0"/>
        <v>565.80000000000018</v>
      </c>
      <c r="AX23">
        <f t="shared" si="0"/>
        <v>579.60000000000014</v>
      </c>
      <c r="AY23">
        <f t="shared" si="0"/>
        <v>593.40000000000009</v>
      </c>
      <c r="AZ23">
        <f t="shared" si="0"/>
        <v>607.20000000000005</v>
      </c>
      <c r="BA23">
        <f t="shared" si="0"/>
        <v>621</v>
      </c>
      <c r="BB23">
        <f t="shared" si="0"/>
        <v>634.79999999999995</v>
      </c>
      <c r="BC23">
        <f t="shared" si="0"/>
        <v>648.59999999999991</v>
      </c>
      <c r="BD23">
        <f t="shared" si="0"/>
        <v>662.39999999999986</v>
      </c>
      <c r="BE23">
        <f t="shared" si="0"/>
        <v>676.19999999999982</v>
      </c>
      <c r="BF23">
        <f t="shared" si="0"/>
        <v>689.99999999999977</v>
      </c>
    </row>
    <row r="24" spans="1:70" ht="15.6" x14ac:dyDescent="0.35">
      <c r="A24" s="128" t="s">
        <v>101</v>
      </c>
      <c r="B24" s="129" t="s">
        <v>102</v>
      </c>
      <c r="G24" t="s">
        <v>106</v>
      </c>
      <c r="H24" s="127">
        <f t="shared" ref="H24:AM24" si="1">IF(H23&lt;ABS($B$15),$B$3+SIGN($B$15)*H$23*$B$7,IF(H23&lt;$B$6-ABS($B$16),$B$17,$B$17+SIGN($B$16)*(H23-($B$6-ABS($B$16)))*$B$7))</f>
        <v>0</v>
      </c>
      <c r="I24" s="127">
        <f t="shared" si="1"/>
        <v>6.9000000000000008E-3</v>
      </c>
      <c r="J24" s="127">
        <f t="shared" si="1"/>
        <v>1.3800000000000002E-2</v>
      </c>
      <c r="K24" s="127">
        <f t="shared" si="1"/>
        <v>2.0700000000000003E-2</v>
      </c>
      <c r="L24" s="127">
        <f t="shared" si="1"/>
        <v>2.7600000000000003E-2</v>
      </c>
      <c r="M24" s="127">
        <f t="shared" si="1"/>
        <v>3.4500000000000003E-2</v>
      </c>
      <c r="N24" s="127">
        <f t="shared" si="1"/>
        <v>4.1399999999999999E-2</v>
      </c>
      <c r="O24" s="127">
        <f t="shared" si="1"/>
        <v>4.8299999999999996E-2</v>
      </c>
      <c r="P24" s="127">
        <f t="shared" si="1"/>
        <v>5.5199999999999999E-2</v>
      </c>
      <c r="Q24" s="127">
        <f t="shared" si="1"/>
        <v>6.2099999999999995E-2</v>
      </c>
      <c r="R24" s="127">
        <f t="shared" si="1"/>
        <v>6.9000000000000006E-2</v>
      </c>
      <c r="S24" s="127">
        <f t="shared" si="1"/>
        <v>7.5900000000000009E-2</v>
      </c>
      <c r="T24" s="127">
        <f t="shared" si="1"/>
        <v>8.2800000000000012E-2</v>
      </c>
      <c r="U24" s="127">
        <f t="shared" si="1"/>
        <v>8.9700000000000016E-2</v>
      </c>
      <c r="V24" s="127">
        <f t="shared" si="1"/>
        <v>9.6600000000000019E-2</v>
      </c>
      <c r="W24" s="127">
        <f t="shared" si="1"/>
        <v>0.10350000000000004</v>
      </c>
      <c r="X24" s="127">
        <f t="shared" si="1"/>
        <v>0.11040000000000004</v>
      </c>
      <c r="Y24" s="127">
        <f t="shared" si="1"/>
        <v>0.11730000000000004</v>
      </c>
      <c r="Z24" s="127">
        <f t="shared" si="1"/>
        <v>0.122</v>
      </c>
      <c r="AA24" s="127">
        <f t="shared" si="1"/>
        <v>0.122</v>
      </c>
      <c r="AB24" s="127">
        <f t="shared" si="1"/>
        <v>0.122</v>
      </c>
      <c r="AC24" s="127">
        <f t="shared" si="1"/>
        <v>0.122</v>
      </c>
      <c r="AD24" s="127">
        <f t="shared" si="1"/>
        <v>0.122</v>
      </c>
      <c r="AE24" s="127">
        <f t="shared" si="1"/>
        <v>0.122</v>
      </c>
      <c r="AF24" s="127">
        <f t="shared" si="1"/>
        <v>0.122</v>
      </c>
      <c r="AG24" s="127">
        <f t="shared" si="1"/>
        <v>0.122</v>
      </c>
      <c r="AH24" s="127">
        <f t="shared" si="1"/>
        <v>0.122</v>
      </c>
      <c r="AI24" s="127">
        <f t="shared" si="1"/>
        <v>0.122</v>
      </c>
      <c r="AJ24" s="127">
        <f t="shared" si="1"/>
        <v>0.122</v>
      </c>
      <c r="AK24" s="127">
        <f t="shared" si="1"/>
        <v>0.122</v>
      </c>
      <c r="AL24" s="127">
        <f t="shared" si="1"/>
        <v>0.122</v>
      </c>
      <c r="AM24" s="127">
        <f t="shared" si="1"/>
        <v>0.122</v>
      </c>
      <c r="AN24" s="127">
        <f t="shared" ref="AN24:BS24" si="2">IF(AN23&lt;ABS($B$15),$B$3+SIGN($B$15)*AN$23*$B$7,IF(AN23&lt;$B$6-ABS($B$16),$B$17,$B$17+SIGN($B$16)*(AN23-($B$6-ABS($B$16)))*$B$7))</f>
        <v>0.122</v>
      </c>
      <c r="AO24" s="127">
        <f t="shared" si="2"/>
        <v>0.11729999999999986</v>
      </c>
      <c r="AP24" s="127">
        <f t="shared" si="2"/>
        <v>0.11039999999999986</v>
      </c>
      <c r="AQ24" s="127">
        <f t="shared" si="2"/>
        <v>0.10349999999999986</v>
      </c>
      <c r="AR24" s="127">
        <f t="shared" si="2"/>
        <v>9.6599999999999853E-2</v>
      </c>
      <c r="AS24" s="127">
        <f t="shared" si="2"/>
        <v>8.9699999999999835E-2</v>
      </c>
      <c r="AT24" s="127">
        <f t="shared" si="2"/>
        <v>8.2799999999999846E-2</v>
      </c>
      <c r="AU24" s="127">
        <f t="shared" si="2"/>
        <v>7.5899999999999856E-2</v>
      </c>
      <c r="AV24" s="127">
        <f t="shared" si="2"/>
        <v>6.8999999999999881E-2</v>
      </c>
      <c r="AW24" s="127">
        <f t="shared" si="2"/>
        <v>6.2099999999999905E-2</v>
      </c>
      <c r="AX24" s="127">
        <f t="shared" si="2"/>
        <v>5.519999999999993E-2</v>
      </c>
      <c r="AY24" s="127">
        <f t="shared" si="2"/>
        <v>4.8299999999999954E-2</v>
      </c>
      <c r="AZ24" s="127">
        <f t="shared" si="2"/>
        <v>4.1399999999999978E-2</v>
      </c>
      <c r="BA24" s="127">
        <f t="shared" si="2"/>
        <v>3.4499999999999989E-2</v>
      </c>
      <c r="BB24" s="127">
        <f t="shared" si="2"/>
        <v>2.7600000000000013E-2</v>
      </c>
      <c r="BC24" s="127">
        <f t="shared" si="2"/>
        <v>2.0700000000000038E-2</v>
      </c>
      <c r="BD24" s="127">
        <f t="shared" si="2"/>
        <v>1.3800000000000062E-2</v>
      </c>
      <c r="BE24" s="127">
        <f t="shared" si="2"/>
        <v>6.9000000000000866E-3</v>
      </c>
      <c r="BF24" s="127">
        <f t="shared" si="2"/>
        <v>1.1102230246251565E-16</v>
      </c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27"/>
    </row>
    <row r="25" spans="1:70" ht="15.6" x14ac:dyDescent="0.35">
      <c r="A25" s="128" t="s">
        <v>103</v>
      </c>
      <c r="B25" s="129" t="s">
        <v>104</v>
      </c>
      <c r="G25" t="s">
        <v>107</v>
      </c>
      <c r="H25">
        <f t="shared" ref="H25:AM25" si="3">IF(H23&lt;$B$21,
$B$3*H23+SIGN($B$15)*0.5*$B$7*H23*H23,
IF(H23&lt;$B$22,
$B$3*$B$21+SIGN($B$15)*0.5*$B$7*$B$21*$B$21+(H23-$B$21)*$B$17,
$B$3*$B$21+SIGN($B$15)*0.5*$B$7*$B$21*$B$21+($B$22-$B$21)*$B$17 + $B$17*(H23-$B$22) + SIGN($B$16)*0.5*$B$7*(H23-$B$22)*(H23-$B$22)))</f>
        <v>0</v>
      </c>
      <c r="I25">
        <f t="shared" si="3"/>
        <v>4.7610000000000006E-2</v>
      </c>
      <c r="J25">
        <f t="shared" si="3"/>
        <v>0.19044000000000003</v>
      </c>
      <c r="K25">
        <f t="shared" si="3"/>
        <v>0.42849000000000015</v>
      </c>
      <c r="L25">
        <f t="shared" si="3"/>
        <v>0.7617600000000001</v>
      </c>
      <c r="M25">
        <f t="shared" si="3"/>
        <v>1.19025</v>
      </c>
      <c r="N25">
        <f t="shared" si="3"/>
        <v>1.7139599999999999</v>
      </c>
      <c r="O25">
        <f t="shared" si="3"/>
        <v>2.3328899999999995</v>
      </c>
      <c r="P25">
        <f t="shared" si="3"/>
        <v>3.0470399999999995</v>
      </c>
      <c r="Q25">
        <f t="shared" si="3"/>
        <v>3.8564099999999994</v>
      </c>
      <c r="R25">
        <f t="shared" si="3"/>
        <v>4.7610000000000001</v>
      </c>
      <c r="S25">
        <f t="shared" si="3"/>
        <v>5.7608100000000011</v>
      </c>
      <c r="T25">
        <f t="shared" si="3"/>
        <v>6.8558400000000024</v>
      </c>
      <c r="U25">
        <f t="shared" si="3"/>
        <v>8.0460900000000031</v>
      </c>
      <c r="V25">
        <f t="shared" si="3"/>
        <v>9.3315600000000032</v>
      </c>
      <c r="W25">
        <f t="shared" si="3"/>
        <v>10.712250000000006</v>
      </c>
      <c r="X25">
        <f t="shared" si="3"/>
        <v>12.188160000000009</v>
      </c>
      <c r="Y25">
        <f t="shared" si="3"/>
        <v>13.759290000000009</v>
      </c>
      <c r="Z25">
        <f t="shared" si="3"/>
        <v>15.42080000000001</v>
      </c>
      <c r="AA25">
        <f t="shared" si="3"/>
        <v>17.104400000000012</v>
      </c>
      <c r="AB25">
        <f t="shared" si="3"/>
        <v>18.788000000000014</v>
      </c>
      <c r="AC25">
        <f t="shared" si="3"/>
        <v>20.471600000000016</v>
      </c>
      <c r="AD25">
        <f t="shared" si="3"/>
        <v>22.155200000000015</v>
      </c>
      <c r="AE25">
        <f t="shared" si="3"/>
        <v>23.83880000000002</v>
      </c>
      <c r="AF25">
        <f t="shared" si="3"/>
        <v>25.522400000000019</v>
      </c>
      <c r="AG25">
        <f t="shared" si="3"/>
        <v>27.206000000000021</v>
      </c>
      <c r="AH25">
        <f t="shared" si="3"/>
        <v>28.889600000000023</v>
      </c>
      <c r="AI25">
        <f t="shared" si="3"/>
        <v>30.573200000000021</v>
      </c>
      <c r="AJ25">
        <f t="shared" si="3"/>
        <v>32.256800000000027</v>
      </c>
      <c r="AK25">
        <f t="shared" si="3"/>
        <v>33.940400000000025</v>
      </c>
      <c r="AL25">
        <f t="shared" si="3"/>
        <v>35.624000000000024</v>
      </c>
      <c r="AM25">
        <f t="shared" si="3"/>
        <v>37.307600000000029</v>
      </c>
      <c r="AN25">
        <f t="shared" ref="AN25:BF25" si="4">IF(AN23&lt;$B$21,
$B$3*AN23+SIGN($B$15)*0.5*$B$7*AN23*AN23,
IF(AN23&lt;$B$22,
$B$3*$B$21+SIGN($B$15)*0.5*$B$7*$B$21*$B$21+(AN23-$B$21)*$B$17,
$B$3*$B$21+SIGN($B$15)*0.5*$B$7*$B$21*$B$21+($B$22-$B$21)*$B$17 + $B$17*(AN23-$B$22) + SIGN($B$16)*0.5*$B$7*(AN23-$B$22)*(AN23-$B$22)))</f>
        <v>38.991200000000035</v>
      </c>
      <c r="AO25">
        <f t="shared" si="4"/>
        <v>40.652710000000035</v>
      </c>
      <c r="AP25">
        <f t="shared" si="4"/>
        <v>42.223840000000031</v>
      </c>
      <c r="AQ25">
        <f t="shared" si="4"/>
        <v>43.699750000000023</v>
      </c>
      <c r="AR25">
        <f t="shared" si="4"/>
        <v>45.080440000000031</v>
      </c>
      <c r="AS25">
        <f t="shared" si="4"/>
        <v>46.365910000000021</v>
      </c>
      <c r="AT25">
        <f t="shared" si="4"/>
        <v>47.556160000000027</v>
      </c>
      <c r="AU25">
        <f t="shared" si="4"/>
        <v>48.651190000000021</v>
      </c>
      <c r="AV25">
        <f t="shared" si="4"/>
        <v>49.65100000000001</v>
      </c>
      <c r="AW25">
        <f t="shared" si="4"/>
        <v>50.555590000000009</v>
      </c>
      <c r="AX25">
        <f t="shared" si="4"/>
        <v>51.364960000000011</v>
      </c>
      <c r="AY25">
        <f t="shared" si="4"/>
        <v>52.07911</v>
      </c>
      <c r="AZ25">
        <f t="shared" si="4"/>
        <v>52.698039999999999</v>
      </c>
      <c r="BA25">
        <f t="shared" si="4"/>
        <v>53.22175</v>
      </c>
      <c r="BB25">
        <f t="shared" si="4"/>
        <v>53.650239999999997</v>
      </c>
      <c r="BC25">
        <f t="shared" si="4"/>
        <v>53.983509999999995</v>
      </c>
      <c r="BD25">
        <f t="shared" si="4"/>
        <v>54.221559999999997</v>
      </c>
      <c r="BE25">
        <f t="shared" si="4"/>
        <v>54.36439</v>
      </c>
      <c r="BF25">
        <f t="shared" si="4"/>
        <v>54.411999999999992</v>
      </c>
    </row>
    <row r="26" spans="1:70" x14ac:dyDescent="0.3">
      <c r="B26" s="58"/>
      <c r="H26">
        <f>$B$3*$B$21+0.5*$B$7*$B$21*$B$21+(H23-ABS($B$15))*$B$17</f>
        <v>-14.884</v>
      </c>
      <c r="I26">
        <f t="shared" ref="I26:AN26" si="5">$B$3*ABS($B$15)+0.5*$B$7*ABS($B$15)*ABS($B$15)+(I23-ABS($B$15))*$B$17</f>
        <v>-13.200399999999998</v>
      </c>
      <c r="J26">
        <f t="shared" si="5"/>
        <v>-11.5168</v>
      </c>
      <c r="K26">
        <f t="shared" si="5"/>
        <v>-9.8331999999999979</v>
      </c>
      <c r="L26">
        <f t="shared" si="5"/>
        <v>-8.1495999999999995</v>
      </c>
      <c r="M26">
        <f t="shared" si="5"/>
        <v>-6.4659999999999975</v>
      </c>
      <c r="N26">
        <f t="shared" si="5"/>
        <v>-4.7823999999999991</v>
      </c>
      <c r="O26">
        <f t="shared" si="5"/>
        <v>-3.0988000000000007</v>
      </c>
      <c r="P26">
        <f t="shared" si="5"/>
        <v>-1.4152000000000022</v>
      </c>
      <c r="Q26">
        <f t="shared" si="5"/>
        <v>0.26839999999999975</v>
      </c>
      <c r="R26">
        <f t="shared" si="5"/>
        <v>1.952</v>
      </c>
      <c r="S26">
        <f t="shared" si="5"/>
        <v>3.6356000000000019</v>
      </c>
      <c r="T26">
        <f t="shared" si="5"/>
        <v>5.3192000000000039</v>
      </c>
      <c r="U26">
        <f t="shared" si="5"/>
        <v>7.002800000000005</v>
      </c>
      <c r="V26">
        <f t="shared" si="5"/>
        <v>8.6864000000000061</v>
      </c>
      <c r="W26">
        <f t="shared" si="5"/>
        <v>10.370000000000008</v>
      </c>
      <c r="X26">
        <f t="shared" si="5"/>
        <v>12.053600000000008</v>
      </c>
      <c r="Y26">
        <f t="shared" si="5"/>
        <v>13.73720000000001</v>
      </c>
      <c r="Z26">
        <f t="shared" si="5"/>
        <v>15.42080000000001</v>
      </c>
      <c r="AA26">
        <f t="shared" si="5"/>
        <v>17.104400000000012</v>
      </c>
      <c r="AB26">
        <f t="shared" si="5"/>
        <v>18.788000000000014</v>
      </c>
      <c r="AC26">
        <f t="shared" si="5"/>
        <v>20.471600000000016</v>
      </c>
      <c r="AD26">
        <f t="shared" si="5"/>
        <v>22.155200000000015</v>
      </c>
      <c r="AE26">
        <f t="shared" si="5"/>
        <v>23.83880000000002</v>
      </c>
      <c r="AF26">
        <f t="shared" si="5"/>
        <v>25.522400000000019</v>
      </c>
      <c r="AG26">
        <f t="shared" si="5"/>
        <v>27.206000000000021</v>
      </c>
      <c r="AH26">
        <f t="shared" si="5"/>
        <v>28.889600000000023</v>
      </c>
      <c r="AI26">
        <f t="shared" si="5"/>
        <v>30.573200000000021</v>
      </c>
      <c r="AJ26">
        <f t="shared" si="5"/>
        <v>32.256800000000027</v>
      </c>
      <c r="AK26">
        <f t="shared" si="5"/>
        <v>33.940400000000025</v>
      </c>
      <c r="AL26">
        <f t="shared" si="5"/>
        <v>35.624000000000024</v>
      </c>
      <c r="AM26">
        <f t="shared" si="5"/>
        <v>37.307600000000029</v>
      </c>
      <c r="AN26">
        <f t="shared" si="5"/>
        <v>38.991200000000035</v>
      </c>
      <c r="AO26">
        <f t="shared" ref="AO26:BF26" si="6">$B$3*ABS($B$15)+0.5*$B$7*ABS($B$15)*ABS($B$15)+(AO23-ABS($B$15))*$B$17</f>
        <v>40.674800000000033</v>
      </c>
      <c r="AP26">
        <f t="shared" si="6"/>
        <v>42.358400000000032</v>
      </c>
      <c r="AQ26">
        <f t="shared" si="6"/>
        <v>44.04200000000003</v>
      </c>
      <c r="AR26">
        <f t="shared" si="6"/>
        <v>45.725600000000036</v>
      </c>
      <c r="AS26">
        <f t="shared" si="6"/>
        <v>47.409200000000034</v>
      </c>
      <c r="AT26">
        <f t="shared" si="6"/>
        <v>49.09280000000004</v>
      </c>
      <c r="AU26">
        <f t="shared" si="6"/>
        <v>50.776400000000031</v>
      </c>
      <c r="AV26">
        <f t="shared" si="6"/>
        <v>52.460000000000029</v>
      </c>
      <c r="AW26">
        <f t="shared" si="6"/>
        <v>54.143600000000021</v>
      </c>
      <c r="AX26">
        <f t="shared" si="6"/>
        <v>55.827200000000019</v>
      </c>
      <c r="AY26">
        <f t="shared" si="6"/>
        <v>57.51080000000001</v>
      </c>
      <c r="AZ26">
        <f t="shared" si="6"/>
        <v>59.194400000000002</v>
      </c>
      <c r="BA26">
        <f t="shared" si="6"/>
        <v>60.878</v>
      </c>
      <c r="BB26">
        <f t="shared" si="6"/>
        <v>62.561599999999991</v>
      </c>
      <c r="BC26">
        <f t="shared" si="6"/>
        <v>64.245199999999983</v>
      </c>
      <c r="BD26">
        <f t="shared" si="6"/>
        <v>65.928799999999981</v>
      </c>
      <c r="BE26">
        <f t="shared" si="6"/>
        <v>67.61239999999998</v>
      </c>
      <c r="BF26">
        <f t="shared" si="6"/>
        <v>69.295999999999964</v>
      </c>
    </row>
    <row r="27" spans="1:70" x14ac:dyDescent="0.3">
      <c r="B27" s="58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Kinematik</vt:lpstr>
      <vt:lpstr>Theory Sources</vt:lpstr>
      <vt:lpstr>Trajectory Speed 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2016-09-10T18:56:18Z</dcterms:modified>
</cp:coreProperties>
</file>