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il Joshi\Desktop\"/>
    </mc:Choice>
  </mc:AlternateContent>
  <xr:revisionPtr revIDLastSave="0" documentId="13_ncr:1_{20AFA726-E688-41AD-8FDA-3CC0FF9755C9}" xr6:coauthVersionLast="47" xr6:coauthVersionMax="47" xr10:uidLastSave="{00000000-0000-0000-0000-000000000000}"/>
  <bookViews>
    <workbookView xWindow="-108" yWindow="-108" windowWidth="23256" windowHeight="12456" xr2:uid="{5B28789C-CA5E-42B6-9EE9-7456C32C3D04}"/>
  </bookViews>
  <sheets>
    <sheet name="summary PAGE 1" sheetId="20" r:id="rId1"/>
    <sheet name="TUBE MILL REPORT PAGE 2" sheetId="18" r:id="rId2"/>
  </sheets>
  <definedNames>
    <definedName name="_xlnm.Print_Area" localSheetId="0">'summary PAGE 1'!$A$2:$N$44</definedName>
    <definedName name="_xlnm.Print_Area" localSheetId="1">'TUBE MILL REPORT PAGE 2'!$A$2:$AD$22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0" l="1"/>
  <c r="L5" i="20"/>
  <c r="M29" i="20" l="1"/>
  <c r="M28" i="20"/>
  <c r="M27" i="20"/>
  <c r="M26" i="20"/>
  <c r="L29" i="20"/>
  <c r="L28" i="20"/>
  <c r="L27" i="20"/>
  <c r="L26" i="20"/>
  <c r="D9" i="20"/>
  <c r="M4" i="18"/>
  <c r="H33" i="20" l="1"/>
  <c r="G38" i="20"/>
  <c r="G37" i="20"/>
  <c r="D37" i="20"/>
  <c r="L13" i="20"/>
  <c r="L12" i="20"/>
  <c r="L9" i="20" l="1"/>
  <c r="D33" i="20" l="1"/>
  <c r="D15" i="20"/>
  <c r="L15" i="20"/>
  <c r="D25" i="20" l="1"/>
  <c r="L34" i="20" l="1"/>
  <c r="D6" i="20" l="1"/>
  <c r="C6" i="20"/>
  <c r="R12" i="18" l="1"/>
  <c r="M20" i="18"/>
  <c r="L20" i="18"/>
  <c r="R11" i="18"/>
  <c r="M18" i="18"/>
  <c r="L18" i="18"/>
  <c r="M17" i="18"/>
  <c r="L17" i="18"/>
  <c r="R7" i="18"/>
  <c r="M16" i="18"/>
  <c r="L16" i="18"/>
  <c r="U15" i="18"/>
  <c r="R15" i="18"/>
  <c r="P15" i="18"/>
  <c r="N15" i="18"/>
  <c r="M15" i="18"/>
  <c r="L15" i="18"/>
  <c r="R5" i="18"/>
  <c r="M14" i="18"/>
  <c r="L14" i="18"/>
  <c r="R13" i="18"/>
  <c r="M13" i="18"/>
  <c r="L13" i="18"/>
  <c r="M12" i="18"/>
  <c r="L12" i="18"/>
  <c r="M11" i="18"/>
  <c r="L11" i="18"/>
  <c r="R9" i="18"/>
  <c r="N9" i="18"/>
  <c r="M9" i="18"/>
  <c r="L9" i="18"/>
  <c r="R8" i="18"/>
  <c r="N7" i="18"/>
  <c r="M7" i="18"/>
  <c r="L7" i="18"/>
  <c r="R6" i="18"/>
  <c r="P6" i="18"/>
  <c r="M6" i="18"/>
  <c r="L6" i="18"/>
  <c r="L5" i="18"/>
  <c r="L4" i="18"/>
  <c r="H43" i="20" l="1"/>
  <c r="G43" i="20"/>
  <c r="H23" i="20"/>
  <c r="H17" i="20"/>
  <c r="M34" i="20" l="1"/>
  <c r="L14" i="20" l="1"/>
  <c r="H38" i="20" l="1"/>
  <c r="H29" i="20"/>
  <c r="H4" i="20" l="1"/>
  <c r="H24" i="20" l="1"/>
  <c r="K27" i="20" l="1"/>
  <c r="O6" i="18" l="1"/>
  <c r="M33" i="20" l="1"/>
  <c r="L33" i="20"/>
  <c r="O20" i="18" l="1"/>
  <c r="K39" i="20" l="1"/>
  <c r="R22" i="18" l="1"/>
  <c r="L22" i="18"/>
  <c r="P22" i="18"/>
  <c r="N22" i="18"/>
  <c r="K40" i="20" l="1"/>
  <c r="Q5" i="18" l="1"/>
  <c r="O13" i="18" l="1"/>
  <c r="O16" i="18" l="1"/>
  <c r="H6" i="20" l="1"/>
  <c r="Q9" i="18" l="1"/>
  <c r="H12" i="18" l="1"/>
  <c r="H18" i="18" l="1"/>
  <c r="O14" i="18" l="1"/>
  <c r="O15" i="18" l="1"/>
  <c r="O9" i="18" l="1"/>
  <c r="H14" i="18" l="1"/>
  <c r="H11" i="18" l="1"/>
  <c r="Q10" i="18" l="1"/>
  <c r="O10" i="18"/>
  <c r="H10" i="18"/>
  <c r="J10" i="18" s="1"/>
  <c r="K10" i="18" s="1"/>
  <c r="V10" i="18" l="1"/>
  <c r="S10" i="18"/>
  <c r="K38" i="20" l="1"/>
  <c r="H13" i="18" l="1"/>
  <c r="H15" i="18" l="1"/>
  <c r="Q15" i="18"/>
  <c r="O7" i="18" l="1"/>
  <c r="Q4" i="18"/>
  <c r="O8" i="18" l="1"/>
  <c r="H6" i="18" l="1"/>
  <c r="O11" i="18" l="1"/>
  <c r="F43" i="20" l="1"/>
  <c r="J43" i="20" s="1"/>
  <c r="F42" i="20"/>
  <c r="M22" i="18" l="1"/>
  <c r="Q6" i="18" l="1"/>
  <c r="M9" i="20" l="1"/>
  <c r="J6" i="18"/>
  <c r="H7" i="18"/>
  <c r="J7" i="18" s="1"/>
  <c r="K7" i="18" s="1"/>
  <c r="H8" i="18"/>
  <c r="J8" i="18" s="1"/>
  <c r="H9" i="18"/>
  <c r="J9" i="18" s="1"/>
  <c r="J11" i="18"/>
  <c r="J12" i="18"/>
  <c r="J13" i="18"/>
  <c r="K13" i="18" s="1"/>
  <c r="J14" i="18"/>
  <c r="J15" i="18"/>
  <c r="H16" i="18"/>
  <c r="J16" i="18" s="1"/>
  <c r="H17" i="18"/>
  <c r="J17" i="18" s="1"/>
  <c r="J18" i="18"/>
  <c r="H19" i="18"/>
  <c r="J19" i="18" s="1"/>
  <c r="H20" i="18"/>
  <c r="J20" i="18" s="1"/>
  <c r="H5" i="18"/>
  <c r="J5" i="18" s="1"/>
  <c r="H4" i="18"/>
  <c r="J4" i="18" s="1"/>
  <c r="K4" i="18" s="1"/>
  <c r="V4" i="18" s="1"/>
  <c r="O19" i="18" l="1"/>
  <c r="O18" i="18" l="1"/>
  <c r="Q20" i="18" l="1"/>
  <c r="K20" i="18"/>
  <c r="V20" i="18" s="1"/>
  <c r="S20" i="18" l="1"/>
  <c r="O4" i="18" l="1"/>
  <c r="G6" i="20" l="1"/>
  <c r="Q17" i="18" l="1"/>
  <c r="O17" i="18" l="1"/>
  <c r="D38" i="20" l="1"/>
  <c r="K6" i="18"/>
  <c r="S6" i="18" l="1"/>
  <c r="V6" i="18"/>
  <c r="O5" i="18"/>
  <c r="H11" i="20" l="1"/>
  <c r="Q13" i="18" l="1"/>
  <c r="K31" i="20" l="1"/>
  <c r="L31" i="20" l="1"/>
  <c r="M31" i="20"/>
  <c r="J31" i="20" l="1"/>
  <c r="M15" i="20" l="1"/>
  <c r="M14" i="20"/>
  <c r="M13" i="20"/>
  <c r="M12" i="20"/>
  <c r="M11" i="20"/>
  <c r="O12" i="18" l="1"/>
  <c r="K11" i="18" l="1"/>
  <c r="V11" i="18" s="1"/>
  <c r="S11" i="18" l="1"/>
  <c r="K5" i="18"/>
  <c r="S5" i="18" s="1"/>
  <c r="K8" i="18"/>
  <c r="S8" i="18" s="1"/>
  <c r="K9" i="18"/>
  <c r="K12" i="18"/>
  <c r="S13" i="18"/>
  <c r="K14" i="18"/>
  <c r="K15" i="18"/>
  <c r="S15" i="18" s="1"/>
  <c r="K16" i="18"/>
  <c r="K17" i="18"/>
  <c r="K18" i="18"/>
  <c r="K19" i="18"/>
  <c r="V19" i="18" s="1"/>
  <c r="V16" i="18" l="1"/>
  <c r="S16" i="18"/>
  <c r="V12" i="18"/>
  <c r="S12" i="18"/>
  <c r="S19" i="18"/>
  <c r="V15" i="18"/>
  <c r="V9" i="18"/>
  <c r="S9" i="18"/>
  <c r="V18" i="18"/>
  <c r="S18" i="18"/>
  <c r="V14" i="18"/>
  <c r="S14" i="18"/>
  <c r="V8" i="18"/>
  <c r="S4" i="18"/>
  <c r="V17" i="18"/>
  <c r="S17" i="18"/>
  <c r="V13" i="18"/>
  <c r="V7" i="18"/>
  <c r="S7" i="18"/>
  <c r="Q16" i="18" l="1"/>
  <c r="Q19" i="18" l="1"/>
  <c r="Q18" i="18" l="1"/>
  <c r="J22" i="18" l="1"/>
  <c r="K22" i="18" l="1"/>
  <c r="Q14" i="18" l="1"/>
  <c r="Q12" i="18" l="1"/>
  <c r="Q8" i="18"/>
  <c r="Q7" i="18"/>
  <c r="Q11" i="18" l="1"/>
  <c r="Q22" i="18"/>
  <c r="O22" i="18" l="1"/>
  <c r="V22" i="18"/>
</calcChain>
</file>

<file path=xl/sharedStrings.xml><?xml version="1.0" encoding="utf-8"?>
<sst xmlns="http://schemas.openxmlformats.org/spreadsheetml/2006/main" count="206" uniqueCount="129">
  <si>
    <t>MILL NO</t>
  </si>
  <si>
    <t>GRADE</t>
  </si>
  <si>
    <t>SIZE</t>
  </si>
  <si>
    <t>OD</t>
  </si>
  <si>
    <t>THK</t>
  </si>
  <si>
    <t>LENGTH</t>
  </si>
  <si>
    <t>RL KG</t>
  </si>
  <si>
    <t>RL %</t>
  </si>
  <si>
    <t>SCRAP</t>
  </si>
  <si>
    <t>SCRAP%</t>
  </si>
  <si>
    <t>RUNNING 
COIL STOCK</t>
  </si>
  <si>
    <t>LOAD 
OF DAYS</t>
  </si>
  <si>
    <t>BREAK DOWN MINUTES</t>
  </si>
  <si>
    <t>304/L</t>
  </si>
  <si>
    <t>3/4 NB</t>
  </si>
  <si>
    <t>1 NB</t>
  </si>
  <si>
    <t>1/2 NB</t>
  </si>
  <si>
    <t>2 NB</t>
  </si>
  <si>
    <t>1 1/2 NB</t>
  </si>
  <si>
    <t>TOTAL</t>
  </si>
  <si>
    <t>SLITTING DEPART</t>
  </si>
  <si>
    <t>COIL INWARD SUNMARK</t>
  </si>
  <si>
    <t>CUMULATIVE</t>
  </si>
  <si>
    <t>COIL INWARD SUNRISE</t>
  </si>
  <si>
    <t xml:space="preserve">NO OF COIL </t>
  </si>
  <si>
    <t xml:space="preserve">WEIGHT </t>
  </si>
  <si>
    <t>TODAY</t>
  </si>
  <si>
    <t>PRODUCTION</t>
  </si>
  <si>
    <t>ITEM</t>
  </si>
  <si>
    <t>TODAY USE</t>
  </si>
  <si>
    <t>CUMULATIVE USE</t>
  </si>
  <si>
    <t>ELECTIC UNIT</t>
  </si>
  <si>
    <t xml:space="preserve">ARGON </t>
  </si>
  <si>
    <t>ANN</t>
  </si>
  <si>
    <t>EXPORT</t>
  </si>
  <si>
    <t>ANN LOAD</t>
  </si>
  <si>
    <t>NITROGEN</t>
  </si>
  <si>
    <t>STOCK</t>
  </si>
  <si>
    <t>EMPTY SPACE</t>
  </si>
  <si>
    <t>HF 70% - 1</t>
  </si>
  <si>
    <t>STG</t>
  </si>
  <si>
    <t>STG LOAD</t>
  </si>
  <si>
    <t>HF 70% - 2</t>
  </si>
  <si>
    <t>HF 50%</t>
  </si>
  <si>
    <t>HNO3-2</t>
  </si>
  <si>
    <t>PICKLING DONE</t>
  </si>
  <si>
    <t>LIME</t>
  </si>
  <si>
    <t>UNIT 1</t>
  </si>
  <si>
    <t>AP</t>
  </si>
  <si>
    <t>LDO(78000) 2 tank</t>
  </si>
  <si>
    <t>UNIT 2</t>
  </si>
  <si>
    <t>DISPATCH</t>
  </si>
  <si>
    <t>DOMESTIC</t>
  </si>
  <si>
    <t>TOTAL CUMULATIVE(FINAL)</t>
  </si>
  <si>
    <t xml:space="preserve">TODAY </t>
  </si>
  <si>
    <t>PACKING</t>
  </si>
  <si>
    <t>UNIT-1</t>
  </si>
  <si>
    <t>OPEN ORDER</t>
  </si>
  <si>
    <t>UNIT-2</t>
  </si>
  <si>
    <t>SHIFT</t>
  </si>
  <si>
    <t>DOMESTIC(KGS)</t>
  </si>
  <si>
    <t>4 NB</t>
  </si>
  <si>
    <t>8 NB</t>
  </si>
  <si>
    <t>ITEM/GRADE</t>
  </si>
  <si>
    <t>COIL</t>
  </si>
  <si>
    <t>STOCK SUMMARY TOTAL</t>
  </si>
  <si>
    <t>BEVELING LOAD</t>
  </si>
  <si>
    <t>UP TO 2 1/2 NB</t>
  </si>
  <si>
    <t>3 NB TO 8 NB</t>
  </si>
  <si>
    <t>10 NB &amp; UP</t>
  </si>
  <si>
    <t>3 NB</t>
  </si>
  <si>
    <t>WELDED</t>
  </si>
  <si>
    <t>SEAMLESS</t>
  </si>
  <si>
    <t>1 ST</t>
  </si>
  <si>
    <t>2 ND</t>
  </si>
  <si>
    <t>STG-1 1ST</t>
  </si>
  <si>
    <t>STG-1 2ND</t>
  </si>
  <si>
    <t>STG-2 1ST</t>
  </si>
  <si>
    <t>STG-2 2ND</t>
  </si>
  <si>
    <t>STG-3 1ST</t>
  </si>
  <si>
    <t>STG-3 2ND</t>
  </si>
  <si>
    <t>FINAL 1ST</t>
  </si>
  <si>
    <t>FINAL 2ND</t>
  </si>
  <si>
    <t>EXPORT 1ST</t>
  </si>
  <si>
    <t>EXPORT 2ND</t>
  </si>
  <si>
    <t>DOM 1ST</t>
  </si>
  <si>
    <t>DOM 2ND</t>
  </si>
  <si>
    <t>CONTAINER (NOS)</t>
  </si>
  <si>
    <t>6 NB</t>
  </si>
  <si>
    <t>PROD LOSS</t>
  </si>
  <si>
    <t>MAN POWER</t>
  </si>
  <si>
    <t>RM</t>
  </si>
  <si>
    <t>MAINTANANCE</t>
  </si>
  <si>
    <t>TM PROBLEM</t>
  </si>
  <si>
    <t>POWER OFF</t>
  </si>
  <si>
    <t>REMARKS</t>
  </si>
  <si>
    <t>SIZE CHANGE</t>
  </si>
  <si>
    <t>OPERATOR</t>
  </si>
  <si>
    <t>PICKLING LOAD U-1</t>
  </si>
  <si>
    <t>PICKLING LOAD U-2</t>
  </si>
  <si>
    <t>EXTRA SLIT (PATTA STOCK)</t>
  </si>
  <si>
    <t>DISPATCH DONE</t>
  </si>
  <si>
    <t xml:space="preserve">TODAY PLANNED </t>
  </si>
  <si>
    <t xml:space="preserve"> </t>
  </si>
  <si>
    <t>2 1/2NB</t>
  </si>
  <si>
    <t>4NB</t>
  </si>
  <si>
    <t>BEVELING (PCS)</t>
  </si>
  <si>
    <t xml:space="preserve">DATE :- </t>
  </si>
  <si>
    <t>MILL CAP
PER SHIFT</t>
  </si>
  <si>
    <t>MILL CAP
PER DAY</t>
  </si>
  <si>
    <t>COIL 
WT.</t>
  </si>
  <si>
    <t>FINISH 
WT.</t>
  </si>
  <si>
    <t>1NB</t>
  </si>
  <si>
    <t>SINGLE</t>
  </si>
  <si>
    <t>WEIGHT</t>
  </si>
  <si>
    <t>SPEED MTR / MIN.</t>
  </si>
  <si>
    <t>HNO3-1 &amp; 2</t>
  </si>
  <si>
    <t>RL</t>
  </si>
  <si>
    <t>COIL SCRAP</t>
  </si>
  <si>
    <t>PIPE</t>
  </si>
  <si>
    <t>DAILY INSPECTION QUANTITY</t>
  </si>
  <si>
    <t>OK</t>
  </si>
  <si>
    <t>REJECT</t>
  </si>
  <si>
    <t>%</t>
  </si>
  <si>
    <t xml:space="preserve">   </t>
  </si>
  <si>
    <t>DOUBLE</t>
  </si>
  <si>
    <t>EXPORT (wo23111)</t>
  </si>
  <si>
    <t>12 NB</t>
  </si>
  <si>
    <t>316/L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</si>
</sst>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 Unicode MS"/>
      <family val="2"/>
    </font>
    <font>
      <b/>
      <sz val="14"/>
      <color theme="1"/>
      <name val="Arial Unicode MS"/>
      <family val="2"/>
    </font>
    <font>
      <b/>
      <sz val="16"/>
      <color theme="1"/>
      <name val="Arial Unicode MS"/>
      <family val="2"/>
    </font>
    <font>
      <b/>
      <u/>
      <sz val="16"/>
      <color theme="1"/>
      <name val="Arial Unicode MS"/>
      <family val="2"/>
    </font>
    <font>
      <b/>
      <sz val="15"/>
      <color theme="1"/>
      <name val="Arial Unicode MS"/>
      <family val="2"/>
    </font>
    <font>
      <b/>
      <sz val="18"/>
      <color theme="1"/>
      <name val="Arial Unicode MS"/>
      <family val="2"/>
    </font>
    <font>
      <b/>
      <sz val="20"/>
      <color theme="1"/>
      <name val="Arial Unicode MS"/>
      <family val="2"/>
    </font>
    <font>
      <b/>
      <sz val="22"/>
      <color theme="1"/>
      <name val="Arial Unicode MS"/>
      <family val="2"/>
    </font>
    <font>
      <b/>
      <sz val="20"/>
      <color theme="0"/>
      <name val="Arial Unicode MS"/>
      <family val="2"/>
    </font>
    <font>
      <sz val="18"/>
      <color theme="1"/>
      <name val="Calibri"/>
      <family val="2"/>
      <scheme val="minor"/>
    </font>
    <font>
      <b/>
      <sz val="18"/>
      <name val="Arial Unicode MS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FF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0" fontId="5" fillId="0" borderId="0" xfId="0" applyFont="1"/>
    <xf numFmtId="0" fontId="7" fillId="0" borderId="20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1" fontId="8" fillId="0" borderId="14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2" fontId="8" fillId="0" borderId="23" xfId="0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1" fontId="12" fillId="0" borderId="6" xfId="0" applyNumberFormat="1" applyFont="1" applyBorder="1" applyAlignment="1">
      <alignment horizontal="center" vertical="center"/>
    </xf>
    <xf numFmtId="1" fontId="12" fillId="0" borderId="12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2" fontId="7" fillId="0" borderId="24" xfId="0" applyNumberFormat="1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2" fontId="8" fillId="0" borderId="24" xfId="0" applyNumberFormat="1" applyFont="1" applyBorder="1" applyAlignment="1">
      <alignment horizontal="center" vertical="center" wrapText="1"/>
    </xf>
    <xf numFmtId="2" fontId="8" fillId="4" borderId="24" xfId="0" applyNumberFormat="1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4" borderId="24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11" fillId="0" borderId="22" xfId="0" applyNumberFormat="1" applyFont="1" applyBorder="1" applyAlignment="1">
      <alignment horizontal="center" vertical="center"/>
    </xf>
    <xf numFmtId="2" fontId="11" fillId="0" borderId="22" xfId="0" applyNumberFormat="1" applyFont="1" applyBorder="1" applyAlignment="1">
      <alignment horizontal="center" vertical="center"/>
    </xf>
    <xf numFmtId="164" fontId="11" fillId="0" borderId="22" xfId="0" applyNumberFormat="1" applyFont="1" applyBorder="1" applyAlignment="1">
      <alignment horizontal="center" vertical="center"/>
    </xf>
    <xf numFmtId="1" fontId="11" fillId="4" borderId="22" xfId="0" applyNumberFormat="1" applyFont="1" applyFill="1" applyBorder="1" applyAlignment="1">
      <alignment horizontal="center" vertical="center"/>
    </xf>
    <xf numFmtId="1" fontId="16" fillId="0" borderId="22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" fontId="11" fillId="0" borderId="5" xfId="0" applyNumberFormat="1" applyFont="1" applyBorder="1" applyAlignment="1">
      <alignment horizontal="center" vertical="center"/>
    </xf>
    <xf numFmtId="1" fontId="11" fillId="4" borderId="5" xfId="0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" fontId="11" fillId="0" borderId="10" xfId="0" applyNumberFormat="1" applyFont="1" applyBorder="1" applyAlignment="1">
      <alignment horizontal="center" vertical="center"/>
    </xf>
    <xf numFmtId="1" fontId="11" fillId="4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9" xfId="0" applyBorder="1"/>
    <xf numFmtId="0" fontId="0" fillId="0" borderId="30" xfId="0" applyBorder="1"/>
    <xf numFmtId="0" fontId="0" fillId="0" borderId="30" xfId="0" applyBorder="1" applyAlignment="1">
      <alignment horizontal="center"/>
    </xf>
    <xf numFmtId="0" fontId="0" fillId="0" borderId="31" xfId="0" applyBorder="1"/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17" fillId="0" borderId="0" xfId="0" applyNumberFormat="1" applyFont="1"/>
    <xf numFmtId="0" fontId="18" fillId="0" borderId="0" xfId="0" applyFont="1" applyAlignment="1">
      <alignment horizontal="left"/>
    </xf>
    <xf numFmtId="0" fontId="0" fillId="0" borderId="5" xfId="0" applyBorder="1"/>
    <xf numFmtId="0" fontId="0" fillId="0" borderId="22" xfId="0" applyBorder="1"/>
    <xf numFmtId="0" fontId="0" fillId="0" borderId="21" xfId="0" applyBorder="1"/>
    <xf numFmtId="0" fontId="0" fillId="0" borderId="10" xfId="0" applyBorder="1"/>
    <xf numFmtId="0" fontId="0" fillId="0" borderId="41" xfId="0" applyBorder="1"/>
    <xf numFmtId="0" fontId="0" fillId="0" borderId="42" xfId="0" applyBorder="1"/>
    <xf numFmtId="0" fontId="11" fillId="0" borderId="2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" fontId="19" fillId="0" borderId="22" xfId="0" applyNumberFormat="1" applyFont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2" fontId="8" fillId="4" borderId="23" xfId="0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2" fontId="8" fillId="4" borderId="23" xfId="0" applyNumberFormat="1" applyFont="1" applyFill="1" applyBorder="1" applyAlignment="1">
      <alignment horizontal="center" vertical="center" wrapText="1"/>
    </xf>
    <xf numFmtId="0" fontId="8" fillId="4" borderId="34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14" fontId="11" fillId="0" borderId="29" xfId="0" applyNumberFormat="1" applyFont="1" applyBorder="1" applyAlignment="1">
      <alignment horizontal="left" vertical="center" wrapText="1"/>
    </xf>
    <xf numFmtId="14" fontId="11" fillId="0" borderId="30" xfId="0" applyNumberFormat="1" applyFont="1" applyBorder="1" applyAlignment="1">
      <alignment horizontal="left" vertical="center" wrapText="1"/>
    </xf>
    <xf numFmtId="0" fontId="8" fillId="4" borderId="2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right" vertical="center"/>
    </xf>
    <xf numFmtId="0" fontId="8" fillId="0" borderId="39" xfId="0" applyFont="1" applyBorder="1" applyAlignment="1">
      <alignment horizontal="right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" fontId="12" fillId="0" borderId="9" xfId="0" applyNumberFormat="1" applyFont="1" applyBorder="1" applyAlignment="1">
      <alignment horizontal="center" vertical="center"/>
    </xf>
    <xf numFmtId="1" fontId="12" fillId="0" borderId="2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3E30-A5EB-4DCB-9031-81C297ED1F01}">
  <dimension ref="B1:AB55"/>
  <sheetViews>
    <sheetView tabSelected="1" topLeftCell="B1" zoomScale="70" zoomScaleNormal="70" workbookViewId="0">
      <selection activeCell="P5" sqref="P5:P6"/>
    </sheetView>
  </sheetViews>
  <sheetFormatPr defaultRowHeight="14.4"/>
  <cols>
    <col min="1" max="1" width="1.109375" customWidth="1"/>
    <col min="2" max="2" width="25.6640625" bestFit="1" customWidth="1"/>
    <col min="3" max="3" width="19.33203125" customWidth="1"/>
    <col min="4" max="4" width="29.33203125" bestFit="1" customWidth="1"/>
    <col min="5" max="5" width="1.6640625" customWidth="1"/>
    <col min="6" max="6" width="23.33203125" customWidth="1"/>
    <col min="7" max="7" width="22.109375" customWidth="1"/>
    <col min="8" max="8" width="20.44140625" customWidth="1"/>
    <col min="9" max="9" width="2.109375" customWidth="1"/>
    <col min="10" max="10" width="23.88671875" customWidth="1"/>
    <col min="11" max="11" width="24.109375" customWidth="1"/>
    <col min="12" max="13" width="19.109375" bestFit="1" customWidth="1"/>
    <col min="14" max="14" width="2.109375" customWidth="1"/>
    <col min="15" max="15" width="11.44140625" customWidth="1"/>
    <col min="16" max="16" width="24.5546875" bestFit="1" customWidth="1"/>
    <col min="17" max="17" width="18" customWidth="1"/>
    <col min="18" max="18" width="15.6640625" customWidth="1"/>
    <col min="19" max="19" width="13.88671875" customWidth="1"/>
    <col min="20" max="20" width="13.5546875" customWidth="1"/>
    <col min="21" max="21" width="12.44140625" customWidth="1"/>
    <col min="22" max="22" width="15.5546875" customWidth="1"/>
    <col min="23" max="23" width="15.88671875" customWidth="1"/>
    <col min="24" max="24" width="12.5546875" customWidth="1"/>
    <col min="25" max="25" width="19" customWidth="1"/>
    <col min="26" max="26" width="16.5546875" customWidth="1"/>
    <col min="27" max="28" width="14.5546875" customWidth="1"/>
    <col min="29" max="29" width="96" customWidth="1"/>
  </cols>
  <sheetData>
    <row r="1" spans="2:28" ht="15" thickBot="1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2:28" ht="21.6" thickBot="1">
      <c r="B2" s="19"/>
      <c r="C2" s="20"/>
      <c r="D2" s="20"/>
      <c r="E2" s="20"/>
      <c r="F2" s="20"/>
      <c r="G2" s="20"/>
      <c r="H2" s="20"/>
      <c r="I2" s="20"/>
      <c r="J2" s="20"/>
      <c r="K2" s="21"/>
      <c r="L2" s="21"/>
      <c r="M2" s="21"/>
      <c r="N2" s="22"/>
      <c r="O2" s="3"/>
      <c r="P2" s="3"/>
      <c r="Q2" s="5"/>
      <c r="R2" s="5"/>
      <c r="S2" s="3"/>
      <c r="T2" s="3"/>
      <c r="U2" s="2"/>
      <c r="V2" s="2"/>
      <c r="W2" s="2"/>
      <c r="X2" s="2"/>
      <c r="Y2" s="2"/>
      <c r="Z2" s="2"/>
      <c r="AA2" s="2"/>
      <c r="AB2" s="2"/>
    </row>
    <row r="3" spans="2:28" ht="31.8" thickBot="1">
      <c r="B3" s="161" t="s">
        <v>20</v>
      </c>
      <c r="C3" s="162"/>
      <c r="D3" s="163"/>
      <c r="E3" s="130"/>
      <c r="F3" s="174" t="s">
        <v>21</v>
      </c>
      <c r="G3" s="175"/>
      <c r="H3" s="16" t="s">
        <v>22</v>
      </c>
      <c r="I3" s="130"/>
      <c r="J3" s="145" t="s">
        <v>28</v>
      </c>
      <c r="K3" s="23" t="s">
        <v>29</v>
      </c>
      <c r="L3" s="51" t="s">
        <v>30</v>
      </c>
      <c r="M3" s="131"/>
      <c r="N3" s="24"/>
      <c r="P3" s="6"/>
      <c r="Q3" s="5"/>
      <c r="R3" s="5"/>
      <c r="S3" s="5"/>
      <c r="T3" s="5"/>
      <c r="U3" s="2"/>
      <c r="V3" s="2"/>
      <c r="W3" s="2"/>
      <c r="X3" s="2"/>
      <c r="Y3" s="2"/>
      <c r="Z3" s="2"/>
      <c r="AA3" s="2"/>
      <c r="AB3" s="2"/>
    </row>
    <row r="4" spans="2:28" ht="34.5" customHeight="1" thickBot="1">
      <c r="B4" s="42"/>
      <c r="C4" s="119" t="s">
        <v>24</v>
      </c>
      <c r="D4" s="120" t="s">
        <v>25</v>
      </c>
      <c r="E4" s="130"/>
      <c r="F4" s="52">
        <v>304</v>
      </c>
      <c r="G4" s="66">
        <v>0</v>
      </c>
      <c r="H4" s="59">
        <f>971375+32690</f>
        <v>1004065</v>
      </c>
      <c r="I4" s="130"/>
      <c r="J4" s="25" t="s">
        <v>31</v>
      </c>
      <c r="K4" s="50"/>
      <c r="L4" s="56"/>
      <c r="M4" s="131"/>
      <c r="N4" s="24"/>
      <c r="P4" s="3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28" ht="33" customHeight="1" thickBot="1">
      <c r="B5" s="44" t="s">
        <v>26</v>
      </c>
      <c r="C5" s="118">
        <v>4</v>
      </c>
      <c r="D5" s="73">
        <v>67300</v>
      </c>
      <c r="E5" s="130"/>
      <c r="F5" s="53">
        <v>316</v>
      </c>
      <c r="G5" s="69">
        <v>0</v>
      </c>
      <c r="H5" s="59">
        <v>0</v>
      </c>
      <c r="I5" s="130"/>
      <c r="J5" s="150" t="s">
        <v>32</v>
      </c>
      <c r="K5" s="50">
        <v>343</v>
      </c>
      <c r="L5" s="56">
        <f>315+252+266+322+322+350+378+245+371+301+420+371+322+273+287+364+301+301+287+385+378+364+343</f>
        <v>7518</v>
      </c>
      <c r="M5" s="131"/>
      <c r="N5" s="24"/>
      <c r="P5" s="11"/>
      <c r="Q5" s="2"/>
      <c r="R5" s="2"/>
      <c r="S5" s="4"/>
      <c r="T5" s="4"/>
      <c r="U5" s="2"/>
      <c r="V5" s="2"/>
      <c r="W5" s="11"/>
      <c r="X5" s="2"/>
      <c r="Y5" s="2"/>
      <c r="Z5" s="2"/>
      <c r="AA5" s="2"/>
      <c r="AB5" s="2"/>
    </row>
    <row r="6" spans="2:28" ht="34.5" customHeight="1" thickBot="1">
      <c r="B6" s="115" t="s">
        <v>22</v>
      </c>
      <c r="C6" s="60">
        <f>6+6+3+4+5+4+5+3+5+3+3+7+3+5+4+1+4+3+5+3+3+3+4</f>
        <v>92</v>
      </c>
      <c r="D6" s="61">
        <f>123174+134135+66040+111760+89100+91680+67545+72470+107560+66210+67440+139520+56830+53901+21770+12305+92965+33356+82089+28234+20628+35344+67300</f>
        <v>1641356</v>
      </c>
      <c r="E6" s="130"/>
      <c r="F6" s="54" t="s">
        <v>19</v>
      </c>
      <c r="G6" s="60">
        <f>G4+G5</f>
        <v>0</v>
      </c>
      <c r="H6" s="61">
        <f>H4+H5</f>
        <v>1004065</v>
      </c>
      <c r="I6" s="130"/>
      <c r="J6" s="158" t="s">
        <v>36</v>
      </c>
      <c r="K6" s="57">
        <v>357</v>
      </c>
      <c r="L6" s="58">
        <f>266+301+322+378+287+294+350+224+322+301+413+406+308+196+259+336+231+294+294+294+252+322+357</f>
        <v>7007</v>
      </c>
      <c r="M6" s="131"/>
      <c r="N6" s="29"/>
      <c r="P6" s="11"/>
      <c r="Q6" s="2"/>
      <c r="R6" s="2"/>
      <c r="S6" s="2"/>
      <c r="T6" s="2"/>
      <c r="U6" s="2"/>
      <c r="V6" s="2"/>
      <c r="W6" s="11"/>
      <c r="X6" s="2"/>
      <c r="Y6" s="2"/>
      <c r="Z6" s="2"/>
      <c r="AA6" s="2"/>
      <c r="AB6" s="2"/>
    </row>
    <row r="7" spans="2:28" ht="30" customHeight="1" thickBot="1">
      <c r="B7" s="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1"/>
      <c r="N7" s="24"/>
      <c r="O7" s="3"/>
      <c r="P7" s="11"/>
      <c r="Q7" s="2"/>
      <c r="R7" s="4"/>
      <c r="S7" s="2"/>
      <c r="T7" s="2"/>
      <c r="U7" s="2"/>
      <c r="V7" s="2"/>
      <c r="W7" s="11"/>
      <c r="X7" s="2"/>
      <c r="Y7" s="4"/>
      <c r="Z7" s="2"/>
      <c r="AA7" s="2"/>
      <c r="AB7" s="2"/>
    </row>
    <row r="8" spans="2:28" ht="35.4" thickBot="1">
      <c r="B8" s="152" t="s">
        <v>27</v>
      </c>
      <c r="C8" s="31" t="s">
        <v>26</v>
      </c>
      <c r="D8" s="62">
        <v>69984</v>
      </c>
      <c r="E8" s="130"/>
      <c r="F8" s="161" t="s">
        <v>23</v>
      </c>
      <c r="G8" s="163"/>
      <c r="H8" s="16" t="s">
        <v>22</v>
      </c>
      <c r="I8" s="130"/>
      <c r="J8" s="32" t="s">
        <v>28</v>
      </c>
      <c r="K8" s="23" t="s">
        <v>29</v>
      </c>
      <c r="L8" s="23" t="s">
        <v>37</v>
      </c>
      <c r="M8" s="18" t="s">
        <v>38</v>
      </c>
      <c r="N8" s="24"/>
      <c r="P8" s="11"/>
      <c r="Q8" s="2"/>
      <c r="R8" s="2"/>
      <c r="S8" s="2"/>
      <c r="T8" s="2"/>
      <c r="U8" s="2"/>
      <c r="V8" s="2"/>
      <c r="W8" s="11"/>
      <c r="X8" s="2"/>
      <c r="Y8" s="4"/>
      <c r="Z8" s="2"/>
      <c r="AA8" s="2"/>
      <c r="AB8" s="2"/>
    </row>
    <row r="9" spans="2:28" ht="33" customHeight="1" thickBot="1">
      <c r="B9" s="169" t="s">
        <v>22</v>
      </c>
      <c r="C9" s="170"/>
      <c r="D9" s="63">
        <f>51778+47643+50232+47862+54030+55757+53699+52400+62004+64054+64735+62191+46879+46960+40055+46861+51201+55765+63390+63571+70303+66329+69984</f>
        <v>1287683</v>
      </c>
      <c r="E9" s="130"/>
      <c r="F9" s="65">
        <v>304</v>
      </c>
      <c r="G9" s="66">
        <v>0</v>
      </c>
      <c r="H9" s="67">
        <v>0</v>
      </c>
      <c r="I9" s="130"/>
      <c r="J9" s="154" t="s">
        <v>39</v>
      </c>
      <c r="K9" s="50">
        <v>480</v>
      </c>
      <c r="L9" s="176">
        <f>80960-600-360-300-420-360-420-420-360-420-120-360-360-600+43200-420-420-360-360-120-300-480-600-420-600-420-600-480-600-600-600-600-600-600-600-600-600-600-600-600-600-600-600-600-480-600-480-600</f>
        <v>101720</v>
      </c>
      <c r="M9" s="178">
        <f>40000-L9</f>
        <v>-61720</v>
      </c>
      <c r="N9" s="24"/>
      <c r="P9" s="11"/>
      <c r="Q9" s="2"/>
      <c r="R9" s="2"/>
      <c r="S9" s="2"/>
      <c r="T9" s="2"/>
      <c r="U9" s="2"/>
      <c r="V9" s="2"/>
      <c r="W9" s="11"/>
      <c r="X9" s="2"/>
      <c r="Y9" s="4"/>
      <c r="Z9" s="2"/>
      <c r="AA9" s="2"/>
      <c r="AB9" s="2"/>
    </row>
    <row r="10" spans="2:28" ht="30" customHeight="1" thickBot="1">
      <c r="B10" s="30"/>
      <c r="C10" s="130"/>
      <c r="D10" s="132"/>
      <c r="E10" s="130"/>
      <c r="F10" s="68">
        <v>316</v>
      </c>
      <c r="G10" s="69">
        <v>0</v>
      </c>
      <c r="H10" s="59">
        <v>0</v>
      </c>
      <c r="I10" s="130"/>
      <c r="J10" s="154" t="s">
        <v>42</v>
      </c>
      <c r="K10" s="50">
        <v>600</v>
      </c>
      <c r="L10" s="177"/>
      <c r="M10" s="179"/>
      <c r="N10" s="24"/>
      <c r="P10" s="11"/>
      <c r="Q10" s="2"/>
      <c r="R10" s="2"/>
      <c r="S10" s="2"/>
      <c r="T10" s="2"/>
      <c r="U10" s="2"/>
      <c r="V10" s="2"/>
      <c r="W10" s="1"/>
      <c r="X10" s="2"/>
      <c r="Y10" s="4"/>
      <c r="Z10" s="2"/>
      <c r="AA10" s="2"/>
      <c r="AB10" s="2"/>
    </row>
    <row r="11" spans="2:28" ht="30" customHeight="1" thickBot="1">
      <c r="B11" s="157" t="s">
        <v>35</v>
      </c>
      <c r="C11" s="71">
        <v>88745</v>
      </c>
      <c r="D11" s="132"/>
      <c r="E11" s="130"/>
      <c r="F11" s="70" t="s">
        <v>19</v>
      </c>
      <c r="G11" s="60">
        <v>0</v>
      </c>
      <c r="H11" s="61">
        <f>H10+H9</f>
        <v>0</v>
      </c>
      <c r="I11" s="130"/>
      <c r="J11" s="37" t="s">
        <v>43</v>
      </c>
      <c r="K11" s="50"/>
      <c r="L11" s="50"/>
      <c r="M11" s="74">
        <f>15000-L11</f>
        <v>15000</v>
      </c>
      <c r="N11" s="24"/>
      <c r="P11" s="11"/>
      <c r="Q11" s="2"/>
      <c r="R11" s="2"/>
      <c r="S11" s="2"/>
      <c r="T11" s="2"/>
      <c r="U11" s="2"/>
      <c r="V11" s="2"/>
      <c r="W11" s="1"/>
      <c r="X11" s="2"/>
      <c r="Y11" s="4"/>
      <c r="Z11" s="2"/>
      <c r="AA11" s="2"/>
      <c r="AB11" s="2"/>
    </row>
    <row r="12" spans="2:28" ht="30" customHeight="1" thickBot="1">
      <c r="B12" s="30"/>
      <c r="C12" s="130"/>
      <c r="D12" s="130"/>
      <c r="E12" s="130"/>
      <c r="F12" s="130"/>
      <c r="G12" s="130"/>
      <c r="H12" s="130"/>
      <c r="I12" s="130"/>
      <c r="J12" s="154" t="s">
        <v>116</v>
      </c>
      <c r="K12" s="50">
        <v>600</v>
      </c>
      <c r="L12" s="50">
        <f>17140-450-375-450-450-525-525-450-525-450-600-600-525-450-450-375-600-450-525-600-750+10410-600-600</f>
        <v>16225</v>
      </c>
      <c r="M12" s="74">
        <f>30000-L12</f>
        <v>13775</v>
      </c>
      <c r="N12" s="24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2:28" ht="47.25" customHeight="1" thickBot="1">
      <c r="B13" s="145" t="s">
        <v>33</v>
      </c>
      <c r="C13" s="23" t="s">
        <v>73</v>
      </c>
      <c r="D13" s="38">
        <v>24489</v>
      </c>
      <c r="E13" s="130"/>
      <c r="F13" s="145" t="s">
        <v>55</v>
      </c>
      <c r="G13" s="83" t="s">
        <v>83</v>
      </c>
      <c r="H13" s="72">
        <v>20373</v>
      </c>
      <c r="I13" s="130"/>
      <c r="J13" s="154" t="s">
        <v>44</v>
      </c>
      <c r="K13" s="50">
        <v>750</v>
      </c>
      <c r="L13" s="50">
        <f>22707-750-750-750-750-750-750-750-750-750-750-750-750-750-750-750-750-750-750+10410-750-750-750-750</f>
        <v>16617</v>
      </c>
      <c r="M13" s="74">
        <f>22000-L13</f>
        <v>5383</v>
      </c>
      <c r="N13" s="24"/>
      <c r="O13" s="3"/>
      <c r="P13" s="3"/>
      <c r="Q13" s="3"/>
      <c r="R13" s="2"/>
      <c r="S13" s="2"/>
      <c r="T13" s="2"/>
      <c r="U13" s="2"/>
      <c r="V13" s="2"/>
      <c r="W13" s="3"/>
      <c r="X13" s="2"/>
      <c r="Y13" s="2"/>
      <c r="Z13" s="2"/>
      <c r="AA13" s="2"/>
      <c r="AB13" s="2"/>
    </row>
    <row r="14" spans="2:28" ht="25.2" thickBot="1">
      <c r="B14" s="27"/>
      <c r="C14" s="35" t="s">
        <v>74</v>
      </c>
      <c r="D14" s="39">
        <v>22794</v>
      </c>
      <c r="E14" s="130"/>
      <c r="F14" s="37" t="s">
        <v>56</v>
      </c>
      <c r="G14" s="83" t="s">
        <v>84</v>
      </c>
      <c r="H14" s="72"/>
      <c r="I14" s="130"/>
      <c r="J14" s="154" t="s">
        <v>46</v>
      </c>
      <c r="K14" s="50">
        <v>0</v>
      </c>
      <c r="L14" s="50">
        <f>13195-1575-980-770-630-665-1120-665-770-665-560-665-490-315-560-525-560-350-315-210-420-210-1050-595-350</f>
        <v>-1820</v>
      </c>
      <c r="M14" s="74">
        <f>50000-L14</f>
        <v>51820</v>
      </c>
      <c r="N14" s="24"/>
      <c r="O14" s="3"/>
      <c r="P14" s="10"/>
      <c r="Q14" s="10"/>
      <c r="R14" s="10"/>
      <c r="S14" s="10"/>
      <c r="T14" s="7"/>
      <c r="U14" s="2"/>
      <c r="V14" s="2"/>
      <c r="W14" s="10"/>
      <c r="X14" s="10"/>
      <c r="Y14" s="10"/>
      <c r="Z14" s="10"/>
      <c r="AA14" s="2"/>
      <c r="AB14" s="2"/>
    </row>
    <row r="15" spans="2:28" ht="50.25" customHeight="1" thickBot="1">
      <c r="B15" s="169" t="s">
        <v>22</v>
      </c>
      <c r="C15" s="170"/>
      <c r="D15" s="28">
        <f>27393+35424+43343+47283</f>
        <v>153443</v>
      </c>
      <c r="E15" s="130"/>
      <c r="F15" s="37" t="s">
        <v>56</v>
      </c>
      <c r="G15" s="26" t="s">
        <v>85</v>
      </c>
      <c r="H15" s="72">
        <v>9010</v>
      </c>
      <c r="I15" s="130"/>
      <c r="J15" s="155" t="s">
        <v>49</v>
      </c>
      <c r="K15" s="57">
        <v>3150</v>
      </c>
      <c r="L15" s="57">
        <f>19558-2141-3395-2753-1835-2386-3150</f>
        <v>3898</v>
      </c>
      <c r="M15" s="75">
        <f>79000-L15</f>
        <v>75102</v>
      </c>
      <c r="N15" s="24"/>
      <c r="O15" s="3"/>
      <c r="P15" s="1"/>
      <c r="Q15" s="1"/>
      <c r="R15" s="1"/>
      <c r="S15" s="1"/>
      <c r="T15" s="1"/>
      <c r="U15" s="2"/>
      <c r="V15" s="2"/>
      <c r="W15" s="1"/>
      <c r="X15" s="1"/>
      <c r="Y15" s="1"/>
      <c r="Z15" s="1"/>
      <c r="AA15" s="2"/>
      <c r="AB15" s="2"/>
    </row>
    <row r="16" spans="2:28" ht="33" customHeight="1" thickBot="1">
      <c r="B16" s="30"/>
      <c r="C16" s="130"/>
      <c r="D16" s="130" t="s">
        <v>103</v>
      </c>
      <c r="E16" s="130"/>
      <c r="F16" s="27" t="s">
        <v>56</v>
      </c>
      <c r="G16" s="35" t="s">
        <v>86</v>
      </c>
      <c r="H16" s="73"/>
      <c r="I16" s="130"/>
      <c r="J16" s="130"/>
      <c r="K16" s="130"/>
      <c r="L16" s="130"/>
      <c r="M16" s="130"/>
      <c r="N16" s="24"/>
      <c r="O16" s="3"/>
      <c r="P16" s="1"/>
      <c r="Q16" s="1"/>
      <c r="R16" s="1"/>
      <c r="S16" s="1"/>
      <c r="T16" s="1"/>
      <c r="U16" s="2"/>
      <c r="V16" s="2"/>
      <c r="W16" s="1"/>
      <c r="X16" s="1"/>
      <c r="Y16" s="1"/>
      <c r="Z16" s="1"/>
      <c r="AA16" s="2"/>
      <c r="AB16" s="2"/>
    </row>
    <row r="17" spans="2:28" ht="35.25" customHeight="1" thickBot="1">
      <c r="B17" s="157" t="s">
        <v>41</v>
      </c>
      <c r="C17" s="36">
        <v>150952</v>
      </c>
      <c r="D17" s="130"/>
      <c r="E17" s="130"/>
      <c r="F17" s="115" t="s">
        <v>56</v>
      </c>
      <c r="G17" s="116" t="s">
        <v>22</v>
      </c>
      <c r="H17" s="61">
        <f>28311+23317+28056+24336+15404+1920+4800+9968+526+2703+7279+1627+1261+848+2643+4246+1244+5910+9264+2699+26712+29383</f>
        <v>232457</v>
      </c>
      <c r="I17" s="130"/>
      <c r="J17" s="168" t="s">
        <v>106</v>
      </c>
      <c r="K17" s="26" t="s">
        <v>26</v>
      </c>
      <c r="L17" s="26">
        <v>0</v>
      </c>
      <c r="M17" s="130"/>
      <c r="N17" s="24"/>
      <c r="O17" s="3"/>
      <c r="P17" s="1"/>
      <c r="Q17" s="1"/>
      <c r="R17" s="1"/>
      <c r="S17" s="1"/>
      <c r="T17" s="1"/>
      <c r="U17" s="2"/>
      <c r="V17" s="2"/>
      <c r="W17" s="1"/>
      <c r="X17" s="1"/>
      <c r="Y17" s="1"/>
      <c r="Z17" s="1"/>
      <c r="AA17" s="2"/>
      <c r="AB17" s="2"/>
    </row>
    <row r="18" spans="2:28" ht="30" customHeight="1" thickBot="1">
      <c r="B18" s="30"/>
      <c r="C18" s="130"/>
      <c r="D18" s="130"/>
      <c r="E18" s="130"/>
      <c r="F18" s="25"/>
      <c r="G18" s="33"/>
      <c r="H18" s="34"/>
      <c r="I18" s="130"/>
      <c r="J18" s="168"/>
      <c r="K18" s="26" t="s">
        <v>22</v>
      </c>
      <c r="L18" s="26">
        <v>0</v>
      </c>
      <c r="M18" s="130"/>
      <c r="N18" s="24"/>
      <c r="O18" s="3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 ht="42.6" thickBot="1">
      <c r="B19" s="145" t="s">
        <v>40</v>
      </c>
      <c r="C19" s="23" t="s">
        <v>75</v>
      </c>
      <c r="D19" s="72">
        <v>16663</v>
      </c>
      <c r="E19" s="133"/>
      <c r="F19" s="37" t="s">
        <v>58</v>
      </c>
      <c r="G19" s="83" t="s">
        <v>83</v>
      </c>
      <c r="H19" s="76">
        <v>29938</v>
      </c>
      <c r="I19" s="130"/>
      <c r="J19" s="168"/>
      <c r="K19" s="117" t="s">
        <v>66</v>
      </c>
      <c r="L19" s="41">
        <v>0</v>
      </c>
      <c r="M19" s="130"/>
      <c r="N19" s="24"/>
      <c r="O19" s="3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 ht="28.8" thickBot="1">
      <c r="B20" s="42"/>
      <c r="C20" s="43" t="s">
        <v>76</v>
      </c>
      <c r="D20" s="58">
        <v>0</v>
      </c>
      <c r="E20" s="133"/>
      <c r="F20" s="37" t="s">
        <v>58</v>
      </c>
      <c r="G20" s="83" t="s">
        <v>84</v>
      </c>
      <c r="H20" s="76"/>
      <c r="I20" s="130"/>
      <c r="J20" s="168"/>
      <c r="K20" s="26" t="s">
        <v>67</v>
      </c>
      <c r="L20" s="41">
        <v>0</v>
      </c>
      <c r="M20" s="130"/>
      <c r="N20" s="24"/>
      <c r="O20" s="3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 ht="28.2">
      <c r="B21" s="32"/>
      <c r="C21" s="23" t="s">
        <v>77</v>
      </c>
      <c r="D21" s="72">
        <v>6018</v>
      </c>
      <c r="E21" s="130"/>
      <c r="F21" s="37" t="s">
        <v>58</v>
      </c>
      <c r="G21" s="26" t="s">
        <v>85</v>
      </c>
      <c r="H21" s="76">
        <v>18293</v>
      </c>
      <c r="I21" s="130"/>
      <c r="J21" s="168"/>
      <c r="K21" s="26" t="s">
        <v>68</v>
      </c>
      <c r="L21" s="41">
        <v>0</v>
      </c>
      <c r="M21" s="130"/>
      <c r="N21" s="24"/>
      <c r="O21" s="3"/>
      <c r="Q21" s="2"/>
      <c r="R21" s="2"/>
      <c r="S21" s="2"/>
      <c r="T21" s="2"/>
      <c r="U21" s="2"/>
      <c r="V21" s="2"/>
      <c r="AA21" s="2"/>
      <c r="AB21" s="2"/>
    </row>
    <row r="22" spans="2:28" ht="30" customHeight="1" thickBot="1">
      <c r="B22" s="40"/>
      <c r="C22" s="43" t="s">
        <v>78</v>
      </c>
      <c r="D22" s="58">
        <v>0</v>
      </c>
      <c r="E22" s="133"/>
      <c r="F22" s="27" t="s">
        <v>58</v>
      </c>
      <c r="G22" s="35" t="s">
        <v>86</v>
      </c>
      <c r="H22" s="77"/>
      <c r="I22" s="130"/>
      <c r="J22" s="168"/>
      <c r="K22" s="26" t="s">
        <v>69</v>
      </c>
      <c r="L22" s="41">
        <v>0</v>
      </c>
      <c r="M22" s="131"/>
      <c r="N22" s="24"/>
      <c r="O22" s="3"/>
      <c r="P22" s="9"/>
      <c r="Q22" s="2"/>
      <c r="R22" s="2"/>
      <c r="S22" s="11"/>
      <c r="T22" s="12"/>
      <c r="U22" s="2"/>
      <c r="V22" s="2"/>
      <c r="W22" s="9"/>
      <c r="X22" s="8"/>
      <c r="Y22" s="8"/>
      <c r="Z22" s="8"/>
      <c r="AA22" s="2"/>
      <c r="AB22" s="2"/>
    </row>
    <row r="23" spans="2:28" ht="30" customHeight="1" thickBot="1">
      <c r="B23" s="44"/>
      <c r="C23" s="33" t="s">
        <v>79</v>
      </c>
      <c r="D23" s="67">
        <v>7842</v>
      </c>
      <c r="E23" s="130"/>
      <c r="F23" s="115" t="s">
        <v>58</v>
      </c>
      <c r="G23" s="17" t="s">
        <v>22</v>
      </c>
      <c r="H23" s="78">
        <f>44651+54703+24211+54306+34694+36143+42237+48165+38861+50080+42737+49927+62800+44794+33085+34897+46377+40567+43882+53108+52889+54660+48231</f>
        <v>1036005</v>
      </c>
      <c r="I23" s="130"/>
      <c r="J23" s="130"/>
      <c r="K23" s="130"/>
      <c r="L23" s="130"/>
      <c r="M23" s="131"/>
      <c r="N23" s="24"/>
      <c r="P23" s="3"/>
      <c r="Q23" s="2"/>
      <c r="R23" s="2"/>
      <c r="S23" s="11"/>
      <c r="T23" s="12"/>
      <c r="U23" s="2"/>
      <c r="V23" s="2"/>
      <c r="W23" s="3"/>
      <c r="X23" s="3"/>
      <c r="Y23" s="3"/>
      <c r="Z23" s="3"/>
      <c r="AA23" s="2"/>
      <c r="AB23" s="2"/>
    </row>
    <row r="24" spans="2:28" ht="38.25" customHeight="1" thickBot="1">
      <c r="B24" s="27"/>
      <c r="C24" s="35" t="s">
        <v>80</v>
      </c>
      <c r="D24" s="59">
        <v>19747</v>
      </c>
      <c r="E24" s="133"/>
      <c r="F24" s="166" t="s">
        <v>53</v>
      </c>
      <c r="G24" s="167"/>
      <c r="H24" s="78">
        <f>H23+H17</f>
        <v>1268462</v>
      </c>
      <c r="I24" s="130"/>
      <c r="J24" s="171" t="s">
        <v>65</v>
      </c>
      <c r="K24" s="172"/>
      <c r="L24" s="172"/>
      <c r="M24" s="173"/>
      <c r="N24" s="24"/>
      <c r="O24" s="3"/>
      <c r="P24" s="2"/>
      <c r="Q24" s="2"/>
      <c r="R24" s="2"/>
      <c r="S24" s="2"/>
      <c r="T24" s="4"/>
      <c r="U24" s="2"/>
      <c r="V24" s="2"/>
      <c r="W24" s="2"/>
      <c r="X24" s="3"/>
      <c r="Y24" s="2"/>
      <c r="Z24" s="2"/>
      <c r="AA24" s="2"/>
      <c r="AB24" s="2"/>
    </row>
    <row r="25" spans="2:28" ht="36.75" customHeight="1" thickBot="1">
      <c r="B25" s="169" t="s">
        <v>22</v>
      </c>
      <c r="C25" s="170"/>
      <c r="D25" s="61">
        <f>30385+39941+33949+36241+36094+26521+16004+27340+24780+25028+27854+26174+13109+25401+19465+10932+18999+9381+23666+24477+26217+19600+31764+50270</f>
        <v>623592</v>
      </c>
      <c r="E25" s="130"/>
      <c r="F25" s="130" t="s">
        <v>103</v>
      </c>
      <c r="G25" s="130"/>
      <c r="H25" s="130"/>
      <c r="I25" s="130"/>
      <c r="J25" s="42" t="s">
        <v>63</v>
      </c>
      <c r="K25" s="80">
        <v>202</v>
      </c>
      <c r="L25" s="80">
        <v>304</v>
      </c>
      <c r="M25" s="81">
        <v>316</v>
      </c>
      <c r="N25" s="24"/>
      <c r="O25" s="3"/>
      <c r="P25" s="3"/>
      <c r="Q25" s="2"/>
      <c r="R25" s="2"/>
      <c r="S25" s="2"/>
      <c r="T25" s="4"/>
      <c r="U25" s="2"/>
      <c r="V25" s="2"/>
      <c r="W25" s="2"/>
      <c r="X25" s="2"/>
      <c r="Y25" s="2"/>
      <c r="Z25" s="2"/>
      <c r="AA25" s="2"/>
      <c r="AB25" s="2"/>
    </row>
    <row r="26" spans="2:28" ht="30" customHeight="1" thickBot="1">
      <c r="B26" s="30"/>
      <c r="C26" s="130"/>
      <c r="D26" s="130"/>
      <c r="E26" s="130"/>
      <c r="F26" s="130"/>
      <c r="G26" s="130"/>
      <c r="H26" s="130"/>
      <c r="I26" s="130"/>
      <c r="J26" s="25" t="s">
        <v>64</v>
      </c>
      <c r="K26" s="66"/>
      <c r="L26" s="66">
        <f>2254790-51201-282-153-55765-94-73-572-1771-728-279-63392-286-141-461-63571-313-159-70303-392-261-349-47-58323-288-151-396-42021-495-103</f>
        <v>1842420</v>
      </c>
      <c r="M26" s="67">
        <f>442887-36-155-8330-12128-11070-14-9-5780-60-34-3158-30-24-101-460-332-9813-4282-186-6-1598-15-10-3399-16-5-4396-66-24-105-420-8006-12-25-27963-59-41</f>
        <v>340719</v>
      </c>
      <c r="N26" s="24"/>
      <c r="O26" s="3"/>
      <c r="P26" s="3"/>
      <c r="Q26" s="2"/>
      <c r="R26" s="2"/>
      <c r="S26" s="2"/>
      <c r="T26" s="4"/>
      <c r="U26" s="2"/>
      <c r="V26" s="2"/>
      <c r="W26" s="2"/>
      <c r="X26" s="2"/>
      <c r="Y26" s="2"/>
      <c r="Z26" s="2"/>
      <c r="AA26" s="2"/>
      <c r="AB26" s="2"/>
    </row>
    <row r="27" spans="2:28" ht="34.5" customHeight="1" thickBot="1">
      <c r="B27" s="161" t="s">
        <v>98</v>
      </c>
      <c r="C27" s="163"/>
      <c r="D27" s="71">
        <v>182857</v>
      </c>
      <c r="E27" s="130"/>
      <c r="F27" s="161" t="s">
        <v>87</v>
      </c>
      <c r="G27" s="162"/>
      <c r="H27" s="163"/>
      <c r="I27" s="130"/>
      <c r="J27" s="37" t="s">
        <v>119</v>
      </c>
      <c r="K27" s="50">
        <f>1210</f>
        <v>1210</v>
      </c>
      <c r="L27" s="50">
        <f>1945633-57451+14160-1654+51201-85575-43536+55765-14414-17334+3940-4962+63392-30226+63571+10500+70303-32925-29450+11540+58323+36800-39323+42021</f>
        <v>2070299</v>
      </c>
      <c r="M27" s="56">
        <f>611948-8399-460-4900-2023-1123-1352+8006-6311+29693</f>
        <v>625079</v>
      </c>
      <c r="N27" s="24"/>
      <c r="O27" s="3"/>
      <c r="P27" s="3"/>
      <c r="Q27" s="2"/>
      <c r="R27" s="2"/>
      <c r="S27" s="2"/>
      <c r="T27" s="4"/>
      <c r="U27" s="2"/>
      <c r="V27" s="2"/>
      <c r="W27" s="2"/>
      <c r="X27" s="2"/>
      <c r="Y27" s="2"/>
      <c r="Z27" s="2"/>
      <c r="AA27" s="2"/>
      <c r="AB27" s="2"/>
    </row>
    <row r="28" spans="2:28" ht="42.6" thickBot="1">
      <c r="B28" s="161" t="s">
        <v>99</v>
      </c>
      <c r="C28" s="163"/>
      <c r="D28" s="71">
        <v>110105</v>
      </c>
      <c r="E28" s="130"/>
      <c r="F28" s="84" t="s">
        <v>101</v>
      </c>
      <c r="G28" s="45" t="s">
        <v>102</v>
      </c>
      <c r="H28" s="46" t="s">
        <v>19</v>
      </c>
      <c r="I28" s="130"/>
      <c r="J28" s="27" t="s">
        <v>117</v>
      </c>
      <c r="K28" s="69"/>
      <c r="L28" s="69">
        <f>11300+282+94+286-4630+313+392+288+495</f>
        <v>8820</v>
      </c>
      <c r="M28" s="59">
        <f>1310+77+76+34+117+128+12+95-1371+14+60+30+186+15+16+66+12+59</f>
        <v>936</v>
      </c>
      <c r="N28" s="24"/>
      <c r="O28" s="3"/>
      <c r="P28" s="3"/>
      <c r="Q28" s="2"/>
      <c r="R28" s="2"/>
      <c r="S28" s="2"/>
      <c r="T28" s="4"/>
      <c r="U28" s="2"/>
      <c r="V28" s="2"/>
      <c r="W28" s="2"/>
      <c r="X28" s="2"/>
      <c r="Y28" s="2"/>
      <c r="Z28" s="2"/>
      <c r="AA28" s="2"/>
      <c r="AB28" s="2"/>
    </row>
    <row r="29" spans="2:28" ht="30" customHeight="1" thickBot="1">
      <c r="B29" s="30"/>
      <c r="C29" s="130"/>
      <c r="D29" s="130"/>
      <c r="E29" s="130"/>
      <c r="F29" s="79">
        <v>0</v>
      </c>
      <c r="G29" s="57">
        <v>0</v>
      </c>
      <c r="H29" s="75">
        <f>3+1+1+1+2+2+1+5+4+5+3+3+5+2</f>
        <v>38</v>
      </c>
      <c r="I29" s="130"/>
      <c r="J29" s="40" t="s">
        <v>8</v>
      </c>
      <c r="K29" s="57"/>
      <c r="L29" s="57">
        <f>7268+264+195+134+88+172+139+97+105+23+51+127+130+103+119+270+103+45+162+101+158+68+106+227+126+71+187+125+149+235+29+199+93+180+115+298+132+119+153+73+141+159-3680+261+151+103</f>
        <v>9674</v>
      </c>
      <c r="M29" s="58">
        <f>4863+25+25+9+5+16+196+20+30+19+4+9+34+24+6+10+5+24+25+41</f>
        <v>5390</v>
      </c>
      <c r="N29" s="24"/>
      <c r="O29" s="3"/>
      <c r="P29" s="3"/>
      <c r="Q29" s="2"/>
      <c r="R29" s="2"/>
      <c r="S29" s="2"/>
      <c r="T29" s="4"/>
      <c r="U29" s="3"/>
      <c r="V29" s="3"/>
      <c r="W29" s="3"/>
      <c r="X29" s="3"/>
      <c r="Y29" s="3"/>
      <c r="Z29" s="3"/>
      <c r="AA29" s="3"/>
      <c r="AB29" s="3"/>
    </row>
    <row r="30" spans="2:28" ht="30" customHeight="1" thickBot="1">
      <c r="B30" s="156" t="s">
        <v>45</v>
      </c>
      <c r="C30" s="23" t="s">
        <v>81</v>
      </c>
      <c r="D30" s="72">
        <v>25046</v>
      </c>
      <c r="E30" s="130"/>
      <c r="F30" s="130"/>
      <c r="G30" s="130"/>
      <c r="H30" s="130"/>
      <c r="I30" s="130"/>
      <c r="J30" s="130"/>
      <c r="K30" s="130"/>
      <c r="L30" s="130"/>
      <c r="M30" s="130"/>
      <c r="N30" s="24"/>
      <c r="O30" s="3"/>
      <c r="Q30" s="2"/>
      <c r="R30" s="2"/>
      <c r="S30" s="2"/>
      <c r="T30" s="4"/>
      <c r="U30" s="2"/>
      <c r="V30" s="2"/>
      <c r="W30" s="2"/>
      <c r="X30" s="2"/>
      <c r="Y30" s="2"/>
      <c r="Z30" s="2"/>
      <c r="AA30" s="2"/>
      <c r="AB30" s="2"/>
    </row>
    <row r="31" spans="2:28" ht="30" customHeight="1" thickBot="1">
      <c r="B31" s="37" t="s">
        <v>47</v>
      </c>
      <c r="C31" s="26" t="s">
        <v>82</v>
      </c>
      <c r="D31" s="56"/>
      <c r="E31" s="130"/>
      <c r="F31" s="161" t="s">
        <v>60</v>
      </c>
      <c r="G31" s="162"/>
      <c r="H31" s="163"/>
      <c r="I31" s="130"/>
      <c r="J31" s="82">
        <f>SUM(K31:M31)</f>
        <v>4904547</v>
      </c>
      <c r="K31" s="60">
        <f>SUM(K26:K30)</f>
        <v>1210</v>
      </c>
      <c r="L31" s="60">
        <f>SUM(L26:L30)</f>
        <v>3931213</v>
      </c>
      <c r="M31" s="61">
        <f>SUM(M26:M30)</f>
        <v>972124</v>
      </c>
      <c r="N31" s="24"/>
      <c r="O31" s="3"/>
      <c r="P31" s="3"/>
      <c r="Q31" s="2"/>
      <c r="R31" s="2"/>
      <c r="S31" s="2"/>
      <c r="T31" s="4"/>
      <c r="U31" s="2"/>
      <c r="V31" s="2"/>
      <c r="W31" s="2"/>
      <c r="X31" s="2"/>
      <c r="Y31" s="2"/>
      <c r="Z31" s="2"/>
      <c r="AA31" s="2"/>
      <c r="AB31" s="2"/>
    </row>
    <row r="32" spans="2:28" ht="42.6" thickBot="1">
      <c r="B32" s="27" t="s">
        <v>47</v>
      </c>
      <c r="C32" s="35" t="s">
        <v>48</v>
      </c>
      <c r="D32" s="59">
        <v>0</v>
      </c>
      <c r="E32" s="130"/>
      <c r="F32" s="84" t="s">
        <v>101</v>
      </c>
      <c r="G32" s="45" t="s">
        <v>102</v>
      </c>
      <c r="H32" s="46" t="s">
        <v>19</v>
      </c>
      <c r="I32" s="130"/>
      <c r="J32" s="130"/>
      <c r="K32" s="130"/>
      <c r="L32" s="130"/>
      <c r="M32" s="130"/>
      <c r="N32" s="24"/>
      <c r="O32" s="3"/>
      <c r="P32" s="3"/>
      <c r="Q32" s="2"/>
      <c r="R32" s="2"/>
      <c r="S32" s="2"/>
      <c r="T32" s="4"/>
      <c r="U32" s="2"/>
      <c r="V32" s="2"/>
      <c r="W32" s="2"/>
      <c r="X32" s="2"/>
      <c r="Y32" s="2"/>
      <c r="Z32" s="2"/>
      <c r="AA32" s="2"/>
      <c r="AB32" s="2"/>
    </row>
    <row r="33" spans="2:28" ht="39.75" customHeight="1" thickBot="1">
      <c r="B33" s="115" t="s">
        <v>47</v>
      </c>
      <c r="C33" s="17" t="s">
        <v>22</v>
      </c>
      <c r="D33" s="61">
        <f>22133+18370+24897+23240+18565+697+25129+25046</f>
        <v>158077</v>
      </c>
      <c r="E33" s="130"/>
      <c r="F33" s="79">
        <v>45634</v>
      </c>
      <c r="G33" s="57">
        <v>0</v>
      </c>
      <c r="H33" s="57">
        <f>35568+36361+48132+22483+19399+15445+11302+42348+22596+19767+37014+33010+24845+18886+25969+1654+43996+4962+34856+34075+30802+45634</f>
        <v>609104</v>
      </c>
      <c r="I33" s="130"/>
      <c r="J33" s="122" t="s">
        <v>100</v>
      </c>
      <c r="K33" s="123">
        <v>1142</v>
      </c>
      <c r="L33" s="123">
        <f>197521</f>
        <v>197521</v>
      </c>
      <c r="M33" s="62">
        <f>99639</f>
        <v>99639</v>
      </c>
      <c r="N33" s="24"/>
      <c r="O33" s="3"/>
      <c r="P33" s="3"/>
      <c r="Q33" s="3"/>
      <c r="R33" s="3"/>
      <c r="S33" s="3"/>
      <c r="T33" s="3"/>
      <c r="U33" s="2"/>
      <c r="V33" s="2"/>
      <c r="W33" s="2"/>
      <c r="X33" s="2"/>
      <c r="Y33" s="2"/>
      <c r="Z33" s="2"/>
      <c r="AA33" s="2"/>
      <c r="AB33" s="2"/>
    </row>
    <row r="34" spans="2:28" ht="30" customHeight="1" thickBot="1">
      <c r="B34" s="25" t="s">
        <v>50</v>
      </c>
      <c r="C34" s="33" t="s">
        <v>81</v>
      </c>
      <c r="D34" s="67">
        <v>53443</v>
      </c>
      <c r="E34" s="130"/>
      <c r="F34" s="130"/>
      <c r="G34" s="130"/>
      <c r="H34" s="130"/>
      <c r="I34" s="130"/>
      <c r="J34" s="47" t="s">
        <v>118</v>
      </c>
      <c r="K34" s="60"/>
      <c r="L34" s="60">
        <f>5001+550+295+402+534+1090+363+1285+821+996+2811+638+1004+1708+1499+1264+667+1300+450+1885+286+385+680+3208+993+572+1771+728+279+461-7455+349+47+396</f>
        <v>27263</v>
      </c>
      <c r="M34" s="61">
        <f>36+155+101+332+105+420</f>
        <v>1149</v>
      </c>
      <c r="N34" s="24"/>
      <c r="O34" s="3"/>
      <c r="P34" s="3"/>
      <c r="Q34" s="3"/>
      <c r="R34" s="3"/>
      <c r="S34" s="3"/>
      <c r="T34" s="3"/>
      <c r="U34" s="2"/>
      <c r="V34" s="2"/>
      <c r="W34" s="2"/>
      <c r="X34" s="2"/>
      <c r="Y34" s="2"/>
      <c r="Z34" s="2"/>
      <c r="AA34" s="2"/>
      <c r="AB34" s="2"/>
    </row>
    <row r="35" spans="2:28" ht="41.25" customHeight="1" thickBot="1">
      <c r="B35" s="37" t="s">
        <v>50</v>
      </c>
      <c r="C35" s="26" t="s">
        <v>82</v>
      </c>
      <c r="D35" s="56"/>
      <c r="E35" s="130"/>
      <c r="F35" s="161" t="s">
        <v>51</v>
      </c>
      <c r="G35" s="162"/>
      <c r="H35" s="163"/>
      <c r="I35" s="130"/>
      <c r="J35" s="130"/>
      <c r="K35" s="130"/>
      <c r="L35" s="130"/>
      <c r="M35" s="130"/>
      <c r="N35" s="24"/>
      <c r="O35" s="3"/>
      <c r="P35" s="3"/>
      <c r="Q35" s="3"/>
      <c r="R35" s="3"/>
      <c r="S35" s="3"/>
      <c r="T35" s="3"/>
      <c r="U35" s="2"/>
      <c r="V35" s="2"/>
      <c r="W35" s="2"/>
      <c r="X35" s="2"/>
      <c r="Y35" s="2"/>
      <c r="Z35" s="2"/>
      <c r="AA35" s="2"/>
      <c r="AB35" s="2"/>
    </row>
    <row r="36" spans="2:28" ht="40.5" customHeight="1" thickBot="1">
      <c r="B36" s="27" t="s">
        <v>50</v>
      </c>
      <c r="C36" s="35" t="s">
        <v>48</v>
      </c>
      <c r="D36" s="59">
        <v>0</v>
      </c>
      <c r="E36" s="130"/>
      <c r="F36" s="32"/>
      <c r="G36" s="153" t="s">
        <v>52</v>
      </c>
      <c r="H36" s="149" t="s">
        <v>34</v>
      </c>
      <c r="I36" s="130"/>
      <c r="J36" s="130"/>
      <c r="K36" s="161" t="s">
        <v>57</v>
      </c>
      <c r="L36" s="163"/>
      <c r="M36" s="130"/>
      <c r="N36" s="24"/>
      <c r="O36" s="3"/>
      <c r="P36" s="3"/>
      <c r="Q36" s="14"/>
      <c r="R36" s="14"/>
      <c r="S36" s="14"/>
      <c r="T36" s="3"/>
      <c r="U36" s="2"/>
      <c r="V36" s="2"/>
      <c r="W36" s="2"/>
      <c r="X36" s="2"/>
      <c r="Y36" s="2"/>
      <c r="Z36" s="2"/>
      <c r="AA36" s="2"/>
      <c r="AB36" s="2"/>
    </row>
    <row r="37" spans="2:28" ht="44.25" customHeight="1" thickBot="1">
      <c r="B37" s="115" t="s">
        <v>50</v>
      </c>
      <c r="C37" s="17" t="s">
        <v>22</v>
      </c>
      <c r="D37" s="61">
        <f>44651+54703+24211+54306+34694+36143+40143+39878+36692+47174+40485+45738+58956+39510+43835+52975+40564+20887+39640+50075+35220+51081+53443</f>
        <v>985004</v>
      </c>
      <c r="E37" s="130"/>
      <c r="F37" s="37" t="s">
        <v>54</v>
      </c>
      <c r="G37" s="50">
        <f>39323+6311</f>
        <v>45634</v>
      </c>
      <c r="H37" s="74">
        <v>0</v>
      </c>
      <c r="I37" s="130"/>
      <c r="J37" s="130"/>
      <c r="K37" s="150" t="s">
        <v>52</v>
      </c>
      <c r="L37" s="151" t="s">
        <v>126</v>
      </c>
      <c r="M37" s="130"/>
      <c r="N37" s="24"/>
      <c r="O37" s="3"/>
      <c r="P37" s="3"/>
      <c r="Q37" s="2"/>
      <c r="R37" s="2"/>
      <c r="S37" s="13"/>
      <c r="T37" s="3"/>
      <c r="U37" s="2"/>
      <c r="V37" s="2"/>
      <c r="W37" s="2"/>
      <c r="X37" s="2"/>
      <c r="Y37" s="2"/>
      <c r="Z37" s="2"/>
      <c r="AA37" s="2"/>
      <c r="AB37" s="2"/>
    </row>
    <row r="38" spans="2:28" ht="37.5" customHeight="1" thickBot="1">
      <c r="B38" s="166" t="s">
        <v>53</v>
      </c>
      <c r="C38" s="167"/>
      <c r="D38" s="61">
        <f>D33+D37</f>
        <v>1143081</v>
      </c>
      <c r="E38" s="130"/>
      <c r="F38" s="40" t="s">
        <v>22</v>
      </c>
      <c r="G38" s="57">
        <f>35568+36361+48132+22483+19399+15445+11302+42348+22596+19767+37014+33010+24845+18886+25969+1654+43996+4962+34856+34075+30802+45634</f>
        <v>609104</v>
      </c>
      <c r="H38" s="75">
        <f>58317+19283+26987+25868+38492+34613+22405+61889+62399+64629+40207+57451+93974+38671</f>
        <v>645185</v>
      </c>
      <c r="I38" s="130"/>
      <c r="J38" s="130"/>
      <c r="K38" s="79">
        <f>K39+K40</f>
        <v>235952</v>
      </c>
      <c r="L38" s="75">
        <v>1882006</v>
      </c>
      <c r="M38" s="130"/>
      <c r="N38" s="24"/>
      <c r="O38" s="5"/>
      <c r="P38" s="3"/>
      <c r="Q38" s="2"/>
      <c r="R38" s="2"/>
      <c r="S38" s="4"/>
      <c r="T38" s="3"/>
      <c r="U38" s="2"/>
      <c r="V38" s="2"/>
      <c r="W38" s="2"/>
      <c r="X38" s="2"/>
      <c r="Y38" s="2"/>
      <c r="Z38" s="2"/>
      <c r="AA38" s="2"/>
      <c r="AB38" s="2"/>
    </row>
    <row r="39" spans="2:28" ht="39.75" customHeight="1" thickBot="1">
      <c r="B39" s="164"/>
      <c r="C39" s="165"/>
      <c r="D39" s="134"/>
      <c r="E39" s="130"/>
      <c r="F39" s="130"/>
      <c r="G39" s="130"/>
      <c r="H39" s="130"/>
      <c r="I39" s="130"/>
      <c r="J39" s="26" t="s">
        <v>71</v>
      </c>
      <c r="K39" s="66">
        <f>235752</f>
        <v>235752</v>
      </c>
      <c r="L39" s="134"/>
      <c r="M39" s="130"/>
      <c r="N39" s="24"/>
      <c r="U39" s="2"/>
      <c r="V39" s="2"/>
      <c r="W39" s="2"/>
      <c r="X39" s="2"/>
      <c r="Y39" s="2"/>
      <c r="Z39" s="2"/>
      <c r="AA39" s="2"/>
      <c r="AB39" s="2"/>
    </row>
    <row r="40" spans="2:28" ht="25.2" thickBot="1">
      <c r="B40" s="124"/>
      <c r="D40" s="161" t="s">
        <v>120</v>
      </c>
      <c r="E40" s="162"/>
      <c r="F40" s="162"/>
      <c r="G40" s="162"/>
      <c r="H40" s="163"/>
      <c r="J40" s="26" t="s">
        <v>72</v>
      </c>
      <c r="K40" s="50">
        <f>200</f>
        <v>200</v>
      </c>
      <c r="L40" s="134"/>
      <c r="M40" s="135"/>
      <c r="N40" s="125"/>
    </row>
    <row r="41" spans="2:28" ht="21">
      <c r="B41" s="143"/>
      <c r="D41" s="140"/>
      <c r="E41" s="139"/>
      <c r="F41" s="147" t="s">
        <v>19</v>
      </c>
      <c r="G41" s="147" t="s">
        <v>121</v>
      </c>
      <c r="H41" s="148" t="s">
        <v>122</v>
      </c>
      <c r="I41" s="130"/>
      <c r="K41" s="130"/>
      <c r="L41" s="130"/>
      <c r="M41" s="130"/>
      <c r="N41" s="142"/>
    </row>
    <row r="42" spans="2:28" ht="24.6">
      <c r="B42" s="124"/>
      <c r="D42" s="37" t="s">
        <v>54</v>
      </c>
      <c r="E42" s="138"/>
      <c r="F42" s="50">
        <f>G42+H42</f>
        <v>1978</v>
      </c>
      <c r="G42" s="50">
        <v>1958</v>
      </c>
      <c r="H42" s="74">
        <v>20</v>
      </c>
      <c r="K42" s="3"/>
      <c r="L42" s="3"/>
      <c r="M42" s="3"/>
      <c r="N42" s="125"/>
    </row>
    <row r="43" spans="2:28" ht="26.4" thickBot="1">
      <c r="B43" s="124"/>
      <c r="D43" s="40" t="s">
        <v>22</v>
      </c>
      <c r="E43" s="141"/>
      <c r="F43" s="57">
        <f>G43+H43</f>
        <v>23523</v>
      </c>
      <c r="G43" s="57">
        <f>8090+1395+814+938+1930+760+2632+1063+933+809+1715+1958</f>
        <v>23037</v>
      </c>
      <c r="H43" s="75">
        <f>173+21+26+26+33+20+83+21+25+11+27+20</f>
        <v>486</v>
      </c>
      <c r="J43" s="136">
        <f>+H43*100/F43</f>
        <v>2.0660630021680908</v>
      </c>
      <c r="K43" s="137" t="s">
        <v>123</v>
      </c>
      <c r="L43" s="3"/>
      <c r="M43" s="3"/>
      <c r="N43" s="125"/>
    </row>
    <row r="44" spans="2:28" ht="15" thickBot="1">
      <c r="B44" s="126"/>
      <c r="C44" s="127"/>
      <c r="D44" s="127"/>
      <c r="E44" s="127"/>
      <c r="F44" s="128"/>
      <c r="G44" s="128"/>
      <c r="H44" s="128"/>
      <c r="I44" s="128"/>
      <c r="J44" s="127"/>
      <c r="K44" s="127"/>
      <c r="L44" s="127"/>
      <c r="M44" s="127"/>
      <c r="N44" s="129"/>
    </row>
    <row r="45" spans="2:28">
      <c r="F45" s="3"/>
      <c r="G45" s="3"/>
      <c r="H45" s="3"/>
    </row>
    <row r="46" spans="2:28">
      <c r="F46" s="3"/>
      <c r="G46" s="3"/>
      <c r="H46" s="3"/>
      <c r="J46" s="3"/>
    </row>
    <row r="47" spans="2:28">
      <c r="F47" s="3"/>
      <c r="G47" s="3"/>
      <c r="H47" s="3"/>
    </row>
    <row r="48" spans="2:28">
      <c r="F48" s="3"/>
      <c r="G48" s="3"/>
      <c r="H48" s="3"/>
    </row>
    <row r="49" spans="6:7">
      <c r="F49" s="3"/>
      <c r="G49" s="3"/>
    </row>
    <row r="50" spans="6:7">
      <c r="F50" s="3"/>
      <c r="G50" s="3"/>
    </row>
    <row r="51" spans="6:7">
      <c r="F51" s="3"/>
      <c r="G51" s="3"/>
    </row>
    <row r="52" spans="6:7">
      <c r="F52" s="3"/>
      <c r="G52" s="3"/>
    </row>
    <row r="53" spans="6:7">
      <c r="F53" s="3"/>
      <c r="G53" s="3"/>
    </row>
    <row r="54" spans="6:7">
      <c r="F54" s="3"/>
      <c r="G54" s="3"/>
    </row>
    <row r="55" spans="6:7">
      <c r="F55" s="3"/>
      <c r="G55" s="3"/>
    </row>
  </sheetData>
  <mergeCells count="20">
    <mergeCell ref="B3:D3"/>
    <mergeCell ref="F3:G3"/>
    <mergeCell ref="F8:G8"/>
    <mergeCell ref="L9:L10"/>
    <mergeCell ref="M9:M10"/>
    <mergeCell ref="J17:J22"/>
    <mergeCell ref="B9:C9"/>
    <mergeCell ref="B15:C15"/>
    <mergeCell ref="B25:C25"/>
    <mergeCell ref="J24:M24"/>
    <mergeCell ref="D40:H40"/>
    <mergeCell ref="K36:L36"/>
    <mergeCell ref="B39:C39"/>
    <mergeCell ref="F24:G24"/>
    <mergeCell ref="B27:C27"/>
    <mergeCell ref="F27:H27"/>
    <mergeCell ref="B28:C28"/>
    <mergeCell ref="F31:H31"/>
    <mergeCell ref="F35:H35"/>
    <mergeCell ref="B38:C38"/>
  </mergeCells>
  <printOptions horizontalCentered="1"/>
  <pageMargins left="0.2" right="0.2" top="0.2" bottom="0.2" header="0.3" footer="0.3"/>
  <pageSetup paperSize="9" scale="3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59713-D098-4184-90A8-2DF02B4AAE14}">
  <sheetPr>
    <pageSetUpPr fitToPage="1"/>
  </sheetPr>
  <dimension ref="A1:AD23"/>
  <sheetViews>
    <sheetView zoomScale="80" zoomScaleNormal="80" workbookViewId="0">
      <selection activeCell="N3" sqref="N3"/>
    </sheetView>
  </sheetViews>
  <sheetFormatPr defaultColWidth="9.109375" defaultRowHeight="14.4"/>
  <cols>
    <col min="1" max="1" width="2.6640625" style="93" customWidth="1"/>
    <col min="2" max="2" width="12.6640625" style="93" customWidth="1"/>
    <col min="3" max="4" width="14.6640625" style="93" bestFit="1" customWidth="1"/>
    <col min="5" max="5" width="17.109375" style="93" bestFit="1" customWidth="1"/>
    <col min="6" max="6" width="10.88671875" style="93" bestFit="1" customWidth="1"/>
    <col min="7" max="7" width="20" style="93" customWidth="1"/>
    <col min="8" max="8" width="0.109375" style="93" customWidth="1"/>
    <col min="9" max="9" width="15.33203125" style="93" customWidth="1"/>
    <col min="10" max="10" width="14.44140625" style="93" customWidth="1"/>
    <col min="11" max="11" width="14.5546875" style="93" bestFit="1" customWidth="1"/>
    <col min="12" max="12" width="13.88671875" style="93" bestFit="1" customWidth="1"/>
    <col min="13" max="13" width="16.6640625" style="93" bestFit="1" customWidth="1"/>
    <col min="14" max="14" width="12.33203125" style="93" bestFit="1" customWidth="1"/>
    <col min="15" max="15" width="14.109375" style="93" bestFit="1" customWidth="1"/>
    <col min="16" max="16" width="12.109375" style="93" customWidth="1"/>
    <col min="17" max="17" width="14.6640625" style="93" bestFit="1" customWidth="1"/>
    <col min="18" max="18" width="15.6640625" style="93" customWidth="1"/>
    <col min="19" max="19" width="13.33203125" style="93" customWidth="1"/>
    <col min="20" max="20" width="16.5546875" style="93" bestFit="1" customWidth="1"/>
    <col min="21" max="21" width="16" style="93" customWidth="1"/>
    <col min="22" max="22" width="12.33203125" style="93" bestFit="1" customWidth="1"/>
    <col min="23" max="23" width="15.109375" style="93" bestFit="1" customWidth="1"/>
    <col min="24" max="25" width="13.88671875" style="93" bestFit="1" customWidth="1"/>
    <col min="26" max="26" width="18.5546875" style="93" customWidth="1"/>
    <col min="27" max="27" width="17.5546875" style="93" customWidth="1"/>
    <col min="28" max="28" width="13.6640625" style="93" bestFit="1" customWidth="1"/>
    <col min="29" max="29" width="15.5546875" style="93" bestFit="1" customWidth="1"/>
    <col min="30" max="30" width="18" style="93" bestFit="1" customWidth="1"/>
    <col min="31" max="16384" width="9.109375" style="93"/>
  </cols>
  <sheetData>
    <row r="1" spans="1:30" ht="15" thickBot="1"/>
    <row r="2" spans="1:30" ht="24" thickBot="1">
      <c r="B2" s="92" t="s">
        <v>107</v>
      </c>
      <c r="C2" s="159">
        <v>45286</v>
      </c>
      <c r="D2" s="160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</row>
    <row r="3" spans="1:30" s="95" customFormat="1" ht="126.6" thickBot="1">
      <c r="B3" s="47" t="s">
        <v>0</v>
      </c>
      <c r="C3" s="89" t="s">
        <v>1</v>
      </c>
      <c r="D3" s="87" t="s">
        <v>2</v>
      </c>
      <c r="E3" s="87" t="s">
        <v>3</v>
      </c>
      <c r="F3" s="87" t="s">
        <v>4</v>
      </c>
      <c r="G3" s="87" t="s">
        <v>5</v>
      </c>
      <c r="H3" s="87" t="s">
        <v>114</v>
      </c>
      <c r="I3" s="87" t="s">
        <v>115</v>
      </c>
      <c r="J3" s="87" t="s">
        <v>108</v>
      </c>
      <c r="K3" s="87" t="s">
        <v>109</v>
      </c>
      <c r="L3" s="87" t="s">
        <v>110</v>
      </c>
      <c r="M3" s="88" t="s">
        <v>111</v>
      </c>
      <c r="N3" s="87" t="s">
        <v>6</v>
      </c>
      <c r="O3" s="87" t="s">
        <v>7</v>
      </c>
      <c r="P3" s="85" t="s">
        <v>8</v>
      </c>
      <c r="Q3" s="85" t="s">
        <v>9</v>
      </c>
      <c r="R3" s="86" t="s">
        <v>10</v>
      </c>
      <c r="S3" s="89" t="s">
        <v>11</v>
      </c>
      <c r="T3" s="89" t="s">
        <v>59</v>
      </c>
      <c r="U3" s="89" t="s">
        <v>12</v>
      </c>
      <c r="V3" s="90" t="s">
        <v>89</v>
      </c>
      <c r="W3" s="89" t="s">
        <v>97</v>
      </c>
      <c r="X3" s="89" t="s">
        <v>90</v>
      </c>
      <c r="Y3" s="89" t="s">
        <v>91</v>
      </c>
      <c r="Z3" s="89" t="s">
        <v>92</v>
      </c>
      <c r="AA3" s="121" t="s">
        <v>93</v>
      </c>
      <c r="AB3" s="89" t="s">
        <v>94</v>
      </c>
      <c r="AC3" s="89" t="s">
        <v>96</v>
      </c>
      <c r="AD3" s="91" t="s">
        <v>95</v>
      </c>
    </row>
    <row r="4" spans="1:30" ht="47.25" customHeight="1">
      <c r="B4" s="52">
        <v>1</v>
      </c>
      <c r="C4" s="146" t="s">
        <v>128</v>
      </c>
      <c r="D4" s="97" t="s">
        <v>104</v>
      </c>
      <c r="E4" s="97">
        <v>73.03</v>
      </c>
      <c r="F4" s="97">
        <v>2.8</v>
      </c>
      <c r="G4" s="98">
        <v>6.12</v>
      </c>
      <c r="H4" s="98">
        <f>(E4-F4)*F4*0.02503*I4*60</f>
        <v>324.85195512000001</v>
      </c>
      <c r="I4" s="98">
        <v>1.1000000000000001</v>
      </c>
      <c r="J4" s="96">
        <f>H4*10</f>
        <v>3248.5195512</v>
      </c>
      <c r="K4" s="96">
        <f>J4*2</f>
        <v>6497.0391024</v>
      </c>
      <c r="L4" s="96">
        <f>2081+8</f>
        <v>2089</v>
      </c>
      <c r="M4" s="99">
        <f>2081</f>
        <v>2081</v>
      </c>
      <c r="N4" s="96">
        <v>0</v>
      </c>
      <c r="O4" s="97">
        <f t="shared" ref="O4:O20" si="0">N4*100/L4</f>
        <v>0</v>
      </c>
      <c r="P4" s="96">
        <v>8</v>
      </c>
      <c r="Q4" s="97">
        <f>P4*100/L4</f>
        <v>0.3829583532790809</v>
      </c>
      <c r="R4" s="100">
        <v>0</v>
      </c>
      <c r="S4" s="96">
        <f>+R4/K4</f>
        <v>0</v>
      </c>
      <c r="T4" s="49" t="s">
        <v>113</v>
      </c>
      <c r="U4" s="48">
        <v>220</v>
      </c>
      <c r="V4" s="99">
        <f>K4-M4</f>
        <v>4416.0391024</v>
      </c>
      <c r="W4" s="48"/>
      <c r="X4" s="48"/>
      <c r="Y4" s="48">
        <v>180</v>
      </c>
      <c r="Z4" s="48"/>
      <c r="AA4" s="144">
        <v>40</v>
      </c>
      <c r="AB4" s="48"/>
      <c r="AC4" s="48"/>
      <c r="AD4" s="64"/>
    </row>
    <row r="5" spans="1:30" ht="47.25" customHeight="1">
      <c r="A5" s="93" t="s">
        <v>124</v>
      </c>
      <c r="B5" s="101">
        <v>2</v>
      </c>
      <c r="C5" s="100" t="s">
        <v>13</v>
      </c>
      <c r="D5" s="102" t="s">
        <v>105</v>
      </c>
      <c r="E5" s="102">
        <v>114.3</v>
      </c>
      <c r="F5" s="102">
        <v>2.8</v>
      </c>
      <c r="G5" s="98">
        <v>6.12</v>
      </c>
      <c r="H5" s="98">
        <f>(E5-F5)*F5*0.02503*I5*60</f>
        <v>492.30505799999997</v>
      </c>
      <c r="I5" s="98">
        <v>1.05</v>
      </c>
      <c r="J5" s="96">
        <f>H5*10</f>
        <v>4923.0505800000001</v>
      </c>
      <c r="K5" s="104">
        <f t="shared" ref="K5:K20" si="1">J5*2</f>
        <v>9846.1011600000002</v>
      </c>
      <c r="L5" s="104">
        <f>5340</f>
        <v>5340</v>
      </c>
      <c r="M5" s="105">
        <v>5340</v>
      </c>
      <c r="N5" s="104">
        <v>0</v>
      </c>
      <c r="O5" s="102">
        <f t="shared" ref="O5:O12" si="2">N5*100/L5</f>
        <v>0</v>
      </c>
      <c r="P5" s="104">
        <v>0</v>
      </c>
      <c r="Q5" s="102">
        <f>P5*100/L5</f>
        <v>0</v>
      </c>
      <c r="R5" s="96">
        <f>50737-3427-5009+37768-5320-5362-5737-5340-5364+5420-5340-6705</f>
        <v>46321</v>
      </c>
      <c r="S5" s="96">
        <f>+R5/K5</f>
        <v>4.7045017359947581</v>
      </c>
      <c r="T5" s="49" t="s">
        <v>113</v>
      </c>
      <c r="U5" s="48">
        <v>40</v>
      </c>
      <c r="V5" s="99">
        <v>0</v>
      </c>
      <c r="W5" s="48"/>
      <c r="X5" s="48"/>
      <c r="Y5" s="48"/>
      <c r="Z5" s="49"/>
      <c r="AA5" s="48">
        <v>40</v>
      </c>
      <c r="AB5" s="49"/>
      <c r="AC5" s="49"/>
      <c r="AD5" s="64"/>
    </row>
    <row r="6" spans="1:30" ht="47.25" customHeight="1">
      <c r="B6" s="101">
        <v>3</v>
      </c>
      <c r="C6" s="100">
        <v>304</v>
      </c>
      <c r="D6" s="49" t="s">
        <v>14</v>
      </c>
      <c r="E6" s="102">
        <v>26.67</v>
      </c>
      <c r="F6" s="102">
        <v>1.5</v>
      </c>
      <c r="G6" s="98">
        <v>6.12</v>
      </c>
      <c r="H6" s="98">
        <f t="shared" ref="H6:H20" si="3">(E6-F6)*F6*0.02503*I6*60</f>
        <v>79.380642600000016</v>
      </c>
      <c r="I6" s="98">
        <v>1.4</v>
      </c>
      <c r="J6" s="96">
        <f t="shared" ref="J6:J20" si="4">H6*10</f>
        <v>793.8064260000001</v>
      </c>
      <c r="K6" s="104">
        <f t="shared" si="1"/>
        <v>1587.6128520000002</v>
      </c>
      <c r="L6" s="104">
        <f>408+12+10+690+692</f>
        <v>1812</v>
      </c>
      <c r="M6" s="105">
        <f>408+680+690</f>
        <v>1778</v>
      </c>
      <c r="N6" s="104">
        <v>12</v>
      </c>
      <c r="O6" s="102">
        <f t="shared" si="2"/>
        <v>0.66225165562913912</v>
      </c>
      <c r="P6" s="104">
        <f>10+10+2</f>
        <v>22</v>
      </c>
      <c r="Q6" s="102">
        <f>P6*100/L6</f>
        <v>1.2141280353200883</v>
      </c>
      <c r="R6" s="96">
        <f>5876-1498-1812</f>
        <v>2566</v>
      </c>
      <c r="S6" s="96">
        <f t="shared" ref="S6:S20" si="5">+R6/K6</f>
        <v>1.6162630560514004</v>
      </c>
      <c r="T6" s="49" t="s">
        <v>125</v>
      </c>
      <c r="U6" s="49">
        <v>100</v>
      </c>
      <c r="V6" s="99">
        <f t="shared" ref="V6:V20" si="6">K6-M6</f>
        <v>-190.3871479999998</v>
      </c>
      <c r="W6" s="48"/>
      <c r="X6" s="49"/>
      <c r="Y6" s="48"/>
      <c r="Z6" s="49"/>
      <c r="AA6" s="49">
        <v>100</v>
      </c>
      <c r="AB6" s="49"/>
      <c r="AC6" s="48"/>
      <c r="AD6" s="64"/>
    </row>
    <row r="7" spans="1:30" ht="47.25" customHeight="1">
      <c r="B7" s="101">
        <v>4</v>
      </c>
      <c r="C7" s="100" t="s">
        <v>13</v>
      </c>
      <c r="D7" s="102" t="s">
        <v>112</v>
      </c>
      <c r="E7" s="102">
        <v>33.4</v>
      </c>
      <c r="F7" s="102">
        <v>3</v>
      </c>
      <c r="G7" s="103">
        <v>6.12</v>
      </c>
      <c r="H7" s="98">
        <f t="shared" si="3"/>
        <v>94.505270399999986</v>
      </c>
      <c r="I7" s="98">
        <v>0.69</v>
      </c>
      <c r="J7" s="96">
        <f t="shared" si="4"/>
        <v>945.05270399999984</v>
      </c>
      <c r="K7" s="104">
        <f t="shared" si="1"/>
        <v>1890.1054079999997</v>
      </c>
      <c r="L7" s="104">
        <f>848+8+6+864+640</f>
        <v>2366</v>
      </c>
      <c r="M7" s="105">
        <f>848+848+640</f>
        <v>2336</v>
      </c>
      <c r="N7" s="104">
        <f>8+8</f>
        <v>16</v>
      </c>
      <c r="O7" s="102">
        <f t="shared" si="2"/>
        <v>0.67624683009298392</v>
      </c>
      <c r="P7" s="104">
        <v>12</v>
      </c>
      <c r="Q7" s="102">
        <f t="shared" ref="Q7:Q20" si="7">P7*100/L7</f>
        <v>0.50718512256973791</v>
      </c>
      <c r="R7" s="100">
        <f>35889-2286-944+1769-2366-944</f>
        <v>31118</v>
      </c>
      <c r="S7" s="96">
        <f t="shared" si="5"/>
        <v>16.46363206427057</v>
      </c>
      <c r="T7" s="49" t="s">
        <v>125</v>
      </c>
      <c r="U7" s="49">
        <v>40</v>
      </c>
      <c r="V7" s="99">
        <f t="shared" si="6"/>
        <v>-445.89459200000033</v>
      </c>
      <c r="W7" s="49"/>
      <c r="X7" s="49"/>
      <c r="Y7" s="49"/>
      <c r="Z7" s="49"/>
      <c r="AA7" s="49">
        <v>40</v>
      </c>
      <c r="AB7" s="49"/>
      <c r="AC7" s="49"/>
      <c r="AD7" s="64"/>
    </row>
    <row r="8" spans="1:30" ht="47.25" customHeight="1">
      <c r="A8" s="93" t="s">
        <v>103</v>
      </c>
      <c r="B8" s="101">
        <v>5</v>
      </c>
      <c r="C8" s="100">
        <v>304</v>
      </c>
      <c r="D8" s="102" t="s">
        <v>16</v>
      </c>
      <c r="E8" s="102">
        <v>21.34</v>
      </c>
      <c r="F8" s="102">
        <v>1.5</v>
      </c>
      <c r="G8" s="103">
        <v>6.12</v>
      </c>
      <c r="H8" s="98">
        <f t="shared" si="3"/>
        <v>31.285497599999996</v>
      </c>
      <c r="I8" s="98">
        <v>0.7</v>
      </c>
      <c r="J8" s="96">
        <f t="shared" si="4"/>
        <v>312.85497599999997</v>
      </c>
      <c r="K8" s="104">
        <f t="shared" si="1"/>
        <v>625.70995199999993</v>
      </c>
      <c r="L8" s="104">
        <v>386</v>
      </c>
      <c r="M8" s="105">
        <v>386</v>
      </c>
      <c r="N8" s="104">
        <v>0</v>
      </c>
      <c r="O8" s="102">
        <f t="shared" si="2"/>
        <v>0</v>
      </c>
      <c r="P8" s="104">
        <v>0</v>
      </c>
      <c r="Q8" s="102">
        <f t="shared" si="7"/>
        <v>0</v>
      </c>
      <c r="R8" s="96">
        <f>546-386</f>
        <v>160</v>
      </c>
      <c r="S8" s="96">
        <f t="shared" si="5"/>
        <v>0.25570953360831317</v>
      </c>
      <c r="T8" s="49" t="s">
        <v>113</v>
      </c>
      <c r="U8" s="49">
        <v>60</v>
      </c>
      <c r="V8" s="99">
        <f t="shared" si="6"/>
        <v>239.70995199999993</v>
      </c>
      <c r="W8" s="48"/>
      <c r="X8" s="49"/>
      <c r="Y8" s="49"/>
      <c r="Z8" s="49"/>
      <c r="AA8" s="49">
        <v>60</v>
      </c>
      <c r="AB8" s="49"/>
      <c r="AC8" s="48"/>
      <c r="AD8" s="64"/>
    </row>
    <row r="9" spans="1:30" ht="47.25" customHeight="1">
      <c r="B9" s="101">
        <v>6</v>
      </c>
      <c r="C9" s="146" t="s">
        <v>128</v>
      </c>
      <c r="D9" s="102" t="s">
        <v>70</v>
      </c>
      <c r="E9" s="102">
        <v>88.9</v>
      </c>
      <c r="F9" s="102">
        <v>2.8</v>
      </c>
      <c r="G9" s="103">
        <v>6.12</v>
      </c>
      <c r="H9" s="98">
        <f t="shared" si="3"/>
        <v>362.053944</v>
      </c>
      <c r="I9" s="98">
        <v>1</v>
      </c>
      <c r="J9" s="96">
        <f t="shared" si="4"/>
        <v>3620.53944</v>
      </c>
      <c r="K9" s="104">
        <f t="shared" si="1"/>
        <v>7241.07888</v>
      </c>
      <c r="L9" s="104">
        <f>2160+35+30+4855+2265</f>
        <v>9345</v>
      </c>
      <c r="M9" s="105">
        <f>2160+4828+2265</f>
        <v>9253</v>
      </c>
      <c r="N9" s="104">
        <f>35+24</f>
        <v>59</v>
      </c>
      <c r="O9" s="102">
        <f>N9*100/L9</f>
        <v>0.63135366506153023</v>
      </c>
      <c r="P9" s="104">
        <v>33</v>
      </c>
      <c r="Q9" s="102">
        <f>P9*100/L9</f>
        <v>0.35313001605136435</v>
      </c>
      <c r="R9" s="96">
        <f>37302-7764-9345</f>
        <v>20193</v>
      </c>
      <c r="S9" s="96">
        <f t="shared" si="5"/>
        <v>2.7886728393159004</v>
      </c>
      <c r="T9" s="49" t="s">
        <v>125</v>
      </c>
      <c r="U9" s="49">
        <v>0</v>
      </c>
      <c r="V9" s="99">
        <f t="shared" si="6"/>
        <v>-2011.92112</v>
      </c>
      <c r="W9" s="48"/>
      <c r="X9" s="49"/>
      <c r="Y9" s="49"/>
      <c r="Z9" s="49"/>
      <c r="AA9" s="49"/>
      <c r="AB9" s="49"/>
      <c r="AC9" s="49"/>
      <c r="AD9" s="64"/>
    </row>
    <row r="10" spans="1:30" ht="47.25" customHeight="1">
      <c r="B10" s="101">
        <v>7</v>
      </c>
      <c r="C10" s="100" t="s">
        <v>13</v>
      </c>
      <c r="D10" s="102" t="s">
        <v>16</v>
      </c>
      <c r="E10" s="102">
        <v>21.34</v>
      </c>
      <c r="F10" s="102">
        <v>2</v>
      </c>
      <c r="G10" s="103">
        <v>6.12</v>
      </c>
      <c r="H10" s="98">
        <f t="shared" si="3"/>
        <v>52.280661600000002</v>
      </c>
      <c r="I10" s="98">
        <v>0.9</v>
      </c>
      <c r="J10" s="96">
        <f t="shared" si="4"/>
        <v>522.80661600000008</v>
      </c>
      <c r="K10" s="104">
        <f t="shared" si="1"/>
        <v>1045.6132320000002</v>
      </c>
      <c r="L10" s="104">
        <v>0</v>
      </c>
      <c r="M10" s="105">
        <v>0</v>
      </c>
      <c r="N10" s="104">
        <v>0</v>
      </c>
      <c r="O10" s="102" t="e">
        <f t="shared" si="2"/>
        <v>#DIV/0!</v>
      </c>
      <c r="P10" s="104">
        <v>0</v>
      </c>
      <c r="Q10" s="102" t="e">
        <f t="shared" si="7"/>
        <v>#DIV/0!</v>
      </c>
      <c r="R10" s="96">
        <v>0</v>
      </c>
      <c r="S10" s="96">
        <f t="shared" si="5"/>
        <v>0</v>
      </c>
      <c r="T10" s="49" t="s">
        <v>113</v>
      </c>
      <c r="U10" s="49">
        <v>1440</v>
      </c>
      <c r="V10" s="99">
        <f t="shared" si="6"/>
        <v>1045.6132320000002</v>
      </c>
      <c r="W10" s="48"/>
      <c r="X10" s="49"/>
      <c r="Y10" s="49">
        <v>1440</v>
      </c>
      <c r="Z10" s="49"/>
      <c r="AA10" s="49"/>
      <c r="AB10" s="49"/>
      <c r="AC10" s="48"/>
      <c r="AD10" s="64"/>
    </row>
    <row r="11" spans="1:30" ht="47.25" customHeight="1">
      <c r="B11" s="101">
        <v>10</v>
      </c>
      <c r="C11" s="100">
        <v>304</v>
      </c>
      <c r="D11" s="102" t="s">
        <v>17</v>
      </c>
      <c r="E11" s="102">
        <v>60.33</v>
      </c>
      <c r="F11" s="102">
        <v>2.5</v>
      </c>
      <c r="G11" s="103">
        <v>6.12</v>
      </c>
      <c r="H11" s="98">
        <f t="shared" si="3"/>
        <v>151.98591449999998</v>
      </c>
      <c r="I11" s="98">
        <v>0.7</v>
      </c>
      <c r="J11" s="96">
        <f t="shared" si="4"/>
        <v>1519.8591449999999</v>
      </c>
      <c r="K11" s="104">
        <f t="shared" si="1"/>
        <v>3039.7182899999998</v>
      </c>
      <c r="L11" s="104">
        <f>920+4+754</f>
        <v>1678</v>
      </c>
      <c r="M11" s="105">
        <f>920+754</f>
        <v>1674</v>
      </c>
      <c r="N11" s="104">
        <v>0</v>
      </c>
      <c r="O11" s="102">
        <f t="shared" si="2"/>
        <v>0</v>
      </c>
      <c r="P11" s="104">
        <v>4</v>
      </c>
      <c r="Q11" s="102">
        <f t="shared" si="7"/>
        <v>0.23837902264600716</v>
      </c>
      <c r="R11" s="96">
        <f>34926-1833-2864-1658+13056-1678-1990-1796</f>
        <v>36163</v>
      </c>
      <c r="S11" s="96">
        <f t="shared" si="5"/>
        <v>11.896826136477273</v>
      </c>
      <c r="T11" s="49" t="s">
        <v>113</v>
      </c>
      <c r="U11" s="49">
        <v>50</v>
      </c>
      <c r="V11" s="99">
        <f>K11-M11</f>
        <v>1365.7182899999998</v>
      </c>
      <c r="W11" s="48"/>
      <c r="X11" s="49"/>
      <c r="Y11" s="49"/>
      <c r="Z11" s="49"/>
      <c r="AA11" s="49">
        <v>50</v>
      </c>
      <c r="AB11" s="49"/>
      <c r="AC11" s="48"/>
      <c r="AD11" s="64"/>
    </row>
    <row r="12" spans="1:30" ht="47.25" customHeight="1">
      <c r="B12" s="101">
        <v>11</v>
      </c>
      <c r="C12" s="100">
        <v>304</v>
      </c>
      <c r="D12" s="102" t="s">
        <v>18</v>
      </c>
      <c r="E12" s="102">
        <v>48.26</v>
      </c>
      <c r="F12" s="102">
        <v>2.5</v>
      </c>
      <c r="G12" s="103">
        <v>6.12</v>
      </c>
      <c r="H12" s="98">
        <f t="shared" si="3"/>
        <v>171.80591999999999</v>
      </c>
      <c r="I12" s="98">
        <v>1</v>
      </c>
      <c r="J12" s="96">
        <f t="shared" si="4"/>
        <v>1718.0591999999999</v>
      </c>
      <c r="K12" s="104">
        <f t="shared" si="1"/>
        <v>3436.1183999999998</v>
      </c>
      <c r="L12" s="104">
        <f>550+4+1290</f>
        <v>1844</v>
      </c>
      <c r="M12" s="105">
        <f>550+1272</f>
        <v>1822</v>
      </c>
      <c r="N12" s="104">
        <v>18</v>
      </c>
      <c r="O12" s="102">
        <f t="shared" si="2"/>
        <v>0.97613882863340562</v>
      </c>
      <c r="P12" s="104">
        <v>4</v>
      </c>
      <c r="Q12" s="102">
        <f t="shared" si="7"/>
        <v>0.21691973969631237</v>
      </c>
      <c r="R12" s="96">
        <f>13864-688-1456-1844-1497</f>
        <v>8379</v>
      </c>
      <c r="S12" s="96">
        <f t="shared" si="5"/>
        <v>2.4385073576044412</v>
      </c>
      <c r="T12" s="49" t="s">
        <v>113</v>
      </c>
      <c r="U12" s="49">
        <v>40</v>
      </c>
      <c r="V12" s="99">
        <f t="shared" si="6"/>
        <v>1614.1183999999998</v>
      </c>
      <c r="W12" s="48"/>
      <c r="X12" s="49"/>
      <c r="Y12" s="49"/>
      <c r="Z12" s="49"/>
      <c r="AA12" s="49">
        <v>40</v>
      </c>
      <c r="AB12" s="49"/>
      <c r="AC12" s="48"/>
      <c r="AD12" s="64"/>
    </row>
    <row r="13" spans="1:30" ht="47.25" customHeight="1">
      <c r="B13" s="101">
        <v>101</v>
      </c>
      <c r="C13" s="100" t="s">
        <v>13</v>
      </c>
      <c r="D13" s="102" t="s">
        <v>127</v>
      </c>
      <c r="E13" s="102">
        <v>323.85000000000002</v>
      </c>
      <c r="F13" s="102">
        <v>8.5</v>
      </c>
      <c r="G13" s="103">
        <v>6.12</v>
      </c>
      <c r="H13" s="98">
        <f t="shared" si="3"/>
        <v>1408.93807425</v>
      </c>
      <c r="I13" s="98">
        <v>0.35</v>
      </c>
      <c r="J13" s="96">
        <f t="shared" si="4"/>
        <v>14089.3807425</v>
      </c>
      <c r="K13" s="104">
        <f>J13*2</f>
        <v>28178.761484999999</v>
      </c>
      <c r="L13" s="104">
        <f>1671+265+7+13344</f>
        <v>15287</v>
      </c>
      <c r="M13" s="105">
        <f>1671+13344</f>
        <v>15015</v>
      </c>
      <c r="N13" s="104">
        <v>265</v>
      </c>
      <c r="O13" s="102">
        <f>N13*100/L13</f>
        <v>1.7334990514816511</v>
      </c>
      <c r="P13" s="104">
        <v>7</v>
      </c>
      <c r="Q13" s="102">
        <f>P13*100/L13</f>
        <v>4.5790540982534177E-2</v>
      </c>
      <c r="R13" s="96">
        <f>42449-11698-15287</f>
        <v>15464</v>
      </c>
      <c r="S13" s="96">
        <f>+R13/K13*2</f>
        <v>1.0975642068748643</v>
      </c>
      <c r="T13" s="49" t="s">
        <v>113</v>
      </c>
      <c r="U13" s="49">
        <v>30</v>
      </c>
      <c r="V13" s="99">
        <f t="shared" si="6"/>
        <v>13163.761484999999</v>
      </c>
      <c r="W13" s="49"/>
      <c r="X13" s="49"/>
      <c r="Y13" s="49"/>
      <c r="Z13" s="49"/>
      <c r="AA13" s="49">
        <v>30</v>
      </c>
      <c r="AB13" s="49"/>
      <c r="AC13" s="49"/>
      <c r="AD13" s="49"/>
    </row>
    <row r="14" spans="1:30" ht="47.25" customHeight="1">
      <c r="B14" s="101">
        <v>102</v>
      </c>
      <c r="C14" s="100" t="s">
        <v>13</v>
      </c>
      <c r="D14" s="102" t="s">
        <v>61</v>
      </c>
      <c r="E14" s="102">
        <v>114.3</v>
      </c>
      <c r="F14" s="102">
        <v>5.5</v>
      </c>
      <c r="G14" s="103">
        <v>6.12</v>
      </c>
      <c r="H14" s="98">
        <f t="shared" si="3"/>
        <v>521.23272959999997</v>
      </c>
      <c r="I14" s="98">
        <v>0.57999999999999996</v>
      </c>
      <c r="J14" s="96">
        <f t="shared" si="4"/>
        <v>5212.3272959999995</v>
      </c>
      <c r="K14" s="104">
        <f t="shared" si="1"/>
        <v>10424.654591999999</v>
      </c>
      <c r="L14" s="104">
        <f>3374+36+10+670+2615</f>
        <v>6705</v>
      </c>
      <c r="M14" s="105">
        <f>3374+670+2615</f>
        <v>6659</v>
      </c>
      <c r="N14" s="104">
        <v>36</v>
      </c>
      <c r="O14" s="102">
        <f t="shared" si="0"/>
        <v>0.53691275167785235</v>
      </c>
      <c r="P14" s="104">
        <v>10</v>
      </c>
      <c r="Q14" s="102">
        <f t="shared" si="7"/>
        <v>0.14914243102162567</v>
      </c>
      <c r="R14" s="96">
        <v>0</v>
      </c>
      <c r="S14" s="96">
        <f t="shared" si="5"/>
        <v>0</v>
      </c>
      <c r="T14" s="49" t="s">
        <v>113</v>
      </c>
      <c r="U14" s="49">
        <v>30</v>
      </c>
      <c r="V14" s="99">
        <f t="shared" si="6"/>
        <v>3765.654591999999</v>
      </c>
      <c r="W14" s="49"/>
      <c r="X14" s="49"/>
      <c r="Y14" s="49"/>
      <c r="Z14" s="49"/>
      <c r="AA14" s="49">
        <v>30</v>
      </c>
      <c r="AB14" s="49"/>
      <c r="AC14" s="49"/>
      <c r="AD14" s="64"/>
    </row>
    <row r="15" spans="1:30" ht="47.25" customHeight="1">
      <c r="B15" s="101">
        <v>103</v>
      </c>
      <c r="C15" s="100" t="s">
        <v>13</v>
      </c>
      <c r="D15" s="102" t="s">
        <v>62</v>
      </c>
      <c r="E15" s="102">
        <v>219.08</v>
      </c>
      <c r="F15" s="102">
        <v>3.5</v>
      </c>
      <c r="G15" s="103">
        <v>6.12</v>
      </c>
      <c r="H15" s="98">
        <f t="shared" si="3"/>
        <v>963.1801809000001</v>
      </c>
      <c r="I15" s="98">
        <v>0.85</v>
      </c>
      <c r="J15" s="96">
        <f t="shared" si="4"/>
        <v>9631.8018090000005</v>
      </c>
      <c r="K15" s="104">
        <f t="shared" si="1"/>
        <v>19263.603618000001</v>
      </c>
      <c r="L15" s="104">
        <f>788+74+24+10746+5960</f>
        <v>17592</v>
      </c>
      <c r="M15" s="105">
        <f>788+10680+5960</f>
        <v>17428</v>
      </c>
      <c r="N15" s="104">
        <f>74+55</f>
        <v>129</v>
      </c>
      <c r="O15" s="102">
        <f>N15*100/L15</f>
        <v>0.73328785811732611</v>
      </c>
      <c r="P15" s="104">
        <f>24+10</f>
        <v>34</v>
      </c>
      <c r="Q15" s="102">
        <f t="shared" si="7"/>
        <v>0.19326966803092316</v>
      </c>
      <c r="R15" s="96">
        <f>87523-22125-17592</f>
        <v>47806</v>
      </c>
      <c r="S15" s="96">
        <f t="shared" si="5"/>
        <v>2.4816748178585781</v>
      </c>
      <c r="T15" s="49" t="s">
        <v>125</v>
      </c>
      <c r="U15" s="49">
        <f>30+240+30</f>
        <v>300</v>
      </c>
      <c r="V15" s="99">
        <f t="shared" si="6"/>
        <v>1835.603618000001</v>
      </c>
      <c r="W15" s="48"/>
      <c r="X15" s="49"/>
      <c r="Y15" s="49"/>
      <c r="Z15" s="49"/>
      <c r="AA15" s="49">
        <v>300</v>
      </c>
      <c r="AB15" s="49"/>
      <c r="AC15" s="49"/>
      <c r="AD15" s="64"/>
    </row>
    <row r="16" spans="1:30" ht="47.25" customHeight="1">
      <c r="B16" s="101">
        <v>104</v>
      </c>
      <c r="C16" s="100" t="s">
        <v>13</v>
      </c>
      <c r="D16" s="102" t="s">
        <v>15</v>
      </c>
      <c r="E16" s="102">
        <v>33.4</v>
      </c>
      <c r="F16" s="102">
        <v>2.5</v>
      </c>
      <c r="G16" s="103">
        <v>6.05</v>
      </c>
      <c r="H16" s="98">
        <f t="shared" si="3"/>
        <v>82.369975499999995</v>
      </c>
      <c r="I16" s="98">
        <v>0.71</v>
      </c>
      <c r="J16" s="96">
        <f t="shared" si="4"/>
        <v>823.69975499999998</v>
      </c>
      <c r="K16" s="104">
        <f t="shared" si="1"/>
        <v>1647.39951</v>
      </c>
      <c r="L16" s="104">
        <f>904+4+36</f>
        <v>944</v>
      </c>
      <c r="M16" s="105">
        <f>904+36</f>
        <v>940</v>
      </c>
      <c r="N16" s="104">
        <v>0</v>
      </c>
      <c r="O16" s="102">
        <f>N16*100/L16</f>
        <v>0</v>
      </c>
      <c r="P16" s="104">
        <v>4</v>
      </c>
      <c r="Q16" s="102">
        <f t="shared" si="7"/>
        <v>0.42372881355932202</v>
      </c>
      <c r="R16" s="100">
        <v>0</v>
      </c>
      <c r="S16" s="96">
        <f t="shared" si="5"/>
        <v>0</v>
      </c>
      <c r="T16" s="49" t="s">
        <v>113</v>
      </c>
      <c r="U16" s="49">
        <v>30</v>
      </c>
      <c r="V16" s="99">
        <f t="shared" si="6"/>
        <v>707.39950999999996</v>
      </c>
      <c r="W16" s="49"/>
      <c r="X16" s="49"/>
      <c r="Y16" s="49"/>
      <c r="Z16" s="49"/>
      <c r="AA16" s="49">
        <v>30</v>
      </c>
      <c r="AB16" s="49"/>
      <c r="AC16" s="49"/>
      <c r="AD16" s="64"/>
    </row>
    <row r="17" spans="2:30" ht="47.25" customHeight="1">
      <c r="B17" s="101">
        <v>105</v>
      </c>
      <c r="C17" s="100" t="s">
        <v>13</v>
      </c>
      <c r="D17" s="102" t="s">
        <v>17</v>
      </c>
      <c r="E17" s="102">
        <v>60.33</v>
      </c>
      <c r="F17" s="102">
        <v>3.5</v>
      </c>
      <c r="G17" s="103">
        <v>6.12</v>
      </c>
      <c r="H17" s="98">
        <f t="shared" si="3"/>
        <v>256.89535493999995</v>
      </c>
      <c r="I17" s="98">
        <v>0.86</v>
      </c>
      <c r="J17" s="96">
        <f t="shared" si="4"/>
        <v>2568.9535493999992</v>
      </c>
      <c r="K17" s="104">
        <f t="shared" si="1"/>
        <v>5137.9070987999985</v>
      </c>
      <c r="L17" s="104">
        <f>184+2+1804</f>
        <v>1990</v>
      </c>
      <c r="M17" s="105">
        <f>184+1804</f>
        <v>1988</v>
      </c>
      <c r="N17" s="104">
        <v>0</v>
      </c>
      <c r="O17" s="102">
        <f t="shared" si="0"/>
        <v>0</v>
      </c>
      <c r="P17" s="104">
        <v>2</v>
      </c>
      <c r="Q17" s="102">
        <f>P17*100/L17</f>
        <v>0.10050251256281408</v>
      </c>
      <c r="R17" s="96">
        <v>0</v>
      </c>
      <c r="S17" s="96">
        <f t="shared" si="5"/>
        <v>0</v>
      </c>
      <c r="T17" s="49" t="s">
        <v>113</v>
      </c>
      <c r="U17" s="49">
        <v>30</v>
      </c>
      <c r="V17" s="99">
        <f t="shared" si="6"/>
        <v>3149.9070987999985</v>
      </c>
      <c r="W17" s="49"/>
      <c r="X17" s="49"/>
      <c r="Y17" s="49"/>
      <c r="Z17" s="49"/>
      <c r="AA17" s="49">
        <v>30</v>
      </c>
      <c r="AB17" s="49"/>
      <c r="AC17" s="49"/>
      <c r="AD17" s="64"/>
    </row>
    <row r="18" spans="2:30" ht="47.25" customHeight="1">
      <c r="B18" s="101">
        <v>106</v>
      </c>
      <c r="C18" s="100" t="s">
        <v>13</v>
      </c>
      <c r="D18" s="102" t="s">
        <v>17</v>
      </c>
      <c r="E18" s="102">
        <v>60.33</v>
      </c>
      <c r="F18" s="102">
        <v>2.5</v>
      </c>
      <c r="G18" s="103">
        <v>6.12</v>
      </c>
      <c r="H18" s="98">
        <f t="shared" si="3"/>
        <v>175.86941535</v>
      </c>
      <c r="I18" s="98">
        <v>0.81</v>
      </c>
      <c r="J18" s="96">
        <f t="shared" si="4"/>
        <v>1758.6941535000001</v>
      </c>
      <c r="K18" s="104">
        <f t="shared" si="1"/>
        <v>3517.3883070000002</v>
      </c>
      <c r="L18" s="104">
        <f>929+9+858</f>
        <v>1796</v>
      </c>
      <c r="M18" s="105">
        <f>929+858</f>
        <v>1787</v>
      </c>
      <c r="N18" s="104">
        <v>9</v>
      </c>
      <c r="O18" s="102">
        <f t="shared" si="0"/>
        <v>0.50111358574610243</v>
      </c>
      <c r="P18" s="104">
        <v>0</v>
      </c>
      <c r="Q18" s="102">
        <f t="shared" si="7"/>
        <v>0</v>
      </c>
      <c r="R18" s="96">
        <v>0</v>
      </c>
      <c r="S18" s="96">
        <f t="shared" si="5"/>
        <v>0</v>
      </c>
      <c r="T18" s="49" t="s">
        <v>113</v>
      </c>
      <c r="U18" s="49">
        <v>30</v>
      </c>
      <c r="V18" s="99">
        <f t="shared" si="6"/>
        <v>1730.3883070000002</v>
      </c>
      <c r="W18" s="49"/>
      <c r="X18" s="49"/>
      <c r="Y18" s="49"/>
      <c r="Z18" s="49"/>
      <c r="AA18" s="49">
        <v>30</v>
      </c>
      <c r="AB18" s="49"/>
      <c r="AC18" s="49"/>
      <c r="AD18" s="64"/>
    </row>
    <row r="19" spans="2:30" ht="47.25" customHeight="1">
      <c r="B19" s="101">
        <v>107</v>
      </c>
      <c r="C19" s="100" t="s">
        <v>13</v>
      </c>
      <c r="D19" s="102" t="s">
        <v>88</v>
      </c>
      <c r="E19" s="102">
        <v>168.28</v>
      </c>
      <c r="F19" s="102">
        <v>3</v>
      </c>
      <c r="G19" s="103">
        <v>6.12</v>
      </c>
      <c r="H19" s="98">
        <f t="shared" si="3"/>
        <v>431.89845696000003</v>
      </c>
      <c r="I19" s="98">
        <v>0.57999999999999996</v>
      </c>
      <c r="J19" s="96">
        <f t="shared" si="4"/>
        <v>4318.9845696000002</v>
      </c>
      <c r="K19" s="104">
        <f t="shared" si="1"/>
        <v>8637.9691392000004</v>
      </c>
      <c r="L19" s="104">
        <v>0</v>
      </c>
      <c r="M19" s="105">
        <v>0</v>
      </c>
      <c r="N19" s="104">
        <v>0</v>
      </c>
      <c r="O19" s="102" t="e">
        <f>N19*100/L19</f>
        <v>#DIV/0!</v>
      </c>
      <c r="P19" s="104">
        <v>0</v>
      </c>
      <c r="Q19" s="102" t="e">
        <f t="shared" si="7"/>
        <v>#DIV/0!</v>
      </c>
      <c r="R19" s="96">
        <v>0</v>
      </c>
      <c r="S19" s="96">
        <f t="shared" si="5"/>
        <v>0</v>
      </c>
      <c r="T19" s="49" t="s">
        <v>113</v>
      </c>
      <c r="U19" s="49">
        <v>24</v>
      </c>
      <c r="V19" s="99">
        <f>K19-M19</f>
        <v>8637.9691392000004</v>
      </c>
      <c r="W19" s="49"/>
      <c r="X19" s="49"/>
      <c r="Y19" s="49">
        <v>24</v>
      </c>
      <c r="Z19" s="49"/>
      <c r="AA19" s="49"/>
      <c r="AB19" s="49"/>
      <c r="AC19" s="49"/>
      <c r="AD19" s="64"/>
    </row>
    <row r="20" spans="2:30" ht="47.25" customHeight="1">
      <c r="B20" s="101">
        <v>108</v>
      </c>
      <c r="C20" s="100">
        <v>304</v>
      </c>
      <c r="D20" s="102" t="s">
        <v>18</v>
      </c>
      <c r="E20" s="102">
        <v>48.26</v>
      </c>
      <c r="F20" s="102">
        <v>2.5</v>
      </c>
      <c r="G20" s="103">
        <v>6.12</v>
      </c>
      <c r="H20" s="98">
        <f t="shared" si="3"/>
        <v>140.8808544</v>
      </c>
      <c r="I20" s="98">
        <v>0.82</v>
      </c>
      <c r="J20" s="96">
        <f t="shared" si="4"/>
        <v>1408.808544</v>
      </c>
      <c r="K20" s="104">
        <f t="shared" si="1"/>
        <v>2817.617088</v>
      </c>
      <c r="L20" s="104">
        <f>86+1411</f>
        <v>1497</v>
      </c>
      <c r="M20" s="105">
        <f>86+1411</f>
        <v>1497</v>
      </c>
      <c r="N20" s="104">
        <v>10</v>
      </c>
      <c r="O20" s="102">
        <f t="shared" si="0"/>
        <v>0.66800267201068808</v>
      </c>
      <c r="P20" s="104">
        <v>4</v>
      </c>
      <c r="Q20" s="102">
        <f t="shared" si="7"/>
        <v>0.26720106880427524</v>
      </c>
      <c r="R20" s="96">
        <v>0</v>
      </c>
      <c r="S20" s="96">
        <f t="shared" si="5"/>
        <v>0</v>
      </c>
      <c r="T20" s="49" t="s">
        <v>113</v>
      </c>
      <c r="U20" s="49">
        <v>30</v>
      </c>
      <c r="V20" s="99">
        <f t="shared" si="6"/>
        <v>1320.617088</v>
      </c>
      <c r="W20" s="49"/>
      <c r="X20" s="49"/>
      <c r="Y20" s="49"/>
      <c r="Z20" s="49"/>
      <c r="AA20" s="49">
        <v>30</v>
      </c>
      <c r="AB20" s="49"/>
      <c r="AC20" s="49"/>
      <c r="AD20" s="64"/>
    </row>
    <row r="21" spans="2:30" ht="47.25" customHeight="1">
      <c r="B21" s="101"/>
      <c r="C21" s="104"/>
      <c r="D21" s="102"/>
      <c r="E21" s="102"/>
      <c r="F21" s="102"/>
      <c r="G21" s="103"/>
      <c r="H21" s="103"/>
      <c r="I21" s="103"/>
      <c r="J21" s="103"/>
      <c r="K21" s="103"/>
      <c r="L21" s="104"/>
      <c r="M21" s="105"/>
      <c r="N21" s="104"/>
      <c r="O21" s="102"/>
      <c r="P21" s="104"/>
      <c r="Q21" s="102"/>
      <c r="R21" s="104"/>
      <c r="S21" s="104"/>
      <c r="T21" s="49"/>
      <c r="U21" s="49"/>
      <c r="V21" s="106"/>
      <c r="W21" s="49"/>
      <c r="X21" s="49"/>
      <c r="Y21" s="49"/>
      <c r="Z21" s="49"/>
      <c r="AA21" s="49"/>
      <c r="AB21" s="49"/>
      <c r="AC21" s="49"/>
      <c r="AD21" s="64"/>
    </row>
    <row r="22" spans="2:30" ht="47.25" customHeight="1" thickBot="1">
      <c r="B22" s="107"/>
      <c r="C22" s="108"/>
      <c r="D22" s="108"/>
      <c r="E22" s="108"/>
      <c r="F22" s="108"/>
      <c r="G22" s="108" t="s">
        <v>19</v>
      </c>
      <c r="H22" s="108"/>
      <c r="I22" s="108"/>
      <c r="J22" s="109">
        <f>SUM(J4:J21)</f>
        <v>57417.199057199992</v>
      </c>
      <c r="K22" s="109">
        <f>SUM(K4:K21)</f>
        <v>114834.39811439998</v>
      </c>
      <c r="L22" s="109">
        <f>+SUM(L4:L20)</f>
        <v>70671</v>
      </c>
      <c r="M22" s="110">
        <f>+SUM(M4:M20)</f>
        <v>69984</v>
      </c>
      <c r="N22" s="109">
        <f>+SUM(N4:N20)</f>
        <v>554</v>
      </c>
      <c r="O22" s="111">
        <f>N22*100/L22</f>
        <v>0.78391419394093753</v>
      </c>
      <c r="P22" s="109">
        <f>+SUM(P4:P20)</f>
        <v>144</v>
      </c>
      <c r="Q22" s="111">
        <f>P22*100/L22</f>
        <v>0.20376109012183216</v>
      </c>
      <c r="R22" s="109">
        <f>+SUM(R4:R20)</f>
        <v>208170</v>
      </c>
      <c r="S22" s="108"/>
      <c r="T22" s="112"/>
      <c r="U22" s="112"/>
      <c r="V22" s="110">
        <f>+SUM(V4:V20)</f>
        <v>40344.296954400001</v>
      </c>
      <c r="W22" s="112"/>
      <c r="X22" s="112"/>
      <c r="Y22" s="112"/>
      <c r="Z22" s="112"/>
      <c r="AA22" s="112"/>
      <c r="AB22" s="112"/>
      <c r="AC22" s="112"/>
      <c r="AD22" s="55"/>
    </row>
    <row r="23" spans="2:30">
      <c r="L23" s="113"/>
      <c r="M23" s="113"/>
      <c r="N23" s="113"/>
      <c r="R23" s="113"/>
      <c r="S23" s="113"/>
      <c r="T23" s="113"/>
      <c r="W23" s="1"/>
      <c r="X23" s="1"/>
      <c r="Y23" s="1"/>
      <c r="Z23" s="1"/>
      <c r="AA23" s="1"/>
      <c r="AB23" s="1"/>
      <c r="AC23" s="1"/>
      <c r="AD23" s="114"/>
    </row>
  </sheetData>
  <mergeCells count="1">
    <mergeCell ref="C2:D2"/>
  </mergeCells>
  <printOptions horizontalCentered="1"/>
  <pageMargins left="0.2" right="0.2" top="0.2" bottom="0.2" header="0.3" footer="0.3"/>
  <pageSetup scale="32" orientation="landscape" r:id="rId1"/>
  <ignoredErrors>
    <ignoredError sqref="O22 Q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 PAGE 1</vt:lpstr>
      <vt:lpstr>TUBE MILL REPORT PAGE 2</vt:lpstr>
      <vt:lpstr>'summary PAGE 1'!Print_Area</vt:lpstr>
      <vt:lpstr>'TUBE MILL REPORT PAGE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PPC</dc:creator>
  <cp:lastModifiedBy>Sunil Joshi</cp:lastModifiedBy>
  <cp:lastPrinted>2023-10-30T09:45:09Z</cp:lastPrinted>
  <dcterms:created xsi:type="dcterms:W3CDTF">2020-08-09T09:07:11Z</dcterms:created>
  <dcterms:modified xsi:type="dcterms:W3CDTF">2023-12-29T07:27:04Z</dcterms:modified>
</cp:coreProperties>
</file>