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8D0918A7B9026D/Documents/"/>
    </mc:Choice>
  </mc:AlternateContent>
  <xr:revisionPtr revIDLastSave="0" documentId="8_{0AC0B297-C44C-4EEB-BC29-657BAE8F2359}" xr6:coauthVersionLast="47" xr6:coauthVersionMax="47" xr10:uidLastSave="{00000000-0000-0000-0000-000000000000}"/>
  <bookViews>
    <workbookView xWindow="-108" yWindow="-108" windowWidth="23256" windowHeight="12456" firstSheet="8" activeTab="2" xr2:uid="{630D3405-CC56-4B87-97B8-36B47361A860}"/>
  </bookViews>
  <sheets>
    <sheet name="EXECUTIVE_SUMMARY_" sheetId="1" r:id="rId1"/>
    <sheet name="INCOME_STATEMENT" sheetId="3" r:id="rId2"/>
    <sheet name="BALANCE_SHEET_" sheetId="2" r:id="rId3"/>
    <sheet name="CASH_FLOW_STATEMENT_" sheetId="4" r:id="rId4"/>
    <sheet name="RATIO_ANALYSIS_" sheetId="5" r:id="rId5"/>
    <sheet name="HORIZONTAL_ANALYSIS_" sheetId="6" r:id="rId6"/>
    <sheet name="VERTICAL_ANALYSIS" sheetId="7" r:id="rId7"/>
    <sheet name="ASSUMPTION_" sheetId="8" r:id="rId8"/>
    <sheet name="FINANCIALS" sheetId="9" r:id="rId9"/>
    <sheet name="Discounted_Cash_Flow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4" i="9" l="1"/>
  <c r="D64" i="9"/>
  <c r="E62" i="9"/>
  <c r="D62" i="9"/>
  <c r="E61" i="9"/>
  <c r="D61" i="9"/>
  <c r="E60" i="9"/>
  <c r="D60" i="9"/>
  <c r="E58" i="9"/>
  <c r="D58" i="9"/>
  <c r="E54" i="9"/>
  <c r="D54" i="9"/>
  <c r="E57" i="9"/>
  <c r="D57" i="9"/>
  <c r="E56" i="9"/>
  <c r="D56" i="9"/>
  <c r="E115" i="9"/>
  <c r="D117" i="9"/>
  <c r="E53" i="9"/>
  <c r="E123" i="9" s="1"/>
  <c r="D53" i="9"/>
  <c r="E52" i="9"/>
  <c r="D52" i="9"/>
  <c r="E51" i="9"/>
  <c r="D51" i="9"/>
  <c r="E48" i="9"/>
  <c r="D48" i="9"/>
  <c r="E46" i="9"/>
  <c r="D46" i="9"/>
  <c r="E40" i="9"/>
  <c r="D40" i="9"/>
  <c r="D123" i="9"/>
  <c r="E122" i="9"/>
  <c r="D122" i="9"/>
  <c r="E45" i="9"/>
  <c r="D45" i="9"/>
  <c r="E44" i="9"/>
  <c r="D44" i="9"/>
  <c r="E43" i="9"/>
  <c r="D43" i="9"/>
  <c r="E42" i="9"/>
  <c r="D42" i="9"/>
  <c r="E39" i="9"/>
  <c r="D39" i="9"/>
  <c r="E38" i="9"/>
  <c r="D38" i="9"/>
  <c r="E37" i="9"/>
  <c r="D37" i="9"/>
  <c r="E36" i="9"/>
  <c r="E120" i="9" s="1"/>
  <c r="D36" i="9"/>
  <c r="D116" i="9" s="1"/>
  <c r="E35" i="9"/>
  <c r="E117" i="9" s="1"/>
  <c r="D35" i="9"/>
  <c r="E28" i="9"/>
  <c r="D28" i="9"/>
  <c r="E24" i="9"/>
  <c r="D24" i="9"/>
  <c r="E22" i="9"/>
  <c r="D22" i="9"/>
  <c r="E18" i="9"/>
  <c r="D18" i="9"/>
  <c r="E14" i="9"/>
  <c r="D14" i="9"/>
  <c r="E10" i="9"/>
  <c r="D10" i="9"/>
  <c r="D11" i="9" s="1"/>
  <c r="D12" i="9" s="1"/>
  <c r="E7" i="9"/>
  <c r="D7" i="9"/>
  <c r="G9" i="8"/>
  <c r="G8" i="8"/>
  <c r="G7" i="8"/>
  <c r="F27" i="8"/>
  <c r="D49" i="6"/>
  <c r="D48" i="6"/>
  <c r="D43" i="6"/>
  <c r="D42" i="6"/>
  <c r="D39" i="6"/>
  <c r="D38" i="6"/>
  <c r="D37" i="6"/>
  <c r="D31" i="6"/>
  <c r="D30" i="6"/>
  <c r="D29" i="6"/>
  <c r="D28" i="6"/>
  <c r="D25" i="6"/>
  <c r="D24" i="6"/>
  <c r="D23" i="6"/>
  <c r="D22" i="6"/>
  <c r="D21" i="6"/>
  <c r="H82" i="7"/>
  <c r="H79" i="7"/>
  <c r="H76" i="7"/>
  <c r="H75" i="7"/>
  <c r="H73" i="7"/>
  <c r="H72" i="7"/>
  <c r="H70" i="7"/>
  <c r="H69" i="7"/>
  <c r="H68" i="7"/>
  <c r="H67" i="7"/>
  <c r="H63" i="7"/>
  <c r="H62" i="7"/>
  <c r="H61" i="7"/>
  <c r="H58" i="7"/>
  <c r="H57" i="7"/>
  <c r="H56" i="7"/>
  <c r="H51" i="7"/>
  <c r="H50" i="7"/>
  <c r="H48" i="7"/>
  <c r="H47" i="7"/>
  <c r="H44" i="7"/>
  <c r="H49" i="6"/>
  <c r="H48" i="6"/>
  <c r="H43" i="6"/>
  <c r="H42" i="6"/>
  <c r="H39" i="6"/>
  <c r="H38" i="6"/>
  <c r="H37" i="6"/>
  <c r="H31" i="6"/>
  <c r="H30" i="6"/>
  <c r="H29" i="6"/>
  <c r="H28" i="6"/>
  <c r="H25" i="6"/>
  <c r="H24" i="6"/>
  <c r="H23" i="6"/>
  <c r="H22" i="6"/>
  <c r="H21" i="6"/>
  <c r="H16" i="6"/>
  <c r="H15" i="6"/>
  <c r="H14" i="6"/>
  <c r="H11" i="6"/>
  <c r="H8" i="6"/>
  <c r="H7" i="6"/>
  <c r="D16" i="6"/>
  <c r="D15" i="6"/>
  <c r="D14" i="6"/>
  <c r="D11" i="6"/>
  <c r="D8" i="6"/>
  <c r="D7" i="6"/>
  <c r="H54" i="5"/>
  <c r="H39" i="5"/>
  <c r="H34" i="5"/>
  <c r="H35" i="5" s="1"/>
  <c r="H37" i="5" s="1"/>
  <c r="H28" i="5"/>
  <c r="H29" i="5" s="1"/>
  <c r="H31" i="5" s="1"/>
  <c r="D28" i="5"/>
  <c r="D29" i="5" s="1"/>
  <c r="D31" i="5" s="1"/>
  <c r="D34" i="5"/>
  <c r="D35" i="5" s="1"/>
  <c r="D37" i="5" s="1"/>
  <c r="H37" i="4"/>
  <c r="H32" i="4"/>
  <c r="H25" i="4"/>
  <c r="H20" i="3"/>
  <c r="H10" i="3"/>
  <c r="D20" i="3"/>
  <c r="D9" i="6" s="1"/>
  <c r="H37" i="2"/>
  <c r="H31" i="2"/>
  <c r="H27" i="2"/>
  <c r="H19" i="2"/>
  <c r="H13" i="2"/>
  <c r="H13" i="10"/>
  <c r="G13" i="10"/>
  <c r="F13" i="10"/>
  <c r="E13" i="10"/>
  <c r="D13" i="10"/>
  <c r="G82" i="7"/>
  <c r="F82" i="7"/>
  <c r="E82" i="7"/>
  <c r="D82" i="7"/>
  <c r="G79" i="7"/>
  <c r="F79" i="7"/>
  <c r="E79" i="7"/>
  <c r="D79" i="7"/>
  <c r="D81" i="7" s="1"/>
  <c r="G76" i="7"/>
  <c r="F76" i="7"/>
  <c r="E76" i="7"/>
  <c r="D76" i="7"/>
  <c r="G75" i="7"/>
  <c r="F75" i="7"/>
  <c r="E75" i="7"/>
  <c r="D75" i="7"/>
  <c r="G73" i="7"/>
  <c r="F73" i="7"/>
  <c r="E73" i="7"/>
  <c r="D73" i="7"/>
  <c r="G72" i="7"/>
  <c r="F72" i="7"/>
  <c r="E72" i="7"/>
  <c r="D72" i="7"/>
  <c r="G70" i="7"/>
  <c r="F70" i="7"/>
  <c r="E70" i="7"/>
  <c r="D70" i="7"/>
  <c r="G69" i="7"/>
  <c r="F69" i="7"/>
  <c r="E69" i="7"/>
  <c r="D69" i="7"/>
  <c r="G68" i="7"/>
  <c r="F68" i="7"/>
  <c r="E68" i="7"/>
  <c r="D68" i="7"/>
  <c r="G67" i="7"/>
  <c r="F67" i="7"/>
  <c r="E67" i="7"/>
  <c r="D67" i="7"/>
  <c r="G63" i="7"/>
  <c r="F63" i="7"/>
  <c r="E63" i="7"/>
  <c r="D63" i="7"/>
  <c r="G62" i="7"/>
  <c r="F62" i="7"/>
  <c r="E62" i="7"/>
  <c r="D62" i="7"/>
  <c r="G61" i="7"/>
  <c r="F61" i="7"/>
  <c r="E61" i="7"/>
  <c r="D61" i="7"/>
  <c r="G58" i="7"/>
  <c r="F58" i="7"/>
  <c r="E58" i="7"/>
  <c r="D58" i="7"/>
  <c r="G57" i="7"/>
  <c r="F57" i="7"/>
  <c r="E57" i="7"/>
  <c r="D57" i="7"/>
  <c r="G56" i="7"/>
  <c r="F56" i="7"/>
  <c r="E56" i="7"/>
  <c r="D56" i="7"/>
  <c r="G51" i="7"/>
  <c r="F51" i="7"/>
  <c r="E51" i="7"/>
  <c r="D51" i="7"/>
  <c r="G50" i="7"/>
  <c r="F50" i="7"/>
  <c r="E50" i="7"/>
  <c r="D50" i="7"/>
  <c r="G48" i="7"/>
  <c r="F48" i="7"/>
  <c r="E48" i="7"/>
  <c r="D48" i="7"/>
  <c r="G47" i="7"/>
  <c r="F47" i="7"/>
  <c r="E47" i="7"/>
  <c r="D47" i="7"/>
  <c r="G44" i="7"/>
  <c r="F44" i="7"/>
  <c r="E44" i="7"/>
  <c r="D44" i="7"/>
  <c r="G49" i="6"/>
  <c r="F49" i="6"/>
  <c r="E49" i="6"/>
  <c r="G48" i="6"/>
  <c r="F48" i="6"/>
  <c r="E48" i="6"/>
  <c r="G43" i="6"/>
  <c r="F43" i="6"/>
  <c r="E43" i="6"/>
  <c r="G42" i="6"/>
  <c r="F42" i="6"/>
  <c r="E42" i="6"/>
  <c r="G39" i="6"/>
  <c r="F39" i="6"/>
  <c r="E39" i="6"/>
  <c r="G38" i="6"/>
  <c r="F38" i="6"/>
  <c r="E38" i="6"/>
  <c r="G37" i="6"/>
  <c r="F37" i="6"/>
  <c r="E37" i="6"/>
  <c r="G31" i="6"/>
  <c r="F31" i="6"/>
  <c r="E31" i="6"/>
  <c r="G30" i="6"/>
  <c r="F30" i="6"/>
  <c r="E30" i="6"/>
  <c r="G29" i="6"/>
  <c r="F29" i="6"/>
  <c r="E29" i="6"/>
  <c r="G28" i="6"/>
  <c r="F28" i="6"/>
  <c r="E28" i="6"/>
  <c r="G25" i="6"/>
  <c r="F25" i="6"/>
  <c r="E25" i="6"/>
  <c r="G24" i="6"/>
  <c r="F24" i="6"/>
  <c r="E24" i="6"/>
  <c r="G23" i="6"/>
  <c r="F23" i="6"/>
  <c r="E23" i="6"/>
  <c r="G22" i="6"/>
  <c r="F22" i="6"/>
  <c r="E22" i="6"/>
  <c r="G21" i="6"/>
  <c r="F21" i="6"/>
  <c r="E21" i="6"/>
  <c r="G16" i="6"/>
  <c r="F16" i="6"/>
  <c r="E16" i="6"/>
  <c r="G15" i="6"/>
  <c r="F15" i="6"/>
  <c r="E15" i="6"/>
  <c r="G14" i="6"/>
  <c r="F14" i="6"/>
  <c r="E14" i="6"/>
  <c r="G11" i="6"/>
  <c r="F11" i="6"/>
  <c r="E11" i="6"/>
  <c r="G8" i="6"/>
  <c r="F8" i="6"/>
  <c r="E8" i="6"/>
  <c r="G7" i="6"/>
  <c r="F7" i="6"/>
  <c r="E7" i="6"/>
  <c r="G54" i="5"/>
  <c r="F54" i="5"/>
  <c r="E54" i="5"/>
  <c r="D54" i="5"/>
  <c r="G39" i="5"/>
  <c r="F39" i="5"/>
  <c r="E39" i="5"/>
  <c r="D39" i="5"/>
  <c r="G34" i="5"/>
  <c r="G35" i="5" s="1"/>
  <c r="G37" i="5" s="1"/>
  <c r="F34" i="5"/>
  <c r="F35" i="5" s="1"/>
  <c r="F37" i="5" s="1"/>
  <c r="E34" i="5"/>
  <c r="E35" i="5" s="1"/>
  <c r="E37" i="5" s="1"/>
  <c r="G28" i="5"/>
  <c r="G29" i="5" s="1"/>
  <c r="G31" i="5" s="1"/>
  <c r="F28" i="5"/>
  <c r="F29" i="5" s="1"/>
  <c r="F31" i="5" s="1"/>
  <c r="E28" i="5"/>
  <c r="E29" i="5" s="1"/>
  <c r="E31" i="5" s="1"/>
  <c r="G37" i="4"/>
  <c r="F37" i="4"/>
  <c r="E37" i="4"/>
  <c r="E127" i="9"/>
  <c r="D127" i="9"/>
  <c r="E121" i="9"/>
  <c r="D121" i="9"/>
  <c r="C107" i="9"/>
  <c r="F97" i="9"/>
  <c r="J72" i="9"/>
  <c r="I72" i="9"/>
  <c r="H72" i="9"/>
  <c r="G72" i="9"/>
  <c r="F72" i="9"/>
  <c r="E11" i="9"/>
  <c r="E15" i="9" s="1"/>
  <c r="C22" i="8"/>
  <c r="C16" i="8"/>
  <c r="C17" i="8" s="1"/>
  <c r="C26" i="8" s="1"/>
  <c r="C8" i="10" s="1"/>
  <c r="C10" i="8"/>
  <c r="F9" i="8"/>
  <c r="F8" i="8"/>
  <c r="G32" i="4"/>
  <c r="F32" i="4"/>
  <c r="E32" i="4"/>
  <c r="D32" i="4"/>
  <c r="G25" i="4"/>
  <c r="F25" i="4"/>
  <c r="E25" i="4"/>
  <c r="D25" i="4"/>
  <c r="G20" i="3"/>
  <c r="G7" i="5" s="1"/>
  <c r="G45" i="7" s="1"/>
  <c r="F20" i="3"/>
  <c r="F7" i="5" s="1"/>
  <c r="F45" i="7" s="1"/>
  <c r="E20" i="3"/>
  <c r="E7" i="5" s="1"/>
  <c r="E45" i="7" s="1"/>
  <c r="G10" i="3"/>
  <c r="G21" i="3" s="1"/>
  <c r="F10" i="3"/>
  <c r="F21" i="3" s="1"/>
  <c r="E10" i="3"/>
  <c r="E21" i="3" s="1"/>
  <c r="D10" i="3"/>
  <c r="D21" i="3" s="1"/>
  <c r="G37" i="2"/>
  <c r="F37" i="2"/>
  <c r="E37" i="2"/>
  <c r="D37" i="2"/>
  <c r="D50" i="6" s="1"/>
  <c r="G31" i="2"/>
  <c r="F31" i="2"/>
  <c r="E31" i="2"/>
  <c r="D31" i="2"/>
  <c r="D44" i="6" s="1"/>
  <c r="G27" i="2"/>
  <c r="F27" i="2"/>
  <c r="E27" i="2"/>
  <c r="E20" i="5" s="1"/>
  <c r="D27" i="2"/>
  <c r="G19" i="2"/>
  <c r="F19" i="2"/>
  <c r="E19" i="2"/>
  <c r="D19" i="2"/>
  <c r="D32" i="6" s="1"/>
  <c r="G13" i="2"/>
  <c r="F13" i="2"/>
  <c r="E13" i="2"/>
  <c r="D13" i="2"/>
  <c r="D26" i="6" s="1"/>
  <c r="D115" i="9" l="1"/>
  <c r="E124" i="9"/>
  <c r="E126" i="9" s="1"/>
  <c r="E128" i="9" s="1"/>
  <c r="E116" i="9"/>
  <c r="D120" i="9"/>
  <c r="D124" i="9" s="1"/>
  <c r="D126" i="9" s="1"/>
  <c r="D128" i="9" s="1"/>
  <c r="E12" i="9"/>
  <c r="D15" i="9"/>
  <c r="F7" i="8"/>
  <c r="F8" i="9" s="1"/>
  <c r="I8" i="9"/>
  <c r="H8" i="1" s="1"/>
  <c r="H8" i="9"/>
  <c r="G8" i="1" s="1"/>
  <c r="J8" i="9"/>
  <c r="I8" i="1" s="1"/>
  <c r="G8" i="9"/>
  <c r="F8" i="1" s="1"/>
  <c r="F24" i="8"/>
  <c r="F81" i="7"/>
  <c r="H16" i="3"/>
  <c r="H12" i="6"/>
  <c r="H7" i="5"/>
  <c r="H45" i="7" s="1"/>
  <c r="H9" i="6"/>
  <c r="D64" i="7"/>
  <c r="D40" i="6"/>
  <c r="F44" i="6"/>
  <c r="H21" i="2"/>
  <c r="H48" i="2" s="1"/>
  <c r="H52" i="5" s="1"/>
  <c r="H59" i="7"/>
  <c r="H26" i="6"/>
  <c r="H18" i="5"/>
  <c r="H32" i="6"/>
  <c r="H33" i="2"/>
  <c r="H64" i="7"/>
  <c r="H40" i="6"/>
  <c r="H20" i="5"/>
  <c r="H44" i="6"/>
  <c r="H50" i="6"/>
  <c r="F31" i="8"/>
  <c r="H81" i="7"/>
  <c r="H80" i="7"/>
  <c r="F18" i="8"/>
  <c r="H9" i="5"/>
  <c r="H13" i="5"/>
  <c r="H11" i="5"/>
  <c r="H15" i="5"/>
  <c r="D12" i="6"/>
  <c r="G44" i="6"/>
  <c r="G50" i="6"/>
  <c r="E32" i="6"/>
  <c r="D20" i="5"/>
  <c r="G18" i="5"/>
  <c r="E50" i="6"/>
  <c r="F50" i="6"/>
  <c r="F32" i="6"/>
  <c r="E9" i="5"/>
  <c r="F9" i="5"/>
  <c r="G9" i="5"/>
  <c r="G47" i="5"/>
  <c r="G45" i="5"/>
  <c r="E11" i="5"/>
  <c r="E16" i="3"/>
  <c r="E50" i="2" s="1"/>
  <c r="F11" i="5"/>
  <c r="F28" i="8"/>
  <c r="F16" i="3"/>
  <c r="F23" i="3" s="1"/>
  <c r="G11" i="5"/>
  <c r="G16" i="3"/>
  <c r="G8" i="4" s="1"/>
  <c r="G16" i="4" s="1"/>
  <c r="F9" i="6"/>
  <c r="L19" i="8"/>
  <c r="G9" i="6"/>
  <c r="G32" i="6"/>
  <c r="F30" i="8"/>
  <c r="F16" i="8"/>
  <c r="D33" i="2"/>
  <c r="F21" i="8"/>
  <c r="H21" i="3"/>
  <c r="H23" i="3"/>
  <c r="H8" i="4"/>
  <c r="H22" i="3"/>
  <c r="H50" i="5" s="1"/>
  <c r="H16" i="4"/>
  <c r="H22" i="5" s="1"/>
  <c r="D28" i="10"/>
  <c r="C40" i="10"/>
  <c r="H28" i="10"/>
  <c r="G28" i="10"/>
  <c r="F28" i="10"/>
  <c r="E28" i="10"/>
  <c r="F47" i="5"/>
  <c r="F45" i="5"/>
  <c r="D59" i="7"/>
  <c r="D21" i="2"/>
  <c r="D18" i="5"/>
  <c r="E21" i="2"/>
  <c r="E15" i="5" s="1"/>
  <c r="E18" i="5"/>
  <c r="E26" i="6"/>
  <c r="E59" i="7"/>
  <c r="F18" i="5"/>
  <c r="F21" i="2"/>
  <c r="F26" i="6"/>
  <c r="F59" i="7"/>
  <c r="D19" i="9"/>
  <c r="D16" i="9"/>
  <c r="E16" i="9"/>
  <c r="E19" i="9"/>
  <c r="D47" i="5"/>
  <c r="D45" i="5"/>
  <c r="E47" i="5"/>
  <c r="E45" i="5"/>
  <c r="F40" i="6"/>
  <c r="F20" i="5"/>
  <c r="F33" i="2"/>
  <c r="F64" i="7"/>
  <c r="G40" i="6"/>
  <c r="G20" i="5"/>
  <c r="G64" i="7"/>
  <c r="G33" i="2"/>
  <c r="D9" i="5"/>
  <c r="D11" i="5"/>
  <c r="D16" i="3"/>
  <c r="D17" i="6" s="1"/>
  <c r="E44" i="6"/>
  <c r="E81" i="7"/>
  <c r="D80" i="7"/>
  <c r="G21" i="2"/>
  <c r="G26" i="6"/>
  <c r="G81" i="7"/>
  <c r="F80" i="7"/>
  <c r="G80" i="7"/>
  <c r="F26" i="8"/>
  <c r="E53" i="7"/>
  <c r="E22" i="3"/>
  <c r="E50" i="5" s="1"/>
  <c r="G59" i="7"/>
  <c r="E80" i="7"/>
  <c r="F7" i="9"/>
  <c r="E8" i="1"/>
  <c r="D7" i="5"/>
  <c r="D45" i="7" s="1"/>
  <c r="E9" i="6"/>
  <c r="G13" i="5"/>
  <c r="E33" i="2"/>
  <c r="E40" i="6"/>
  <c r="E64" i="7"/>
  <c r="F17" i="8"/>
  <c r="E12" i="6"/>
  <c r="F12" i="6"/>
  <c r="G12" i="6"/>
  <c r="F23" i="8"/>
  <c r="F45" i="9" l="1"/>
  <c r="F8" i="4"/>
  <c r="F16" i="4" s="1"/>
  <c r="F22" i="5" s="1"/>
  <c r="G17" i="6"/>
  <c r="F22" i="3"/>
  <c r="F50" i="5" s="1"/>
  <c r="H25" i="5"/>
  <c r="D34" i="6"/>
  <c r="D25" i="5"/>
  <c r="H50" i="2"/>
  <c r="H53" i="7"/>
  <c r="H17" i="6"/>
  <c r="D39" i="2"/>
  <c r="D52" i="6" s="1"/>
  <c r="D46" i="6"/>
  <c r="H39" i="2"/>
  <c r="H46" i="6"/>
  <c r="H18" i="7"/>
  <c r="H17" i="7"/>
  <c r="H16" i="7"/>
  <c r="H15" i="7"/>
  <c r="H19" i="7" s="1"/>
  <c r="H12" i="7"/>
  <c r="H11" i="7"/>
  <c r="H10" i="7"/>
  <c r="H9" i="7"/>
  <c r="H8" i="7"/>
  <c r="H34" i="6"/>
  <c r="E17" i="6"/>
  <c r="E13" i="5"/>
  <c r="H47" i="5"/>
  <c r="H45" i="5"/>
  <c r="L20" i="8"/>
  <c r="F53" i="7"/>
  <c r="F13" i="5"/>
  <c r="F17" i="6"/>
  <c r="F50" i="2"/>
  <c r="H36" i="4"/>
  <c r="H38" i="4" s="1"/>
  <c r="H40" i="4" s="1"/>
  <c r="G23" i="3"/>
  <c r="G53" i="7"/>
  <c r="G15" i="5"/>
  <c r="E8" i="4"/>
  <c r="E16" i="4" s="1"/>
  <c r="E23" i="3"/>
  <c r="F15" i="5"/>
  <c r="G50" i="2"/>
  <c r="G22" i="3"/>
  <c r="G50" i="5" s="1"/>
  <c r="G22" i="5"/>
  <c r="G36" i="4"/>
  <c r="G38" i="4" s="1"/>
  <c r="G40" i="4" s="1"/>
  <c r="D25" i="7"/>
  <c r="D24" i="7"/>
  <c r="D36" i="7"/>
  <c r="D26" i="7"/>
  <c r="D30" i="7"/>
  <c r="D35" i="7"/>
  <c r="D37" i="7" s="1"/>
  <c r="D29" i="7"/>
  <c r="F46" i="6"/>
  <c r="F39" i="2"/>
  <c r="G39" i="2"/>
  <c r="G41" i="2" s="1"/>
  <c r="G46" i="6"/>
  <c r="F44" i="9"/>
  <c r="F38" i="9"/>
  <c r="G7" i="9"/>
  <c r="F10" i="9"/>
  <c r="F51" i="9" s="1"/>
  <c r="F14" i="9"/>
  <c r="F11" i="9"/>
  <c r="L22" i="8"/>
  <c r="F84" i="9" s="1"/>
  <c r="E7" i="1"/>
  <c r="F39" i="9"/>
  <c r="L7" i="8"/>
  <c r="D20" i="9"/>
  <c r="D25" i="9"/>
  <c r="D110" i="9"/>
  <c r="D111" i="9" s="1"/>
  <c r="F8" i="7"/>
  <c r="F34" i="6"/>
  <c r="F16" i="7"/>
  <c r="F11" i="7"/>
  <c r="F10" i="7"/>
  <c r="G25" i="5"/>
  <c r="F48" i="2"/>
  <c r="F52" i="5" s="1"/>
  <c r="F15" i="7"/>
  <c r="F9" i="7"/>
  <c r="F12" i="7"/>
  <c r="F17" i="7"/>
  <c r="F18" i="7"/>
  <c r="F41" i="2"/>
  <c r="G11" i="7"/>
  <c r="G10" i="7"/>
  <c r="G34" i="6"/>
  <c r="G16" i="7"/>
  <c r="G15" i="7"/>
  <c r="G9" i="7"/>
  <c r="G12" i="7"/>
  <c r="G8" i="7"/>
  <c r="G48" i="2"/>
  <c r="G52" i="5" s="1"/>
  <c r="G18" i="7"/>
  <c r="G17" i="7"/>
  <c r="F36" i="9"/>
  <c r="E39" i="2"/>
  <c r="E41" i="2" s="1"/>
  <c r="E46" i="6"/>
  <c r="D8" i="4"/>
  <c r="D16" i="4" s="1"/>
  <c r="D53" i="7"/>
  <c r="D13" i="5"/>
  <c r="D22" i="3"/>
  <c r="D50" i="5" s="1"/>
  <c r="D15" i="5"/>
  <c r="D23" i="3"/>
  <c r="D50" i="2"/>
  <c r="E16" i="7"/>
  <c r="E10" i="7"/>
  <c r="E18" i="7"/>
  <c r="E11" i="7"/>
  <c r="F25" i="5"/>
  <c r="E48" i="2"/>
  <c r="E52" i="5" s="1"/>
  <c r="E9" i="7"/>
  <c r="E17" i="7"/>
  <c r="E15" i="7"/>
  <c r="E34" i="6"/>
  <c r="E12" i="7"/>
  <c r="E8" i="7"/>
  <c r="L18" i="8"/>
  <c r="L21" i="8" s="1"/>
  <c r="D11" i="7"/>
  <c r="D16" i="7"/>
  <c r="D17" i="7"/>
  <c r="D48" i="2"/>
  <c r="D52" i="5" s="1"/>
  <c r="D10" i="7"/>
  <c r="D18" i="7"/>
  <c r="D9" i="7"/>
  <c r="D12" i="7"/>
  <c r="D15" i="7"/>
  <c r="E25" i="5"/>
  <c r="D8" i="7"/>
  <c r="D41" i="2"/>
  <c r="E25" i="9"/>
  <c r="E20" i="9"/>
  <c r="E110" i="9"/>
  <c r="E111" i="9" s="1"/>
  <c r="F36" i="4" l="1"/>
  <c r="F38" i="4" s="1"/>
  <c r="F40" i="4" s="1"/>
  <c r="H13" i="7"/>
  <c r="H21" i="7" s="1"/>
  <c r="D31" i="7"/>
  <c r="H36" i="7"/>
  <c r="H35" i="7"/>
  <c r="H30" i="7"/>
  <c r="H29" i="7"/>
  <c r="H31" i="7" s="1"/>
  <c r="H26" i="7"/>
  <c r="H25" i="7"/>
  <c r="H24" i="7"/>
  <c r="H27" i="7" s="1"/>
  <c r="H33" i="7" s="1"/>
  <c r="H52" i="6"/>
  <c r="H41" i="2"/>
  <c r="E36" i="4"/>
  <c r="E38" i="4" s="1"/>
  <c r="E40" i="4" s="1"/>
  <c r="E22" i="5"/>
  <c r="F86" i="9"/>
  <c r="D15" i="10" s="1"/>
  <c r="L8" i="8"/>
  <c r="F24" i="7"/>
  <c r="F36" i="7"/>
  <c r="F52" i="6"/>
  <c r="F29" i="7"/>
  <c r="F30" i="7"/>
  <c r="F26" i="7"/>
  <c r="F25" i="7"/>
  <c r="F35" i="7"/>
  <c r="F37" i="7" s="1"/>
  <c r="F121" i="9"/>
  <c r="F77" i="9"/>
  <c r="F75" i="9"/>
  <c r="F120" i="9"/>
  <c r="F12" i="9"/>
  <c r="F15" i="9"/>
  <c r="E29" i="9"/>
  <c r="E26" i="9"/>
  <c r="F57" i="9"/>
  <c r="F52" i="9"/>
  <c r="F79" i="9" s="1"/>
  <c r="F53" i="9"/>
  <c r="F56" i="9"/>
  <c r="E13" i="7"/>
  <c r="G13" i="7"/>
  <c r="F76" i="9"/>
  <c r="D13" i="7"/>
  <c r="E19" i="7"/>
  <c r="F13" i="7"/>
  <c r="D36" i="4"/>
  <c r="D38" i="4" s="1"/>
  <c r="D40" i="4" s="1"/>
  <c r="D22" i="5"/>
  <c r="E30" i="7"/>
  <c r="E29" i="7"/>
  <c r="E24" i="7"/>
  <c r="E25" i="7"/>
  <c r="E36" i="7"/>
  <c r="E35" i="7"/>
  <c r="E26" i="7"/>
  <c r="E52" i="6"/>
  <c r="E14" i="1"/>
  <c r="E10" i="1"/>
  <c r="E11" i="1"/>
  <c r="F19" i="7"/>
  <c r="F85" i="9"/>
  <c r="L23" i="8"/>
  <c r="L25" i="8" s="1"/>
  <c r="F122" i="9"/>
  <c r="F78" i="9"/>
  <c r="G38" i="9"/>
  <c r="G76" i="9" s="1"/>
  <c r="G10" i="9"/>
  <c r="G11" i="9" s="1"/>
  <c r="G44" i="9"/>
  <c r="M22" i="8"/>
  <c r="G84" i="9" s="1"/>
  <c r="G14" i="9"/>
  <c r="H7" i="9"/>
  <c r="F7" i="1"/>
  <c r="G39" i="9"/>
  <c r="M7" i="8"/>
  <c r="G86" i="9" s="1"/>
  <c r="E15" i="10" s="1"/>
  <c r="G45" i="9"/>
  <c r="G36" i="9"/>
  <c r="G75" i="9" s="1"/>
  <c r="D27" i="7"/>
  <c r="D33" i="7" s="1"/>
  <c r="D39" i="7" s="1"/>
  <c r="G19" i="7"/>
  <c r="G29" i="7"/>
  <c r="G36" i="7"/>
  <c r="G52" i="6"/>
  <c r="G35" i="7"/>
  <c r="G25" i="7"/>
  <c r="G30" i="7"/>
  <c r="G26" i="7"/>
  <c r="G24" i="7"/>
  <c r="D19" i="7"/>
  <c r="D29" i="9"/>
  <c r="D26" i="9"/>
  <c r="F88" i="9" l="1"/>
  <c r="H39" i="7"/>
  <c r="H37" i="7"/>
  <c r="G27" i="7"/>
  <c r="E37" i="7"/>
  <c r="D21" i="7"/>
  <c r="G37" i="7"/>
  <c r="E31" i="7"/>
  <c r="G21" i="7"/>
  <c r="F21" i="7"/>
  <c r="E15" i="1"/>
  <c r="E12" i="1"/>
  <c r="F14" i="1"/>
  <c r="F10" i="1"/>
  <c r="F11" i="1"/>
  <c r="F123" i="9"/>
  <c r="F124" i="9" s="1"/>
  <c r="F80" i="9"/>
  <c r="E27" i="7"/>
  <c r="F54" i="9"/>
  <c r="G31" i="7"/>
  <c r="G33" i="7" s="1"/>
  <c r="E112" i="9"/>
  <c r="E30" i="9"/>
  <c r="L9" i="8"/>
  <c r="L11" i="8" s="1"/>
  <c r="F42" i="9" s="1"/>
  <c r="M8" i="8"/>
  <c r="G121" i="9"/>
  <c r="D112" i="9"/>
  <c r="D30" i="9"/>
  <c r="H14" i="9"/>
  <c r="H10" i="9"/>
  <c r="H38" i="9"/>
  <c r="H76" i="9" s="1"/>
  <c r="H44" i="9"/>
  <c r="I7" i="9"/>
  <c r="N22" i="8"/>
  <c r="H84" i="9" s="1"/>
  <c r="H39" i="9"/>
  <c r="G7" i="1"/>
  <c r="N7" i="8"/>
  <c r="H86" i="9" s="1"/>
  <c r="F15" i="10" s="1"/>
  <c r="H36" i="9"/>
  <c r="H75" i="9" s="1"/>
  <c r="H45" i="9"/>
  <c r="G12" i="9"/>
  <c r="G15" i="9"/>
  <c r="G77" i="9"/>
  <c r="E21" i="7"/>
  <c r="F24" i="9"/>
  <c r="F58" i="9"/>
  <c r="G57" i="9"/>
  <c r="G56" i="9"/>
  <c r="G52" i="9"/>
  <c r="G79" i="9" s="1"/>
  <c r="G53" i="9"/>
  <c r="G51" i="9"/>
  <c r="F31" i="7"/>
  <c r="L27" i="8"/>
  <c r="F37" i="9" s="1"/>
  <c r="L28" i="8"/>
  <c r="F43" i="9" s="1"/>
  <c r="M21" i="8"/>
  <c r="F19" i="9"/>
  <c r="F16" i="9"/>
  <c r="F27" i="7"/>
  <c r="G120" i="9"/>
  <c r="G39" i="7" l="1"/>
  <c r="E33" i="7"/>
  <c r="E39" i="7" s="1"/>
  <c r="F127" i="9"/>
  <c r="F46" i="9"/>
  <c r="G122" i="9"/>
  <c r="G78" i="9"/>
  <c r="G54" i="9"/>
  <c r="H121" i="9"/>
  <c r="G123" i="9"/>
  <c r="G80" i="9"/>
  <c r="I10" i="9"/>
  <c r="I11" i="9" s="1"/>
  <c r="I38" i="9"/>
  <c r="I76" i="9" s="1"/>
  <c r="I14" i="9"/>
  <c r="I44" i="9"/>
  <c r="O7" i="8"/>
  <c r="I86" i="9" s="1"/>
  <c r="G15" i="10" s="1"/>
  <c r="O22" i="8"/>
  <c r="I84" i="9" s="1"/>
  <c r="I39" i="9"/>
  <c r="I77" i="9" s="1"/>
  <c r="H7" i="1"/>
  <c r="J7" i="9"/>
  <c r="I36" i="9"/>
  <c r="I75" i="9" s="1"/>
  <c r="I45" i="9"/>
  <c r="G24" i="9"/>
  <c r="G58" i="9"/>
  <c r="H52" i="9"/>
  <c r="H79" i="9" s="1"/>
  <c r="H56" i="9"/>
  <c r="H57" i="9"/>
  <c r="H53" i="9"/>
  <c r="H51" i="9"/>
  <c r="G124" i="9"/>
  <c r="F74" i="9"/>
  <c r="F91" i="9"/>
  <c r="H11" i="9"/>
  <c r="F22" i="9"/>
  <c r="H120" i="9"/>
  <c r="N8" i="8"/>
  <c r="M9" i="8"/>
  <c r="M11" i="8" s="1"/>
  <c r="G42" i="9" s="1"/>
  <c r="G10" i="1"/>
  <c r="G11" i="1"/>
  <c r="G14" i="1"/>
  <c r="F33" i="7"/>
  <c r="F39" i="7" s="1"/>
  <c r="F15" i="1"/>
  <c r="F12" i="1"/>
  <c r="F20" i="9"/>
  <c r="D11" i="10"/>
  <c r="F110" i="9"/>
  <c r="G19" i="9"/>
  <c r="G16" i="9"/>
  <c r="M23" i="8"/>
  <c r="M25" i="8" s="1"/>
  <c r="G85" i="9"/>
  <c r="G88" i="9" s="1"/>
  <c r="H77" i="9"/>
  <c r="D14" i="10"/>
  <c r="F126" i="9"/>
  <c r="F128" i="9" s="1"/>
  <c r="E19" i="1"/>
  <c r="E16" i="1"/>
  <c r="G127" i="9" l="1"/>
  <c r="H78" i="9"/>
  <c r="H122" i="9"/>
  <c r="H54" i="9"/>
  <c r="H123" i="9"/>
  <c r="H124" i="9" s="1"/>
  <c r="H80" i="9"/>
  <c r="E20" i="1"/>
  <c r="E25" i="1"/>
  <c r="H24" i="9"/>
  <c r="H58" i="9"/>
  <c r="I52" i="9"/>
  <c r="I79" i="9" s="1"/>
  <c r="I56" i="9"/>
  <c r="I53" i="9"/>
  <c r="I57" i="9"/>
  <c r="I51" i="9"/>
  <c r="G74" i="9"/>
  <c r="G91" i="9"/>
  <c r="E11" i="10"/>
  <c r="G20" i="9"/>
  <c r="G110" i="9"/>
  <c r="F73" i="9"/>
  <c r="F87" i="9"/>
  <c r="D12" i="10"/>
  <c r="D16" i="10"/>
  <c r="D24" i="10" s="1"/>
  <c r="D30" i="10" s="1"/>
  <c r="E14" i="10"/>
  <c r="G126" i="9"/>
  <c r="G128" i="9" s="1"/>
  <c r="F19" i="1"/>
  <c r="F16" i="1"/>
  <c r="I12" i="9"/>
  <c r="I15" i="9"/>
  <c r="G12" i="1"/>
  <c r="G15" i="1"/>
  <c r="O8" i="8"/>
  <c r="N9" i="8"/>
  <c r="N11" i="8" s="1"/>
  <c r="H42" i="9" s="1"/>
  <c r="M27" i="8"/>
  <c r="G37" i="9" s="1"/>
  <c r="N21" i="8"/>
  <c r="M28" i="8"/>
  <c r="G43" i="9" s="1"/>
  <c r="G46" i="9" s="1"/>
  <c r="I120" i="9"/>
  <c r="J38" i="9"/>
  <c r="J76" i="9" s="1"/>
  <c r="J10" i="9"/>
  <c r="I7" i="1"/>
  <c r="P7" i="8"/>
  <c r="J86" i="9" s="1"/>
  <c r="H15" i="10" s="1"/>
  <c r="J11" i="9"/>
  <c r="P22" i="8"/>
  <c r="J84" i="9" s="1"/>
  <c r="J14" i="9"/>
  <c r="J44" i="9"/>
  <c r="J39" i="9"/>
  <c r="J121" i="9" s="1"/>
  <c r="J36" i="9"/>
  <c r="J120" i="9" s="1"/>
  <c r="J45" i="9"/>
  <c r="H12" i="9"/>
  <c r="H15" i="9"/>
  <c r="H10" i="1"/>
  <c r="H11" i="1"/>
  <c r="H14" i="1"/>
  <c r="I121" i="9"/>
  <c r="F25" i="9"/>
  <c r="J75" i="9" l="1"/>
  <c r="J77" i="9"/>
  <c r="F14" i="10"/>
  <c r="H126" i="9"/>
  <c r="I122" i="9"/>
  <c r="I54" i="9"/>
  <c r="I78" i="9"/>
  <c r="I123" i="9"/>
  <c r="I80" i="9"/>
  <c r="F20" i="1"/>
  <c r="F25" i="1"/>
  <c r="I58" i="9"/>
  <c r="I24" i="9"/>
  <c r="H19" i="9"/>
  <c r="H16" i="9"/>
  <c r="H74" i="9"/>
  <c r="H91" i="9"/>
  <c r="H85" i="9"/>
  <c r="H88" i="9" s="1"/>
  <c r="N23" i="8"/>
  <c r="N25" i="8" s="1"/>
  <c r="E28" i="1"/>
  <c r="E29" i="1" s="1"/>
  <c r="E30" i="1" s="1"/>
  <c r="E26" i="1"/>
  <c r="G22" i="9"/>
  <c r="I19" i="9"/>
  <c r="I16" i="9"/>
  <c r="H12" i="1"/>
  <c r="H15" i="1"/>
  <c r="H127" i="9"/>
  <c r="J15" i="9"/>
  <c r="J12" i="9"/>
  <c r="P8" i="8"/>
  <c r="O9" i="8"/>
  <c r="O11" i="8" s="1"/>
  <c r="I42" i="9" s="1"/>
  <c r="F28" i="9"/>
  <c r="F29" i="9" s="1"/>
  <c r="F26" i="9"/>
  <c r="E12" i="10"/>
  <c r="E16" i="10"/>
  <c r="E24" i="10" s="1"/>
  <c r="E30" i="10" s="1"/>
  <c r="I10" i="1"/>
  <c r="I11" i="1"/>
  <c r="I14" i="1"/>
  <c r="G19" i="1"/>
  <c r="G16" i="1"/>
  <c r="J52" i="9"/>
  <c r="J79" i="9" s="1"/>
  <c r="J56" i="9"/>
  <c r="J53" i="9"/>
  <c r="J57" i="9"/>
  <c r="J51" i="9"/>
  <c r="I124" i="9" l="1"/>
  <c r="G14" i="10" s="1"/>
  <c r="I127" i="9"/>
  <c r="I12" i="1"/>
  <c r="I15" i="1"/>
  <c r="H19" i="1"/>
  <c r="H16" i="1"/>
  <c r="F11" i="10"/>
  <c r="H20" i="9"/>
  <c r="H110" i="9"/>
  <c r="I74" i="9"/>
  <c r="I91" i="9"/>
  <c r="I20" i="9"/>
  <c r="I110" i="9"/>
  <c r="G11" i="10"/>
  <c r="F92" i="9"/>
  <c r="F93" i="9" s="1"/>
  <c r="F71" i="9"/>
  <c r="F81" i="9" s="1"/>
  <c r="F30" i="9"/>
  <c r="G73" i="9"/>
  <c r="G87" i="9"/>
  <c r="G25" i="9"/>
  <c r="F28" i="1"/>
  <c r="F29" i="1" s="1"/>
  <c r="F30" i="1" s="1"/>
  <c r="F26" i="1"/>
  <c r="J54" i="9"/>
  <c r="J122" i="9"/>
  <c r="J78" i="9"/>
  <c r="G20" i="1"/>
  <c r="G25" i="1"/>
  <c r="J123" i="9"/>
  <c r="J80" i="9"/>
  <c r="P9" i="8"/>
  <c r="P11" i="8" s="1"/>
  <c r="J42" i="9" s="1"/>
  <c r="J24" i="9"/>
  <c r="J58" i="9"/>
  <c r="O21" i="8"/>
  <c r="N28" i="8"/>
  <c r="H43" i="9" s="1"/>
  <c r="H46" i="9" s="1"/>
  <c r="N27" i="8"/>
  <c r="H37" i="9" s="1"/>
  <c r="J16" i="9"/>
  <c r="F39" i="10"/>
  <c r="F41" i="10" s="1"/>
  <c r="F43" i="10" s="1"/>
  <c r="J19" i="9"/>
  <c r="H128" i="9"/>
  <c r="I126" i="9" l="1"/>
  <c r="I128" i="9" s="1"/>
  <c r="J124" i="9"/>
  <c r="J126" i="9" s="1"/>
  <c r="F95" i="9"/>
  <c r="F98" i="9" s="1"/>
  <c r="F35" i="9" s="1"/>
  <c r="F40" i="9" s="1"/>
  <c r="H22" i="9"/>
  <c r="I85" i="9"/>
  <c r="I88" i="9" s="1"/>
  <c r="O23" i="8"/>
  <c r="O25" i="8" s="1"/>
  <c r="F12" i="10"/>
  <c r="F16" i="10"/>
  <c r="F24" i="10" s="1"/>
  <c r="F30" i="10" s="1"/>
  <c r="J74" i="9"/>
  <c r="J91" i="9"/>
  <c r="H20" i="1"/>
  <c r="H25" i="1"/>
  <c r="I19" i="1"/>
  <c r="I16" i="1"/>
  <c r="H11" i="10"/>
  <c r="J20" i="9"/>
  <c r="J110" i="9"/>
  <c r="H14" i="10"/>
  <c r="G28" i="9"/>
  <c r="G29" i="9" s="1"/>
  <c r="G26" i="9"/>
  <c r="J127" i="9"/>
  <c r="F99" i="9"/>
  <c r="G28" i="1"/>
  <c r="G29" i="1" s="1"/>
  <c r="G30" i="1" s="1"/>
  <c r="G26" i="1"/>
  <c r="G12" i="10"/>
  <c r="G16" i="10"/>
  <c r="G24" i="10" s="1"/>
  <c r="G30" i="10" s="1"/>
  <c r="F116" i="9" l="1"/>
  <c r="F117" i="9"/>
  <c r="G97" i="9"/>
  <c r="G92" i="9"/>
  <c r="G93" i="9" s="1"/>
  <c r="G71" i="9"/>
  <c r="G81" i="9" s="1"/>
  <c r="G95" i="9" s="1"/>
  <c r="G98" i="9" s="1"/>
  <c r="G35" i="9" s="1"/>
  <c r="G30" i="9"/>
  <c r="H12" i="10"/>
  <c r="H16" i="10" s="1"/>
  <c r="H24" i="10" s="1"/>
  <c r="I25" i="1"/>
  <c r="I20" i="1"/>
  <c r="F48" i="9"/>
  <c r="F115" i="9"/>
  <c r="O27" i="8"/>
  <c r="I37" i="9" s="1"/>
  <c r="O28" i="8"/>
  <c r="I43" i="9" s="1"/>
  <c r="I46" i="9" s="1"/>
  <c r="P21" i="8"/>
  <c r="J128" i="9"/>
  <c r="H26" i="1"/>
  <c r="H28" i="1"/>
  <c r="H29" i="1" s="1"/>
  <c r="H30" i="1" s="1"/>
  <c r="H87" i="9"/>
  <c r="H73" i="9"/>
  <c r="H25" i="9"/>
  <c r="C39" i="10" l="1"/>
  <c r="C42" i="10" s="1"/>
  <c r="H25" i="10" s="1"/>
  <c r="H31" i="10" s="1"/>
  <c r="C46" i="10" s="1"/>
  <c r="H30" i="10"/>
  <c r="F61" i="9"/>
  <c r="F62" i="9" s="1"/>
  <c r="F64" i="9" s="1"/>
  <c r="F111" i="9" s="1"/>
  <c r="F112" i="9"/>
  <c r="H26" i="9"/>
  <c r="H28" i="9"/>
  <c r="H29" i="9" s="1"/>
  <c r="J85" i="9"/>
  <c r="J88" i="9" s="1"/>
  <c r="P23" i="8"/>
  <c r="P25" i="8" s="1"/>
  <c r="I22" i="9"/>
  <c r="I28" i="1"/>
  <c r="I29" i="1" s="1"/>
  <c r="I30" i="1" s="1"/>
  <c r="I26" i="1"/>
  <c r="G116" i="9"/>
  <c r="H97" i="9"/>
  <c r="G40" i="9"/>
  <c r="G117" i="9"/>
  <c r="G99" i="9"/>
  <c r="H26" i="10" l="1"/>
  <c r="H30" i="9"/>
  <c r="H71" i="9"/>
  <c r="H81" i="9" s="1"/>
  <c r="H92" i="9"/>
  <c r="H93" i="9" s="1"/>
  <c r="I87" i="9"/>
  <c r="I73" i="9"/>
  <c r="I25" i="9"/>
  <c r="P27" i="8"/>
  <c r="J37" i="9" s="1"/>
  <c r="P28" i="8"/>
  <c r="J43" i="9" s="1"/>
  <c r="J46" i="9" s="1"/>
  <c r="H32" i="10"/>
  <c r="C45" i="10"/>
  <c r="C47" i="10" s="1"/>
  <c r="G48" i="9"/>
  <c r="G115" i="9"/>
  <c r="G61" i="9" l="1"/>
  <c r="G62" i="9" s="1"/>
  <c r="G64" i="9" s="1"/>
  <c r="G111" i="9" s="1"/>
  <c r="G112" i="9"/>
  <c r="J22" i="9"/>
  <c r="I28" i="9"/>
  <c r="I29" i="9" s="1"/>
  <c r="I26" i="9"/>
  <c r="H95" i="9"/>
  <c r="H98" i="9" s="1"/>
  <c r="H35" i="9" s="1"/>
  <c r="H99" i="9"/>
  <c r="H116" i="9" l="1"/>
  <c r="I97" i="9"/>
  <c r="H117" i="9"/>
  <c r="H40" i="9"/>
  <c r="I71" i="9"/>
  <c r="I81" i="9" s="1"/>
  <c r="I30" i="9"/>
  <c r="I92" i="9"/>
  <c r="I93" i="9" s="1"/>
  <c r="J87" i="9"/>
  <c r="J73" i="9"/>
  <c r="J25" i="9"/>
  <c r="I99" i="9" l="1"/>
  <c r="H48" i="9"/>
  <c r="H115" i="9"/>
  <c r="J26" i="9"/>
  <c r="J28" i="9"/>
  <c r="J29" i="9"/>
  <c r="I95" i="9"/>
  <c r="I98" i="9" s="1"/>
  <c r="I35" i="9" s="1"/>
  <c r="I116" i="9" l="1"/>
  <c r="I117" i="9"/>
  <c r="J97" i="9"/>
  <c r="I40" i="9"/>
  <c r="J71" i="9"/>
  <c r="J81" i="9" s="1"/>
  <c r="J30" i="9"/>
  <c r="J92" i="9"/>
  <c r="J93" i="9" s="1"/>
  <c r="H61" i="9"/>
  <c r="H62" i="9" s="1"/>
  <c r="H64" i="9" s="1"/>
  <c r="H111" i="9" s="1"/>
  <c r="H112" i="9"/>
  <c r="J99" i="9" l="1"/>
  <c r="J95" i="9"/>
  <c r="J98" i="9" s="1"/>
  <c r="J35" i="9" s="1"/>
  <c r="I115" i="9"/>
  <c r="I48" i="9"/>
  <c r="I61" i="9" l="1"/>
  <c r="I62" i="9" s="1"/>
  <c r="I64" i="9" s="1"/>
  <c r="I111" i="9" s="1"/>
  <c r="I112" i="9"/>
  <c r="J117" i="9"/>
  <c r="J116" i="9"/>
  <c r="J40" i="9"/>
  <c r="J115" i="9" l="1"/>
  <c r="J48" i="9"/>
  <c r="J61" i="9" l="1"/>
  <c r="J62" i="9" s="1"/>
  <c r="J64" i="9" s="1"/>
  <c r="J111" i="9" s="1"/>
  <c r="J11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thamizhk000@gmail.com</author>
  </authors>
  <commentList>
    <comment ref="E7" authorId="0" shapeId="0" xr:uid="{ADD8D7A9-7587-4BBF-B474-6AD4D6AD37CD}">
      <text>
        <r>
          <rPr>
            <sz val="11"/>
            <color rgb="FF000000"/>
            <rFont val="Aptos Narrow"/>
            <family val="2"/>
          </rPr>
          <t xml:space="preserve">As forcasted from previous years.
</t>
        </r>
      </text>
    </comment>
    <comment ref="E8" authorId="0" shapeId="0" xr:uid="{CB74EC1D-95D7-4FA5-8A09-E73A1229390C}">
      <text>
        <r>
          <rPr>
            <sz val="11"/>
            <color rgb="FF000000"/>
            <rFont val="Aptos Narrow"/>
            <family val="2"/>
          </rPr>
          <t xml:space="preserve">As percentage of revenue 
</t>
        </r>
      </text>
    </comment>
    <comment ref="E9" authorId="0" shapeId="0" xr:uid="{B253E93B-7FF9-4E37-915C-FB038813749D}">
      <text>
        <r>
          <rPr>
            <sz val="11"/>
            <color rgb="FF000000"/>
            <rFont val="Aptos Narrow"/>
            <family val="2"/>
          </rPr>
          <t xml:space="preserve">As percentage of revenue </t>
        </r>
      </text>
    </comment>
    <comment ref="E10" authorId="0" shapeId="0" xr:uid="{B753326B-22A8-4F78-A578-333311F1C17F}">
      <text>
        <r>
          <rPr>
            <sz val="11"/>
            <color rgb="FF000000"/>
            <rFont val="Aptos Narrow"/>
            <family val="2"/>
          </rPr>
          <t>As percentage of other non current 
financial liabilities</t>
        </r>
      </text>
    </comment>
    <comment ref="E11" authorId="0" shapeId="0" xr:uid="{C2AB5788-274A-4FEA-9B63-C9843C09F218}">
      <text>
        <r>
          <rPr>
            <sz val="11"/>
            <color rgb="FF000000"/>
            <rFont val="Aptos Narrow"/>
            <family val="2"/>
          </rPr>
          <t xml:space="preserve">Average from previous years
</t>
        </r>
      </text>
    </comment>
    <comment ref="E16" authorId="0" shapeId="0" xr:uid="{388BABB8-D398-45E8-B922-77B4EAAC7105}">
      <text>
        <r>
          <rPr>
            <sz val="11"/>
            <color rgb="FF000000"/>
            <rFont val="Aptos Narrow"/>
            <family val="2"/>
          </rPr>
          <t>DSO</t>
        </r>
      </text>
    </comment>
    <comment ref="E17" authorId="0" shapeId="0" xr:uid="{214D20E9-1A1C-4F0B-96B1-08926C3F9B4F}">
      <text>
        <r>
          <rPr>
            <sz val="11"/>
            <color rgb="FF000000"/>
            <rFont val="Aptos Narrow"/>
            <family val="2"/>
          </rPr>
          <t xml:space="preserve">As percentage of revenue </t>
        </r>
      </text>
    </comment>
    <comment ref="E18" authorId="0" shapeId="0" xr:uid="{DE1F2EFF-AFFC-4860-BC7B-9BB980578CB8}">
      <text>
        <r>
          <rPr>
            <sz val="11"/>
            <color rgb="FF000000"/>
            <rFont val="Aptos Narrow"/>
            <family val="2"/>
          </rPr>
          <t xml:space="preserve">Converted into days by using revenue </t>
        </r>
      </text>
    </comment>
    <comment ref="E21" authorId="0" shapeId="0" xr:uid="{71FEA57F-07DF-471E-8E17-AC0173437C01}">
      <text>
        <r>
          <rPr>
            <sz val="11"/>
            <color rgb="FF000000"/>
            <rFont val="Aptos Narrow"/>
            <family val="2"/>
          </rPr>
          <t xml:space="preserve">Used depreciation roll forward method </t>
        </r>
      </text>
    </comment>
    <comment ref="E23" authorId="0" shapeId="0" xr:uid="{3049F0EE-E22F-4236-B0EF-9E184F344B51}">
      <text>
        <r>
          <rPr>
            <sz val="11"/>
            <color rgb="FF000000"/>
            <rFont val="Aptos Narrow"/>
            <family val="2"/>
          </rPr>
          <t>Other non current financial assets percentage of revenue</t>
        </r>
      </text>
    </comment>
    <comment ref="B24" authorId="0" shapeId="0" xr:uid="{412D833E-351A-494B-98C9-811A102CEEBD}">
      <text>
        <r>
          <rPr>
            <sz val="11"/>
            <color rgb="FF000000"/>
            <rFont val="Aptos Narrow"/>
            <family val="2"/>
          </rPr>
          <t>NO DEBT</t>
        </r>
      </text>
    </comment>
    <comment ref="E24" authorId="0" shapeId="0" xr:uid="{3A8EAB2D-5E1C-473B-92FE-4CFD2CE547A5}">
      <text>
        <r>
          <rPr>
            <sz val="11"/>
            <color rgb="FF000000"/>
            <rFont val="Aptos Narrow"/>
            <family val="2"/>
          </rPr>
          <t>Other non current assets percentage of revenue</t>
        </r>
      </text>
    </comment>
    <comment ref="E26" authorId="0" shapeId="0" xr:uid="{7C5C5313-346C-4670-8FA7-5538CE243CBF}">
      <text>
        <r>
          <rPr>
            <sz val="11"/>
            <color rgb="FF000000"/>
            <rFont val="Aptos Narrow"/>
            <family val="2"/>
          </rPr>
          <t>DPO</t>
        </r>
      </text>
    </comment>
    <comment ref="E27" authorId="0" shapeId="0" xr:uid="{DEB1D0F6-39DF-4879-8398-2D34793625BA}">
      <text>
        <r>
          <rPr>
            <sz val="11"/>
            <color rgb="FF000000"/>
            <rFont val="Aptos Narrow"/>
            <family val="2"/>
          </rPr>
          <t xml:space="preserve">Other financial liabilities to percentage of operating expense </t>
        </r>
      </text>
    </comment>
    <comment ref="E28" authorId="0" shapeId="0" xr:uid="{3C57D1B8-DDC8-4232-8F39-10CB61901BA7}">
      <text>
        <r>
          <rPr>
            <sz val="11"/>
            <color rgb="FF000000"/>
            <rFont val="Aptos Narrow"/>
            <family val="2"/>
          </rPr>
          <t xml:space="preserve">Converted to days by dividing it with operating expense 
</t>
        </r>
      </text>
    </comment>
    <comment ref="E30" authorId="0" shapeId="0" xr:uid="{5552CB4C-9AB9-4202-9CD9-713055DB6A17}">
      <text>
        <r>
          <rPr>
            <sz val="11"/>
            <color rgb="FF000000"/>
            <rFont val="Aptos Narrow"/>
            <family val="2"/>
          </rPr>
          <t xml:space="preserve">ONCFL as percentage of opex
</t>
        </r>
      </text>
    </comment>
    <comment ref="E31" authorId="0" shapeId="0" xr:uid="{E3EB48D2-4530-4930-B2E1-FCBDAE0F0828}">
      <text>
        <r>
          <rPr>
            <sz val="11"/>
            <color rgb="FF000000"/>
            <rFont val="Aptos Narrow"/>
            <family val="2"/>
          </rPr>
          <t>ONCL as percentage of opex</t>
        </r>
      </text>
    </comment>
  </commentList>
</comments>
</file>

<file path=xl/sharedStrings.xml><?xml version="1.0" encoding="utf-8"?>
<sst xmlns="http://schemas.openxmlformats.org/spreadsheetml/2006/main" count="535" uniqueCount="336">
  <si>
    <t xml:space="preserve">Financial Summary </t>
  </si>
  <si>
    <t>All Amounts in Crores ₹</t>
  </si>
  <si>
    <t xml:space="preserve">Income Statement </t>
  </si>
  <si>
    <t>2026F</t>
  </si>
  <si>
    <t>2027F</t>
  </si>
  <si>
    <t>2028F</t>
  </si>
  <si>
    <t>2029F</t>
  </si>
  <si>
    <t>2030F</t>
  </si>
  <si>
    <t>Enterprise value</t>
  </si>
  <si>
    <t>Revenue</t>
  </si>
  <si>
    <t>Revenue Growth %</t>
  </si>
  <si>
    <t>Direct Cost</t>
  </si>
  <si>
    <t xml:space="preserve">Gross Profit </t>
  </si>
  <si>
    <t>Gross Profit Margin%</t>
  </si>
  <si>
    <t>SG&amp;A</t>
  </si>
  <si>
    <t>EBITDA</t>
  </si>
  <si>
    <t>EBITDA Margin%</t>
  </si>
  <si>
    <t xml:space="preserve">Depreciation </t>
  </si>
  <si>
    <t>EBIT</t>
  </si>
  <si>
    <t>EBIT Margin%</t>
  </si>
  <si>
    <t xml:space="preserve">Other Income </t>
  </si>
  <si>
    <t xml:space="preserve">Extraordinary items </t>
  </si>
  <si>
    <t>-</t>
  </si>
  <si>
    <t xml:space="preserve">Interest Expense </t>
  </si>
  <si>
    <t>EBT</t>
  </si>
  <si>
    <t xml:space="preserve">DCF Valuation Summary </t>
  </si>
  <si>
    <t>EBT Margin%</t>
  </si>
  <si>
    <t>Free Cash Flow</t>
  </si>
  <si>
    <t xml:space="preserve">Tax Expense </t>
  </si>
  <si>
    <t>Net Profit &amp; Loss</t>
  </si>
  <si>
    <t>Net P&amp;L Margin %</t>
  </si>
  <si>
    <t xml:space="preserve">Profitability </t>
  </si>
  <si>
    <t>INFOSYS INCOME STATEMENT</t>
  </si>
  <si>
    <t>All in Crores ₹</t>
  </si>
  <si>
    <t>Period</t>
  </si>
  <si>
    <t xml:space="preserve">Description </t>
  </si>
  <si>
    <t xml:space="preserve">OP </t>
  </si>
  <si>
    <t>COGS</t>
  </si>
  <si>
    <t xml:space="preserve">Operating Income </t>
  </si>
  <si>
    <t>NON OP</t>
  </si>
  <si>
    <t xml:space="preserve">Non recurring items </t>
  </si>
  <si>
    <t xml:space="preserve">Net Income </t>
  </si>
  <si>
    <t xml:space="preserve">OTHER INFORMATION </t>
  </si>
  <si>
    <t>Other Information</t>
  </si>
  <si>
    <t xml:space="preserve">Depreciation &amp; amortization </t>
  </si>
  <si>
    <t>Gross profit</t>
  </si>
  <si>
    <t>Basic EPS</t>
  </si>
  <si>
    <t>Diluted EPS</t>
  </si>
  <si>
    <t>Tax rate</t>
  </si>
  <si>
    <t xml:space="preserve">INFOSYS BALANCE SHEET </t>
  </si>
  <si>
    <t>ASSETS</t>
  </si>
  <si>
    <t>ASSETS :</t>
  </si>
  <si>
    <t>Cash &amp; Cash Equivalents</t>
  </si>
  <si>
    <t xml:space="preserve">Trades Receivable </t>
  </si>
  <si>
    <t xml:space="preserve">Investment </t>
  </si>
  <si>
    <t xml:space="preserve">Other Financial Assets </t>
  </si>
  <si>
    <t xml:space="preserve">Other Current asset </t>
  </si>
  <si>
    <t xml:space="preserve">Total Current Assets </t>
  </si>
  <si>
    <t xml:space="preserve">Fixed Assets </t>
  </si>
  <si>
    <t xml:space="preserve">Long-Term Investment </t>
  </si>
  <si>
    <t>Other Non-Current Assets</t>
  </si>
  <si>
    <t xml:space="preserve">Total Non-Current Assets </t>
  </si>
  <si>
    <t>TOTAL ASSETS</t>
  </si>
  <si>
    <t xml:space="preserve">LIABILITIES </t>
  </si>
  <si>
    <t>LIABILITIES &amp; EQUITY :</t>
  </si>
  <si>
    <t xml:space="preserve">Accounts Payable </t>
  </si>
  <si>
    <t xml:space="preserve">Other Financial Liabilities </t>
  </si>
  <si>
    <t xml:space="preserve">Other Current Liabilities </t>
  </si>
  <si>
    <t xml:space="preserve">Total Current Liabilities </t>
  </si>
  <si>
    <t xml:space="preserve">Other Financial Liablities </t>
  </si>
  <si>
    <t xml:space="preserve">Other Non-Current Liabilities </t>
  </si>
  <si>
    <t xml:space="preserve">Total Non-Current Liabilities </t>
  </si>
  <si>
    <t>TOTAL LIABILITIES</t>
  </si>
  <si>
    <t>Equity</t>
  </si>
  <si>
    <t xml:space="preserve">Share Capital </t>
  </si>
  <si>
    <t xml:space="preserve">Other Equity </t>
  </si>
  <si>
    <t>TOTAL EQUITY</t>
  </si>
  <si>
    <t>TOTAL LIABILITIES &amp; EQUITY</t>
  </si>
  <si>
    <t>BALANCED OR NOT</t>
  </si>
  <si>
    <t xml:space="preserve">Other Information </t>
  </si>
  <si>
    <t>Common share</t>
  </si>
  <si>
    <t>Diluted common share</t>
  </si>
  <si>
    <t>Market price of the share</t>
  </si>
  <si>
    <t>Par Value of common share</t>
  </si>
  <si>
    <t>Book value of common share</t>
  </si>
  <si>
    <t>Dividend paid per share</t>
  </si>
  <si>
    <t>Dividend payout ratio</t>
  </si>
  <si>
    <t xml:space="preserve">INFOSYS CASHFLOW STATEMENT </t>
  </si>
  <si>
    <t xml:space="preserve">OPERATING CASHFLOW </t>
  </si>
  <si>
    <t>Operating Cash Flow :</t>
  </si>
  <si>
    <t>Net non-cash changes</t>
  </si>
  <si>
    <t xml:space="preserve">Income tax expense </t>
  </si>
  <si>
    <t xml:space="preserve">Finance Cost </t>
  </si>
  <si>
    <t xml:space="preserve">Interest &amp; Dividend Income </t>
  </si>
  <si>
    <t xml:space="preserve">Other Adjustment </t>
  </si>
  <si>
    <t xml:space="preserve">Net working capital change </t>
  </si>
  <si>
    <t xml:space="preserve">Income tax paid </t>
  </si>
  <si>
    <t>Net Operating Cash Flow</t>
  </si>
  <si>
    <t>INVESTING CASHFLOW</t>
  </si>
  <si>
    <t>Investment Cash Flow :</t>
  </si>
  <si>
    <t>Capex</t>
  </si>
  <si>
    <t>loan disbursed</t>
  </si>
  <si>
    <t xml:space="preserve">Purchase of investment </t>
  </si>
  <si>
    <t>Proceeds from investments</t>
  </si>
  <si>
    <t>Interest and dividend received</t>
  </si>
  <si>
    <t>other</t>
  </si>
  <si>
    <t>Net Investing Cash Flow</t>
  </si>
  <si>
    <t>FINANCE CASHFLOW</t>
  </si>
  <si>
    <t>Financing Cash Flow :</t>
  </si>
  <si>
    <t>Payment of lease liabilities</t>
  </si>
  <si>
    <t>Net Buyback of shares</t>
  </si>
  <si>
    <t>Dividend payment (including tax)</t>
  </si>
  <si>
    <t xml:space="preserve">Other receipt </t>
  </si>
  <si>
    <t xml:space="preserve">Net Financing Cash Flow </t>
  </si>
  <si>
    <t>Effect of forgien currency change</t>
  </si>
  <si>
    <t>Net Increase/(Decrease)in Cash</t>
  </si>
  <si>
    <t>Cash and Cash equivalents at beginning</t>
  </si>
  <si>
    <t xml:space="preserve">Cash and Cash equivalents at end </t>
  </si>
  <si>
    <t>Cash Flow match</t>
  </si>
  <si>
    <t>INFOSYS RATIO ANALYSIS</t>
  </si>
  <si>
    <t xml:space="preserve">PROFITABILITY RATIO </t>
  </si>
  <si>
    <t>Gross Profit Margin</t>
  </si>
  <si>
    <t>EBIT Margin</t>
  </si>
  <si>
    <t>EBITDA Margin</t>
  </si>
  <si>
    <t xml:space="preserve">Net Profit Margin </t>
  </si>
  <si>
    <t xml:space="preserve">Return On Asset </t>
  </si>
  <si>
    <t xml:space="preserve">LIQUIDITY RATIO </t>
  </si>
  <si>
    <t>Current Ratio</t>
  </si>
  <si>
    <t>Quick Ratio</t>
  </si>
  <si>
    <t>Ops Cash Flow to Net Income</t>
  </si>
  <si>
    <t>EFFICIENCY RATIO</t>
  </si>
  <si>
    <t>Asset turnover</t>
  </si>
  <si>
    <t>Reciveables turnover:</t>
  </si>
  <si>
    <t xml:space="preserve">Average Reciveables </t>
  </si>
  <si>
    <t>Reciveables turnover</t>
  </si>
  <si>
    <t>Reciveables Days</t>
  </si>
  <si>
    <t>Payable Turnover:</t>
  </si>
  <si>
    <t xml:space="preserve">Average payable </t>
  </si>
  <si>
    <t>Payable Turnover</t>
  </si>
  <si>
    <t>Payables Days</t>
  </si>
  <si>
    <t>Operating Expense Ratio</t>
  </si>
  <si>
    <t xml:space="preserve">LEVERAGE RATIO </t>
  </si>
  <si>
    <t>Debt Ratio</t>
  </si>
  <si>
    <t xml:space="preserve">EBITDA To Interest </t>
  </si>
  <si>
    <t xml:space="preserve">EBITDA-Capex To Interest </t>
  </si>
  <si>
    <t xml:space="preserve">Market Ratio </t>
  </si>
  <si>
    <t>P/E Ratio</t>
  </si>
  <si>
    <t>P/B Ratio</t>
  </si>
  <si>
    <t>Dividend Yield</t>
  </si>
  <si>
    <t xml:space="preserve">INFOSYS HORIZONTAL ANALYSIS </t>
  </si>
  <si>
    <t>Growth in Revenue</t>
  </si>
  <si>
    <t>Growth in COGS</t>
  </si>
  <si>
    <t xml:space="preserve">Growth In Gross Profit </t>
  </si>
  <si>
    <t>Growth  in SG&amp;A</t>
  </si>
  <si>
    <t xml:space="preserve">Growth Other Income </t>
  </si>
  <si>
    <t xml:space="preserve">Growth Interest Expense </t>
  </si>
  <si>
    <t xml:space="preserve">Growth in Tax Expense </t>
  </si>
  <si>
    <t xml:space="preserve">Growth in Net Income </t>
  </si>
  <si>
    <t>INFOSYS VERTICAL ANALYSIS</t>
  </si>
  <si>
    <t xml:space="preserve">BALANCE SHEET </t>
  </si>
  <si>
    <t xml:space="preserve">INCOME STATEMENT </t>
  </si>
  <si>
    <t>Gross profit margin</t>
  </si>
  <si>
    <t xml:space="preserve">Depreciation and amortization </t>
  </si>
  <si>
    <t xml:space="preserve">Tax expense </t>
  </si>
  <si>
    <t>Net Income</t>
  </si>
  <si>
    <t xml:space="preserve">CURRENT PERCENTAGE </t>
  </si>
  <si>
    <t>Accounts Receivable to Revenues</t>
  </si>
  <si>
    <t>Other financial Assets to Revenues</t>
  </si>
  <si>
    <t xml:space="preserve">Other current assets to revenue in days </t>
  </si>
  <si>
    <t>Current Assets to Revenues</t>
  </si>
  <si>
    <t>Accounts Payable to COGS</t>
  </si>
  <si>
    <t xml:space="preserve">Other financial liabilities to operating expense </t>
  </si>
  <si>
    <t>Other Current Liabilities to operating expense in days</t>
  </si>
  <si>
    <t>Current Liabilities to COGS</t>
  </si>
  <si>
    <t>OTHERS</t>
  </si>
  <si>
    <t xml:space="preserve">Finance cost to non current financial liabilities </t>
  </si>
  <si>
    <t xml:space="preserve">Capex % of revenue </t>
  </si>
  <si>
    <t xml:space="preserve">Depreciation to fixed asset </t>
  </si>
  <si>
    <t xml:space="preserve">Other income to revenue </t>
  </si>
  <si>
    <t xml:space="preserve">Other non current financial assets to revenue </t>
  </si>
  <si>
    <t xml:space="preserve">Other non current assets to revenue </t>
  </si>
  <si>
    <t>Other non current financial liabilities to opex</t>
  </si>
  <si>
    <t>Other non current liabilities</t>
  </si>
  <si>
    <t xml:space="preserve">Investment  assumption </t>
  </si>
  <si>
    <t xml:space="preserve">Total investment </t>
  </si>
  <si>
    <t>Turnover ratio</t>
  </si>
  <si>
    <t>Investment yield</t>
  </si>
  <si>
    <t xml:space="preserve">Purchase to %of revenue </t>
  </si>
  <si>
    <t>Assumptions</t>
  </si>
  <si>
    <t>All amount in crores ₹</t>
  </si>
  <si>
    <t>Discount Rate Estimation - Weighted Average Cost of Capital(WACC)</t>
  </si>
  <si>
    <t xml:space="preserve">Income statement                          assumption </t>
  </si>
  <si>
    <t>Base</t>
  </si>
  <si>
    <t>Best</t>
  </si>
  <si>
    <t>Worst</t>
  </si>
  <si>
    <t>depericiation 
Roll Forward</t>
  </si>
  <si>
    <t>Weight</t>
  </si>
  <si>
    <t xml:space="preserve">Revenue </t>
  </si>
  <si>
    <t>Fixed asset</t>
  </si>
  <si>
    <t>Debt</t>
  </si>
  <si>
    <t>Depereciation</t>
  </si>
  <si>
    <t>Total</t>
  </si>
  <si>
    <t>Income Tax</t>
  </si>
  <si>
    <t xml:space="preserve">Total fixed asset </t>
  </si>
  <si>
    <t>Cost of Equity</t>
  </si>
  <si>
    <t>Capex average % of rev</t>
  </si>
  <si>
    <t>Risk free interest rate</t>
  </si>
  <si>
    <t xml:space="preserve">BALANCE SHEET                                                                            assumption </t>
  </si>
  <si>
    <t>Depreciation % of fixed asset</t>
  </si>
  <si>
    <t>Beta</t>
  </si>
  <si>
    <t>Market Risk Premium</t>
  </si>
  <si>
    <t>Investment
Assumptions</t>
  </si>
  <si>
    <t>Equity Risk Premium</t>
  </si>
  <si>
    <t xml:space="preserve">Trades receivable </t>
  </si>
  <si>
    <t xml:space="preserve">Other Fincial asset </t>
  </si>
  <si>
    <t xml:space="preserve">Other current asset </t>
  </si>
  <si>
    <t xml:space="preserve">Investment turnover </t>
  </si>
  <si>
    <t>Cost of Debt</t>
  </si>
  <si>
    <t xml:space="preserve">Dividend payout </t>
  </si>
  <si>
    <t>Purchase %</t>
  </si>
  <si>
    <t>Average yield</t>
  </si>
  <si>
    <t xml:space="preserve">Debt risk premium </t>
  </si>
  <si>
    <t xml:space="preserve">Fixed assets </t>
  </si>
  <si>
    <t>Sales</t>
  </si>
  <si>
    <t>Pre-tax cost of debt</t>
  </si>
  <si>
    <t xml:space="preserve">Long term investment </t>
  </si>
  <si>
    <t>as from ST</t>
  </si>
  <si>
    <t>Purchase</t>
  </si>
  <si>
    <t xml:space="preserve">Other financial assets </t>
  </si>
  <si>
    <t xml:space="preserve">Net proceeds </t>
  </si>
  <si>
    <t>Cost of Debt (after tax)</t>
  </si>
  <si>
    <t xml:space="preserve">Other non current assets </t>
  </si>
  <si>
    <t>Discount Rate (WACC)</t>
  </si>
  <si>
    <t xml:space="preserve">Trades payable </t>
  </si>
  <si>
    <t xml:space="preserve">Other financial liabilities </t>
  </si>
  <si>
    <t xml:space="preserve">S-T Investment </t>
  </si>
  <si>
    <t>Other current liabilities</t>
  </si>
  <si>
    <t xml:space="preserve">L-T Investment </t>
  </si>
  <si>
    <t xml:space="preserve">Other non current financial liabilities </t>
  </si>
  <si>
    <t>Financial Projections</t>
  </si>
  <si>
    <t>All amounts in Crores ₹</t>
  </si>
  <si>
    <t>ACTUAL</t>
  </si>
  <si>
    <t xml:space="preserve">FORECAST </t>
  </si>
  <si>
    <t>Income Statement</t>
  </si>
  <si>
    <t>Revenue Growth</t>
  </si>
  <si>
    <t>Direct Costs</t>
  </si>
  <si>
    <t>Gross Profit</t>
  </si>
  <si>
    <t>Gross Profit Margin %</t>
  </si>
  <si>
    <t>EBITDA Margin %</t>
  </si>
  <si>
    <t>Depreciation</t>
  </si>
  <si>
    <t>EBIT Margin %</t>
  </si>
  <si>
    <t>Extraordinary Expenses</t>
  </si>
  <si>
    <t>Interest Expense</t>
  </si>
  <si>
    <t>EBT Margin %</t>
  </si>
  <si>
    <t>Income Taxes</t>
  </si>
  <si>
    <t>Net Income/Loss</t>
  </si>
  <si>
    <t>Net Income/Loss Margin %</t>
  </si>
  <si>
    <t>Balance Sheet</t>
  </si>
  <si>
    <t>Cash</t>
  </si>
  <si>
    <t>Receivables</t>
  </si>
  <si>
    <t>Other Current Assets</t>
  </si>
  <si>
    <t>Current Assets</t>
  </si>
  <si>
    <t>Fixed Assets</t>
  </si>
  <si>
    <t xml:space="preserve">Other non current financial assets </t>
  </si>
  <si>
    <t>Other non current asset</t>
  </si>
  <si>
    <t>Non Current Asset</t>
  </si>
  <si>
    <t>Assets</t>
  </si>
  <si>
    <t>Payables</t>
  </si>
  <si>
    <t>Other Current Liabilities</t>
  </si>
  <si>
    <t>Short-term Liabilities</t>
  </si>
  <si>
    <t xml:space="preserve">Other non current financal liabilities </t>
  </si>
  <si>
    <t xml:space="preserve">Other non current liabilities </t>
  </si>
  <si>
    <t>Long-term Liabilities</t>
  </si>
  <si>
    <t>Share capital</t>
  </si>
  <si>
    <t>Others</t>
  </si>
  <si>
    <t>Shareholder's Equity</t>
  </si>
  <si>
    <t>Liabilities &amp; Shareholder's Equity</t>
  </si>
  <si>
    <t xml:space="preserve">Cash Flow Statement </t>
  </si>
  <si>
    <t>Cash Flow From Operations:</t>
  </si>
  <si>
    <t xml:space="preserve">Net income </t>
  </si>
  <si>
    <t xml:space="preserve">Deprerciation &amp; Amortization </t>
  </si>
  <si>
    <t>Interest expense</t>
  </si>
  <si>
    <t xml:space="preserve">Change in receivable </t>
  </si>
  <si>
    <t xml:space="preserve">Change in other financial assets </t>
  </si>
  <si>
    <t>Change in othe assets</t>
  </si>
  <si>
    <t xml:space="preserve">Change in payable </t>
  </si>
  <si>
    <t xml:space="preserve">Change in other finacial liabilities </t>
  </si>
  <si>
    <t xml:space="preserve">Other financial Liabilities </t>
  </si>
  <si>
    <t xml:space="preserve">Net cash from operations </t>
  </si>
  <si>
    <t>Cash Flow From Investing:</t>
  </si>
  <si>
    <t xml:space="preserve">Sales of investment </t>
  </si>
  <si>
    <t>Other Income</t>
  </si>
  <si>
    <t xml:space="preserve">Net cash from investing </t>
  </si>
  <si>
    <t>Cash Flow From Financing :</t>
  </si>
  <si>
    <t>Interest Exepnse</t>
  </si>
  <si>
    <t xml:space="preserve">Dividend paid </t>
  </si>
  <si>
    <t xml:space="preserve">Net cash from Financing </t>
  </si>
  <si>
    <t>Change in Cash</t>
  </si>
  <si>
    <t>Beginning cash</t>
  </si>
  <si>
    <t>End cash</t>
  </si>
  <si>
    <t xml:space="preserve">Retained Earnings </t>
  </si>
  <si>
    <t>Financial Ratios</t>
  </si>
  <si>
    <t>All amount in a Crores ₹</t>
  </si>
  <si>
    <t xml:space="preserve">Profitability Ratio </t>
  </si>
  <si>
    <t>NOPLAT</t>
  </si>
  <si>
    <t>ROE</t>
  </si>
  <si>
    <t>ROA</t>
  </si>
  <si>
    <t xml:space="preserve">Liquidity Ratio </t>
  </si>
  <si>
    <t xml:space="preserve">Cash Ratio </t>
  </si>
  <si>
    <t xml:space="preserve">Net Working Capital </t>
  </si>
  <si>
    <t>Net working Capital</t>
  </si>
  <si>
    <t xml:space="preserve">Capital Employed </t>
  </si>
  <si>
    <t>Free Cash Flow To Firm</t>
  </si>
  <si>
    <t>FORCAST</t>
  </si>
  <si>
    <t xml:space="preserve">Discount Rate </t>
  </si>
  <si>
    <t>FCFF:</t>
  </si>
  <si>
    <t>Tax Adjustments</t>
  </si>
  <si>
    <t xml:space="preserve">Change In Net Working Capital </t>
  </si>
  <si>
    <t xml:space="preserve">DCF Valuation </t>
  </si>
  <si>
    <t xml:space="preserve">Terminal Value </t>
  </si>
  <si>
    <t>Total Free Cash Flow To Firm</t>
  </si>
  <si>
    <t>Discount Factor</t>
  </si>
  <si>
    <t>PV of FCF</t>
  </si>
  <si>
    <t xml:space="preserve">PV of terminal Value </t>
  </si>
  <si>
    <t>Total PV Free Cash Flow</t>
  </si>
  <si>
    <t>Terminal  Value</t>
  </si>
  <si>
    <t xml:space="preserve">Grodon Growth </t>
  </si>
  <si>
    <t>Free cash Flow year 5</t>
  </si>
  <si>
    <t>Wacc</t>
  </si>
  <si>
    <t xml:space="preserve">Multiple </t>
  </si>
  <si>
    <t>Growth rate</t>
  </si>
  <si>
    <t>EBITDA TV</t>
  </si>
  <si>
    <t>Gordon Growth TV</t>
  </si>
  <si>
    <t>PV of EBITDA TV</t>
  </si>
  <si>
    <t xml:space="preserve">Enterprise Value </t>
  </si>
  <si>
    <t xml:space="preserve">PV of Terminal 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</si>
</sst>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 &quot;* #,##0.00&quot; &quot;;&quot; &quot;* &quot;-&quot;#,##0.00&quot; &quot;;&quot; &quot;* &quot;-&quot;#&quot; &quot;;&quot; &quot;@&quot; &quot;"/>
    <numFmt numFmtId="165" formatCode="0.0%"/>
    <numFmt numFmtId="166" formatCode="[$₹]&quot; &quot;#,##0.00"/>
    <numFmt numFmtId="167" formatCode="[$₹]&quot; &quot;#,##0.00;[Red][$₹]&quot; -&quot;#,##0.00"/>
  </numFmts>
  <fonts count="34">
    <font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</font>
    <font>
      <b/>
      <sz val="16"/>
      <color rgb="FF000000"/>
      <name val="Aptos Narrow"/>
      <family val="2"/>
    </font>
    <font>
      <sz val="10"/>
      <color rgb="FF000000"/>
      <name val="Arial"/>
      <family val="2"/>
    </font>
    <font>
      <i/>
      <sz val="10"/>
      <color rgb="FF000000"/>
      <name val="Calibri"/>
      <family val="2"/>
    </font>
    <font>
      <b/>
      <i/>
      <sz val="11"/>
      <color rgb="FFFFFFFF"/>
      <name val="Aptos Narrow"/>
      <family val="2"/>
    </font>
    <font>
      <b/>
      <sz val="10"/>
      <color rgb="FFFFFFFF"/>
      <name val="Arial"/>
      <family val="2"/>
    </font>
    <font>
      <b/>
      <sz val="10"/>
      <color rgb="FFFFFFFF"/>
      <name val="Aptos Narrow"/>
      <family val="2"/>
    </font>
    <font>
      <b/>
      <sz val="11"/>
      <color rgb="FFFFFFFF"/>
      <name val="Aptos Narrow"/>
      <family val="2"/>
    </font>
    <font>
      <sz val="10"/>
      <color rgb="FF000000"/>
      <name val="Aptos Narrow"/>
      <family val="2"/>
    </font>
    <font>
      <b/>
      <sz val="10"/>
      <color rgb="FF000000"/>
      <name val="Calibri"/>
      <family val="2"/>
    </font>
    <font>
      <i/>
      <sz val="10"/>
      <color rgb="FF7F7F7F"/>
      <name val="Calibri"/>
      <family val="2"/>
    </font>
    <font>
      <i/>
      <sz val="10"/>
      <color rgb="FF949494"/>
      <name val="Aptos Narrow"/>
      <family val="2"/>
    </font>
    <font>
      <sz val="10"/>
      <color rgb="FF268C70"/>
      <name val="Calibri"/>
      <family val="2"/>
    </font>
    <font>
      <i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u/>
      <sz val="11"/>
      <color rgb="FF000000"/>
      <name val="Aptos Narrow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8"/>
      <color rgb="FF000000"/>
      <name val="Aptos Narrow"/>
      <family val="2"/>
    </font>
    <font>
      <b/>
      <sz val="18"/>
      <color rgb="FF000000"/>
      <name val="Aptos Narrow"/>
      <family val="2"/>
    </font>
    <font>
      <b/>
      <sz val="10"/>
      <color rgb="FFFFFFFF"/>
      <name val="Calibri"/>
      <family val="2"/>
    </font>
    <font>
      <sz val="10"/>
      <color rgb="FFFFFFFF"/>
      <name val="Aptos Narrow"/>
      <family val="2"/>
    </font>
    <font>
      <b/>
      <i/>
      <sz val="10"/>
      <color rgb="FFFFFFFF"/>
      <name val="Aptos Narrow"/>
      <family val="2"/>
    </font>
    <font>
      <b/>
      <sz val="16"/>
      <color rgb="FF000000"/>
      <name val="Calibri"/>
      <family val="2"/>
    </font>
    <font>
      <b/>
      <i/>
      <sz val="10"/>
      <color rgb="FFFFFFFF"/>
      <name val="Arial"/>
      <family val="2"/>
    </font>
    <font>
      <i/>
      <sz val="10"/>
      <color rgb="FF949494"/>
      <name val="Arial"/>
      <family val="2"/>
    </font>
    <font>
      <b/>
      <sz val="10"/>
      <color rgb="FF000000"/>
      <name val="Aptos Narrow"/>
      <family val="2"/>
    </font>
    <font>
      <b/>
      <sz val="10"/>
      <color rgb="FF000000"/>
      <name val="Arial"/>
      <family val="2"/>
    </font>
    <font>
      <i/>
      <sz val="10"/>
      <color rgb="FF000000"/>
      <name val="Aptos Narrow"/>
      <family val="2"/>
    </font>
    <font>
      <sz val="10"/>
      <color rgb="FF808080"/>
      <name val="Aptos Narrow"/>
      <family val="2"/>
    </font>
    <font>
      <i/>
      <sz val="10"/>
      <color rgb="FF808080"/>
      <name val="Aptos Narrow"/>
      <family val="2"/>
    </font>
    <font>
      <sz val="10"/>
      <color rgb="FF268C7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A64B"/>
        <bgColor rgb="FF00A64B"/>
      </patternFill>
    </fill>
    <fill>
      <patternFill patternType="solid">
        <fgColor rgb="FF008A3E"/>
        <bgColor rgb="FF008A3E"/>
      </patternFill>
    </fill>
    <fill>
      <patternFill patternType="solid">
        <fgColor rgb="FFE8E8E8"/>
        <bgColor rgb="FFE8E8E8"/>
      </patternFill>
    </fill>
    <fill>
      <patternFill patternType="solid">
        <fgColor rgb="FF009945"/>
        <bgColor rgb="FF009945"/>
      </patternFill>
    </fill>
  </fills>
  <borders count="37">
    <border>
      <left/>
      <right/>
      <top/>
      <bottom/>
      <diagonal/>
    </border>
    <border>
      <left/>
      <right/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 style="dotted">
        <color rgb="FF000000"/>
      </right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 style="dashed">
        <color rgb="FF000000"/>
      </left>
      <right/>
      <top/>
      <bottom/>
      <diagonal/>
    </border>
    <border>
      <left/>
      <right style="dashed">
        <color rgb="FF000000"/>
      </right>
      <top/>
      <bottom/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dashed">
        <color rgb="FF000000"/>
      </left>
      <right/>
      <top/>
      <bottom style="dashed">
        <color rgb="FF000000"/>
      </bottom>
      <diagonal/>
    </border>
    <border>
      <left/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dashed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rgb="FF000000"/>
      </right>
      <top style="dotted">
        <color indexed="64"/>
      </top>
      <bottom/>
      <diagonal/>
    </border>
    <border>
      <left/>
      <right style="dotted">
        <color rgb="FF000000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rgb="FF00000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Border="0" applyProtection="0"/>
  </cellStyleXfs>
  <cellXfs count="311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readingOrder="1"/>
    </xf>
    <xf numFmtId="0" fontId="5" fillId="0" borderId="0" xfId="0" applyFont="1" applyAlignment="1">
      <alignment readingOrder="1"/>
    </xf>
    <xf numFmtId="0" fontId="8" fillId="4" borderId="0" xfId="0" applyFont="1" applyFill="1" applyAlignment="1">
      <alignment horizontal="right"/>
    </xf>
    <xf numFmtId="0" fontId="8" fillId="4" borderId="3" xfId="0" applyFont="1" applyFill="1" applyBorder="1" applyAlignment="1">
      <alignment horizontal="right"/>
    </xf>
    <xf numFmtId="0" fontId="4" fillId="2" borderId="5" xfId="0" applyFont="1" applyFill="1" applyBorder="1" applyAlignment="1">
      <alignment readingOrder="1"/>
    </xf>
    <xf numFmtId="0" fontId="4" fillId="2" borderId="3" xfId="0" applyFont="1" applyFill="1" applyBorder="1" applyAlignment="1">
      <alignment readingOrder="1"/>
    </xf>
    <xf numFmtId="0" fontId="10" fillId="0" borderId="0" xfId="0" applyFont="1"/>
    <xf numFmtId="0" fontId="10" fillId="0" borderId="3" xfId="0" applyFont="1" applyBorder="1"/>
    <xf numFmtId="0" fontId="0" fillId="0" borderId="6" xfId="0" applyBorder="1"/>
    <xf numFmtId="0" fontId="0" fillId="0" borderId="7" xfId="0" applyBorder="1"/>
    <xf numFmtId="0" fontId="4" fillId="0" borderId="5" xfId="0" applyFont="1" applyBorder="1" applyAlignment="1">
      <alignment readingOrder="1"/>
    </xf>
    <xf numFmtId="0" fontId="11" fillId="2" borderId="0" xfId="0" applyFont="1" applyFill="1" applyAlignment="1">
      <alignment readingOrder="1"/>
    </xf>
    <xf numFmtId="0" fontId="11" fillId="2" borderId="3" xfId="0" applyFont="1" applyFill="1" applyBorder="1" applyAlignment="1">
      <alignment readingOrder="1"/>
    </xf>
    <xf numFmtId="164" fontId="10" fillId="0" borderId="0" xfId="0" applyNumberFormat="1" applyFont="1"/>
    <xf numFmtId="164" fontId="10" fillId="0" borderId="3" xfId="0" applyNumberFormat="1" applyFont="1" applyBorder="1"/>
    <xf numFmtId="0" fontId="12" fillId="0" borderId="0" xfId="0" applyFont="1" applyAlignment="1">
      <alignment readingOrder="1"/>
    </xf>
    <xf numFmtId="0" fontId="12" fillId="0" borderId="3" xfId="0" applyFont="1" applyBorder="1" applyAlignment="1">
      <alignment readingOrder="1"/>
    </xf>
    <xf numFmtId="10" fontId="13" fillId="0" borderId="0" xfId="0" applyNumberFormat="1" applyFont="1"/>
    <xf numFmtId="10" fontId="13" fillId="0" borderId="3" xfId="0" applyNumberFormat="1" applyFont="1" applyBorder="1"/>
    <xf numFmtId="0" fontId="4" fillId="0" borderId="0" xfId="0" applyFont="1" applyAlignment="1">
      <alignment readingOrder="1"/>
    </xf>
    <xf numFmtId="0" fontId="4" fillId="0" borderId="3" xfId="0" applyFont="1" applyBorder="1" applyAlignment="1">
      <alignment readingOrder="1"/>
    </xf>
    <xf numFmtId="0" fontId="2" fillId="0" borderId="1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164" fontId="10" fillId="0" borderId="1" xfId="0" applyNumberFormat="1" applyFont="1" applyBorder="1"/>
    <xf numFmtId="164" fontId="10" fillId="0" borderId="8" xfId="0" applyNumberFormat="1" applyFont="1" applyBorder="1"/>
    <xf numFmtId="0" fontId="11" fillId="0" borderId="0" xfId="0" applyFont="1" applyAlignment="1">
      <alignment readingOrder="1"/>
    </xf>
    <xf numFmtId="0" fontId="11" fillId="0" borderId="3" xfId="0" applyFont="1" applyBorder="1" applyAlignment="1">
      <alignment readingOrder="1"/>
    </xf>
    <xf numFmtId="164" fontId="11" fillId="0" borderId="0" xfId="0" applyNumberFormat="1" applyFont="1" applyAlignment="1">
      <alignment readingOrder="1"/>
    </xf>
    <xf numFmtId="164" fontId="11" fillId="0" borderId="3" xfId="0" applyNumberFormat="1" applyFont="1" applyBorder="1" applyAlignment="1">
      <alignment readingOrder="1"/>
    </xf>
    <xf numFmtId="10" fontId="12" fillId="0" borderId="0" xfId="0" applyNumberFormat="1" applyFont="1" applyAlignment="1">
      <alignment readingOrder="1"/>
    </xf>
    <xf numFmtId="10" fontId="12" fillId="0" borderId="3" xfId="0" applyNumberFormat="1" applyFont="1" applyBorder="1" applyAlignment="1">
      <alignment readingOrder="1"/>
    </xf>
    <xf numFmtId="2" fontId="10" fillId="0" borderId="0" xfId="0" applyNumberFormat="1" applyFont="1"/>
    <xf numFmtId="2" fontId="10" fillId="0" borderId="3" xfId="0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readingOrder="1"/>
    </xf>
    <xf numFmtId="0" fontId="2" fillId="0" borderId="3" xfId="0" applyFont="1" applyBorder="1" applyAlignment="1">
      <alignment readingOrder="1"/>
    </xf>
    <xf numFmtId="2" fontId="14" fillId="0" borderId="0" xfId="0" applyNumberFormat="1" applyFont="1" applyAlignment="1">
      <alignment horizontal="center" vertical="center" readingOrder="1"/>
    </xf>
    <xf numFmtId="2" fontId="14" fillId="0" borderId="3" xfId="0" applyNumberFormat="1" applyFont="1" applyBorder="1" applyAlignment="1">
      <alignment horizontal="center" vertical="center" readingOrder="1"/>
    </xf>
    <xf numFmtId="0" fontId="15" fillId="0" borderId="0" xfId="0" applyFont="1"/>
    <xf numFmtId="0" fontId="11" fillId="0" borderId="1" xfId="0" applyFont="1" applyBorder="1" applyAlignment="1">
      <alignment readingOrder="1"/>
    </xf>
    <xf numFmtId="0" fontId="11" fillId="0" borderId="8" xfId="0" applyFont="1" applyBorder="1" applyAlignment="1">
      <alignment readingOrder="1"/>
    </xf>
    <xf numFmtId="164" fontId="11" fillId="0" borderId="1" xfId="0" applyNumberFormat="1" applyFont="1" applyBorder="1" applyAlignment="1">
      <alignment readingOrder="1"/>
    </xf>
    <xf numFmtId="164" fontId="11" fillId="0" borderId="8" xfId="0" applyNumberFormat="1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4" fillId="0" borderId="1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0" fillId="0" borderId="8" xfId="0" applyBorder="1"/>
    <xf numFmtId="0" fontId="0" fillId="0" borderId="5" xfId="0" applyBorder="1"/>
    <xf numFmtId="0" fontId="0" fillId="0" borderId="3" xfId="0" applyBorder="1"/>
    <xf numFmtId="0" fontId="16" fillId="0" borderId="0" xfId="0" applyFont="1"/>
    <xf numFmtId="0" fontId="0" fillId="0" borderId="12" xfId="0" applyBorder="1"/>
    <xf numFmtId="0" fontId="15" fillId="2" borderId="0" xfId="0" applyFont="1" applyFill="1"/>
    <xf numFmtId="0" fontId="16" fillId="2" borderId="13" xfId="0" applyFont="1" applyFill="1" applyBorder="1" applyAlignment="1">
      <alignment horizontal="center"/>
    </xf>
    <xf numFmtId="0" fontId="16" fillId="2" borderId="13" xfId="0" applyFont="1" applyFill="1" applyBorder="1"/>
    <xf numFmtId="0" fontId="16" fillId="2" borderId="13" xfId="0" applyFont="1" applyFill="1" applyBorder="1" applyAlignment="1">
      <alignment horizontal="center" vertical="center"/>
    </xf>
    <xf numFmtId="0" fontId="17" fillId="0" borderId="0" xfId="0" applyFont="1"/>
    <xf numFmtId="0" fontId="16" fillId="0" borderId="0" xfId="0" applyFont="1" applyAlignment="1">
      <alignment vertical="center"/>
    </xf>
    <xf numFmtId="164" fontId="18" fillId="0" borderId="0" xfId="0" applyNumberFormat="1" applyFont="1" applyAlignment="1">
      <alignment horizontal="right" wrapText="1" readingOrder="1"/>
    </xf>
    <xf numFmtId="164" fontId="18" fillId="0" borderId="0" xfId="0" applyNumberFormat="1" applyFont="1" applyAlignment="1">
      <alignment horizontal="right" readingOrder="1"/>
    </xf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right"/>
    </xf>
    <xf numFmtId="0" fontId="16" fillId="0" borderId="14" xfId="0" applyFont="1" applyBorder="1"/>
    <xf numFmtId="164" fontId="16" fillId="0" borderId="14" xfId="0" applyNumberFormat="1" applyFont="1" applyBorder="1" applyAlignment="1">
      <alignment horizontal="right"/>
    </xf>
    <xf numFmtId="164" fontId="19" fillId="0" borderId="0" xfId="0" applyNumberFormat="1" applyFont="1" applyAlignment="1">
      <alignment horizontal="right" readingOrder="1"/>
    </xf>
    <xf numFmtId="2" fontId="0" fillId="0" borderId="0" xfId="0" applyNumberFormat="1"/>
    <xf numFmtId="2" fontId="16" fillId="0" borderId="0" xfId="0" applyNumberFormat="1" applyFont="1" applyAlignment="1">
      <alignment horizontal="center"/>
    </xf>
    <xf numFmtId="0" fontId="16" fillId="0" borderId="15" xfId="0" applyFont="1" applyBorder="1"/>
    <xf numFmtId="2" fontId="0" fillId="0" borderId="15" xfId="0" applyNumberFormat="1" applyBorder="1"/>
    <xf numFmtId="164" fontId="0" fillId="0" borderId="0" xfId="0" applyNumberFormat="1"/>
    <xf numFmtId="10" fontId="0" fillId="0" borderId="0" xfId="0" applyNumberFormat="1"/>
    <xf numFmtId="0" fontId="16" fillId="0" borderId="13" xfId="0" applyFont="1" applyBorder="1" applyAlignment="1">
      <alignment horizontal="center"/>
    </xf>
    <xf numFmtId="0" fontId="16" fillId="0" borderId="13" xfId="0" applyFont="1" applyBorder="1"/>
    <xf numFmtId="0" fontId="16" fillId="0" borderId="17" xfId="0" applyFont="1" applyBorder="1" applyAlignment="1">
      <alignment horizontal="center" vertical="center"/>
    </xf>
    <xf numFmtId="0" fontId="0" fillId="0" borderId="0" xfId="0" applyAlignment="1">
      <alignment horizontal="left"/>
    </xf>
    <xf numFmtId="164" fontId="18" fillId="0" borderId="0" xfId="0" applyNumberFormat="1" applyFont="1" applyAlignment="1">
      <alignment horizontal="right"/>
    </xf>
    <xf numFmtId="0" fontId="16" fillId="0" borderId="14" xfId="0" applyFont="1" applyBorder="1" applyAlignment="1">
      <alignment horizontal="left"/>
    </xf>
    <xf numFmtId="0" fontId="16" fillId="0" borderId="15" xfId="0" applyFon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0" fontId="18" fillId="0" borderId="0" xfId="0" applyFont="1"/>
    <xf numFmtId="0" fontId="18" fillId="0" borderId="0" xfId="0" applyFont="1" applyAlignment="1">
      <alignment readingOrder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/>
    </xf>
    <xf numFmtId="10" fontId="16" fillId="0" borderId="0" xfId="0" applyNumberFormat="1" applyFont="1"/>
    <xf numFmtId="9" fontId="0" fillId="0" borderId="0" xfId="0" applyNumberFormat="1"/>
    <xf numFmtId="10" fontId="16" fillId="0" borderId="14" xfId="0" applyNumberFormat="1" applyFont="1" applyBorder="1"/>
    <xf numFmtId="10" fontId="0" fillId="0" borderId="14" xfId="0" applyNumberFormat="1" applyBorder="1"/>
    <xf numFmtId="0" fontId="16" fillId="0" borderId="16" xfId="0" applyFont="1" applyBorder="1"/>
    <xf numFmtId="10" fontId="0" fillId="0" borderId="16" xfId="0" applyNumberFormat="1" applyBorder="1"/>
    <xf numFmtId="10" fontId="0" fillId="0" borderId="16" xfId="0" applyNumberFormat="1" applyBorder="1" applyAlignment="1">
      <alignment wrapText="1"/>
    </xf>
    <xf numFmtId="0" fontId="16" fillId="0" borderId="18" xfId="0" applyFont="1" applyBorder="1"/>
    <xf numFmtId="10" fontId="0" fillId="0" borderId="18" xfId="0" applyNumberFormat="1" applyBorder="1"/>
    <xf numFmtId="0" fontId="4" fillId="0" borderId="0" xfId="0" applyFont="1" applyAlignment="1">
      <alignment wrapText="1" readingOrder="1"/>
    </xf>
    <xf numFmtId="0" fontId="20" fillId="0" borderId="0" xfId="0" applyFont="1"/>
    <xf numFmtId="0" fontId="21" fillId="0" borderId="0" xfId="0" applyFont="1"/>
    <xf numFmtId="0" fontId="15" fillId="0" borderId="0" xfId="0" applyFont="1" applyAlignment="1">
      <alignment wrapText="1"/>
    </xf>
    <xf numFmtId="0" fontId="22" fillId="6" borderId="19" xfId="0" applyFont="1" applyFill="1" applyBorder="1" applyAlignment="1">
      <alignment wrapText="1" readingOrder="1"/>
    </xf>
    <xf numFmtId="0" fontId="22" fillId="6" borderId="20" xfId="0" applyFont="1" applyFill="1" applyBorder="1" applyAlignment="1">
      <alignment wrapText="1" readingOrder="1"/>
    </xf>
    <xf numFmtId="0" fontId="8" fillId="6" borderId="19" xfId="0" applyFont="1" applyFill="1" applyBorder="1" applyAlignment="1">
      <alignment wrapText="1"/>
    </xf>
    <xf numFmtId="0" fontId="23" fillId="6" borderId="20" xfId="0" applyFont="1" applyFill="1" applyBorder="1"/>
    <xf numFmtId="0" fontId="24" fillId="6" borderId="0" xfId="0" applyFont="1" applyFill="1" applyAlignment="1">
      <alignment horizontal="center" vertical="center"/>
    </xf>
    <xf numFmtId="0" fontId="4" fillId="0" borderId="5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10" fillId="0" borderId="5" xfId="0" applyFont="1" applyBorder="1"/>
    <xf numFmtId="0" fontId="22" fillId="6" borderId="5" xfId="0" applyFont="1" applyFill="1" applyBorder="1" applyAlignment="1">
      <alignment wrapText="1" readingOrder="1"/>
    </xf>
    <xf numFmtId="0" fontId="22" fillId="0" borderId="3" xfId="0" applyFont="1" applyBorder="1" applyAlignment="1">
      <alignment wrapText="1" readingOrder="1"/>
    </xf>
    <xf numFmtId="10" fontId="10" fillId="0" borderId="3" xfId="0" applyNumberFormat="1" applyFont="1" applyBorder="1"/>
    <xf numFmtId="10" fontId="10" fillId="0" borderId="0" xfId="0" applyNumberFormat="1" applyFont="1"/>
    <xf numFmtId="0" fontId="2" fillId="0" borderId="5" xfId="0" applyFont="1" applyBorder="1" applyAlignment="1">
      <alignment wrapText="1" readingOrder="1"/>
    </xf>
    <xf numFmtId="10" fontId="2" fillId="0" borderId="3" xfId="0" applyNumberFormat="1" applyFont="1" applyBorder="1" applyAlignment="1">
      <alignment wrapText="1" readingOrder="1"/>
    </xf>
    <xf numFmtId="0" fontId="10" fillId="0" borderId="5" xfId="0" applyFont="1" applyBorder="1" applyAlignment="1">
      <alignment wrapText="1"/>
    </xf>
    <xf numFmtId="10" fontId="2" fillId="0" borderId="3" xfId="0" applyNumberFormat="1" applyFont="1" applyBorder="1" applyAlignment="1">
      <alignment horizontal="right" wrapText="1" readingOrder="1"/>
    </xf>
    <xf numFmtId="0" fontId="11" fillId="0" borderId="19" xfId="0" applyFont="1" applyBorder="1" applyAlignment="1">
      <alignment wrapText="1" readingOrder="1"/>
    </xf>
    <xf numFmtId="10" fontId="11" fillId="0" borderId="20" xfId="0" applyNumberFormat="1" applyFont="1" applyBorder="1" applyAlignment="1">
      <alignment wrapText="1" readingOrder="1"/>
    </xf>
    <xf numFmtId="0" fontId="10" fillId="0" borderId="12" xfId="0" applyFont="1" applyBorder="1"/>
    <xf numFmtId="9" fontId="10" fillId="0" borderId="8" xfId="0" applyNumberFormat="1" applyFont="1" applyBorder="1"/>
    <xf numFmtId="9" fontId="10" fillId="0" borderId="0" xfId="0" applyNumberFormat="1" applyFont="1"/>
    <xf numFmtId="0" fontId="10" fillId="0" borderId="22" xfId="0" applyFont="1" applyBorder="1"/>
    <xf numFmtId="10" fontId="10" fillId="0" borderId="23" xfId="0" applyNumberFormat="1" applyFont="1" applyBorder="1" applyAlignment="1">
      <alignment wrapText="1"/>
    </xf>
    <xf numFmtId="10" fontId="10" fillId="0" borderId="23" xfId="0" applyNumberFormat="1" applyFont="1" applyBorder="1"/>
    <xf numFmtId="10" fontId="10" fillId="0" borderId="24" xfId="0" applyNumberFormat="1" applyFont="1" applyBorder="1"/>
    <xf numFmtId="0" fontId="8" fillId="6" borderId="20" xfId="0" applyFont="1" applyFill="1" applyBorder="1" applyAlignment="1">
      <alignment wrapText="1"/>
    </xf>
    <xf numFmtId="0" fontId="8" fillId="0" borderId="0" xfId="0" applyFont="1" applyAlignment="1">
      <alignment wrapText="1"/>
    </xf>
    <xf numFmtId="10" fontId="10" fillId="0" borderId="1" xfId="0" applyNumberFormat="1" applyFont="1" applyBorder="1"/>
    <xf numFmtId="10" fontId="10" fillId="0" borderId="8" xfId="0" applyNumberFormat="1" applyFont="1" applyBorder="1"/>
    <xf numFmtId="0" fontId="2" fillId="0" borderId="3" xfId="0" applyFont="1" applyBorder="1" applyAlignment="1">
      <alignment wrapText="1" readingOrder="1"/>
    </xf>
    <xf numFmtId="0" fontId="8" fillId="6" borderId="3" xfId="0" applyFont="1" applyFill="1" applyBorder="1" applyAlignment="1">
      <alignment wrapText="1"/>
    </xf>
    <xf numFmtId="0" fontId="10" fillId="0" borderId="5" xfId="0" applyFont="1" applyBorder="1" applyAlignment="1">
      <alignment horizontal="left" wrapText="1"/>
    </xf>
    <xf numFmtId="0" fontId="10" fillId="0" borderId="3" xfId="0" applyFont="1" applyBorder="1" applyAlignment="1">
      <alignment horizontal="right"/>
    </xf>
    <xf numFmtId="9" fontId="2" fillId="0" borderId="3" xfId="0" applyNumberFormat="1" applyFont="1" applyBorder="1" applyAlignment="1">
      <alignment wrapText="1" readingOrder="1"/>
    </xf>
    <xf numFmtId="164" fontId="10" fillId="0" borderId="23" xfId="0" applyNumberFormat="1" applyFont="1" applyBorder="1"/>
    <xf numFmtId="164" fontId="10" fillId="0" borderId="24" xfId="0" applyNumberFormat="1" applyFont="1" applyBorder="1"/>
    <xf numFmtId="0" fontId="11" fillId="0" borderId="5" xfId="0" applyFont="1" applyBorder="1" applyAlignment="1">
      <alignment wrapText="1" readingOrder="1"/>
    </xf>
    <xf numFmtId="0" fontId="11" fillId="0" borderId="3" xfId="0" applyFont="1" applyBorder="1" applyAlignment="1">
      <alignment wrapText="1" readingOrder="1"/>
    </xf>
    <xf numFmtId="0" fontId="11" fillId="0" borderId="25" xfId="0" applyFont="1" applyBorder="1" applyAlignment="1">
      <alignment wrapText="1" readingOrder="1"/>
    </xf>
    <xf numFmtId="10" fontId="11" fillId="0" borderId="26" xfId="0" applyNumberFormat="1" applyFont="1" applyBorder="1" applyAlignment="1">
      <alignment wrapText="1" readingOrder="1"/>
    </xf>
    <xf numFmtId="0" fontId="4" fillId="0" borderId="12" xfId="0" applyFont="1" applyBorder="1" applyAlignment="1">
      <alignment wrapText="1" readingOrder="1"/>
    </xf>
    <xf numFmtId="0" fontId="4" fillId="0" borderId="8" xfId="0" applyFont="1" applyBorder="1" applyAlignment="1">
      <alignment wrapText="1" readingOrder="1"/>
    </xf>
    <xf numFmtId="0" fontId="10" fillId="0" borderId="8" xfId="0" applyFont="1" applyBorder="1"/>
    <xf numFmtId="0" fontId="25" fillId="0" borderId="0" xfId="0" applyFont="1" applyAlignment="1">
      <alignment readingOrder="1"/>
    </xf>
    <xf numFmtId="0" fontId="4" fillId="3" borderId="19" xfId="0" applyFont="1" applyFill="1" applyBorder="1" applyAlignment="1">
      <alignment readingOrder="1"/>
    </xf>
    <xf numFmtId="0" fontId="22" fillId="3" borderId="21" xfId="0" applyFont="1" applyFill="1" applyBorder="1" applyAlignment="1">
      <alignment readingOrder="1"/>
    </xf>
    <xf numFmtId="164" fontId="4" fillId="0" borderId="0" xfId="0" applyNumberFormat="1" applyFont="1" applyAlignment="1">
      <alignment readingOrder="1"/>
    </xf>
    <xf numFmtId="10" fontId="27" fillId="0" borderId="0" xfId="0" applyNumberFormat="1" applyFont="1" applyAlignment="1">
      <alignment readingOrder="1"/>
    </xf>
    <xf numFmtId="10" fontId="27" fillId="0" borderId="3" xfId="0" applyNumberFormat="1" applyFont="1" applyBorder="1" applyAlignment="1">
      <alignment readingOrder="1"/>
    </xf>
    <xf numFmtId="164" fontId="4" fillId="0" borderId="1" xfId="0" applyNumberFormat="1" applyFont="1" applyBorder="1" applyAlignment="1">
      <alignment readingOrder="1"/>
    </xf>
    <xf numFmtId="3" fontId="11" fillId="0" borderId="0" xfId="0" applyNumberFormat="1" applyFont="1" applyAlignment="1">
      <alignment readingOrder="1"/>
    </xf>
    <xf numFmtId="3" fontId="11" fillId="0" borderId="3" xfId="0" applyNumberFormat="1" applyFont="1" applyBorder="1" applyAlignment="1">
      <alignment readingOrder="1"/>
    </xf>
    <xf numFmtId="164" fontId="2" fillId="0" borderId="1" xfId="0" applyNumberFormat="1" applyFont="1" applyBorder="1" applyAlignment="1">
      <alignment readingOrder="1"/>
    </xf>
    <xf numFmtId="0" fontId="14" fillId="0" borderId="0" xfId="0" applyFont="1" applyAlignment="1">
      <alignment horizontal="center" vertical="center" readingOrder="1"/>
    </xf>
    <xf numFmtId="0" fontId="14" fillId="0" borderId="3" xfId="0" applyFont="1" applyBorder="1" applyAlignment="1">
      <alignment horizontal="center" vertical="center" readingOrder="1"/>
    </xf>
    <xf numFmtId="0" fontId="4" fillId="6" borderId="19" xfId="0" applyFont="1" applyFill="1" applyBorder="1" applyAlignment="1">
      <alignment readingOrder="1"/>
    </xf>
    <xf numFmtId="0" fontId="22" fillId="6" borderId="21" xfId="0" applyFont="1" applyFill="1" applyBorder="1" applyAlignment="1">
      <alignment readingOrder="1"/>
    </xf>
    <xf numFmtId="0" fontId="2" fillId="2" borderId="0" xfId="0" applyFont="1" applyFill="1" applyAlignment="1">
      <alignment readingOrder="1"/>
    </xf>
    <xf numFmtId="164" fontId="4" fillId="0" borderId="0" xfId="0" applyNumberFormat="1" applyFont="1" applyAlignment="1">
      <alignment horizontal="right" readingOrder="1"/>
    </xf>
    <xf numFmtId="164" fontId="4" fillId="2" borderId="5" xfId="0" applyNumberFormat="1" applyFont="1" applyFill="1" applyBorder="1" applyAlignment="1">
      <alignment horizontal="right" readingOrder="1"/>
    </xf>
    <xf numFmtId="164" fontId="4" fillId="2" borderId="0" xfId="0" applyNumberFormat="1" applyFont="1" applyFill="1" applyAlignment="1">
      <alignment horizontal="right" readingOrder="1"/>
    </xf>
    <xf numFmtId="164" fontId="4" fillId="2" borderId="3" xfId="0" applyNumberFormat="1" applyFont="1" applyFill="1" applyBorder="1" applyAlignment="1">
      <alignment horizontal="right" readingOrder="1"/>
    </xf>
    <xf numFmtId="164" fontId="10" fillId="0" borderId="0" xfId="0" applyNumberFormat="1" applyFont="1" applyAlignment="1">
      <alignment horizontal="right"/>
    </xf>
    <xf numFmtId="164" fontId="10" fillId="0" borderId="5" xfId="0" applyNumberFormat="1" applyFont="1" applyBorder="1" applyAlignment="1">
      <alignment horizontal="right"/>
    </xf>
    <xf numFmtId="164" fontId="10" fillId="0" borderId="28" xfId="0" applyNumberFormat="1" applyFont="1" applyBorder="1" applyAlignment="1">
      <alignment horizontal="right"/>
    </xf>
    <xf numFmtId="164" fontId="10" fillId="0" borderId="3" xfId="0" applyNumberFormat="1" applyFont="1" applyBorder="1" applyAlignment="1">
      <alignment horizontal="right"/>
    </xf>
    <xf numFmtId="0" fontId="11" fillId="2" borderId="21" xfId="0" applyFont="1" applyFill="1" applyBorder="1" applyAlignment="1">
      <alignment readingOrder="1"/>
    </xf>
    <xf numFmtId="164" fontId="28" fillId="0" borderId="21" xfId="0" applyNumberFormat="1" applyFont="1" applyBorder="1" applyAlignment="1">
      <alignment horizontal="right"/>
    </xf>
    <xf numFmtId="164" fontId="28" fillId="0" borderId="19" xfId="0" applyNumberFormat="1" applyFont="1" applyBorder="1" applyAlignment="1">
      <alignment horizontal="right"/>
    </xf>
    <xf numFmtId="164" fontId="28" fillId="0" borderId="20" xfId="0" applyNumberFormat="1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0" xfId="0" applyFont="1" applyAlignment="1">
      <alignment horizontal="right"/>
    </xf>
    <xf numFmtId="0" fontId="4" fillId="2" borderId="0" xfId="0" applyFont="1" applyFill="1" applyAlignment="1">
      <alignment horizontal="right" readingOrder="1"/>
    </xf>
    <xf numFmtId="0" fontId="4" fillId="2" borderId="3" xfId="0" applyFont="1" applyFill="1" applyBorder="1" applyAlignment="1">
      <alignment horizontal="right" readingOrder="1"/>
    </xf>
    <xf numFmtId="164" fontId="10" fillId="0" borderId="1" xfId="0" applyNumberFormat="1" applyFont="1" applyBorder="1" applyAlignment="1">
      <alignment horizontal="right"/>
    </xf>
    <xf numFmtId="164" fontId="10" fillId="0" borderId="12" xfId="0" applyNumberFormat="1" applyFont="1" applyBorder="1" applyAlignment="1">
      <alignment horizontal="right"/>
    </xf>
    <xf numFmtId="164" fontId="10" fillId="0" borderId="8" xfId="0" applyNumberFormat="1" applyFont="1" applyBorder="1" applyAlignment="1">
      <alignment horizontal="right"/>
    </xf>
    <xf numFmtId="164" fontId="28" fillId="0" borderId="0" xfId="0" applyNumberFormat="1" applyFont="1" applyAlignment="1">
      <alignment horizontal="right"/>
    </xf>
    <xf numFmtId="164" fontId="28" fillId="0" borderId="5" xfId="0" applyNumberFormat="1" applyFont="1" applyBorder="1" applyAlignment="1">
      <alignment horizontal="right"/>
    </xf>
    <xf numFmtId="164" fontId="28" fillId="0" borderId="3" xfId="0" applyNumberFormat="1" applyFont="1" applyBorder="1" applyAlignment="1">
      <alignment horizontal="right"/>
    </xf>
    <xf numFmtId="0" fontId="4" fillId="2" borderId="1" xfId="0" applyFont="1" applyFill="1" applyBorder="1" applyAlignment="1">
      <alignment readingOrder="1"/>
    </xf>
    <xf numFmtId="0" fontId="10" fillId="0" borderId="12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10" fillId="0" borderId="8" xfId="0" applyFont="1" applyBorder="1" applyAlignment="1">
      <alignment horizontal="right"/>
    </xf>
    <xf numFmtId="0" fontId="11" fillId="2" borderId="1" xfId="0" applyFont="1" applyFill="1" applyBorder="1" applyAlignment="1">
      <alignment readingOrder="1"/>
    </xf>
    <xf numFmtId="164" fontId="28" fillId="0" borderId="1" xfId="0" applyNumberFormat="1" applyFont="1" applyBorder="1" applyAlignment="1">
      <alignment horizontal="right"/>
    </xf>
    <xf numFmtId="164" fontId="28" fillId="0" borderId="12" xfId="0" applyNumberFormat="1" applyFont="1" applyBorder="1" applyAlignment="1">
      <alignment horizontal="right"/>
    </xf>
    <xf numFmtId="164" fontId="28" fillId="0" borderId="8" xfId="0" applyNumberFormat="1" applyFont="1" applyBorder="1" applyAlignment="1">
      <alignment horizontal="right"/>
    </xf>
    <xf numFmtId="0" fontId="4" fillId="0" borderId="0" xfId="0" applyFont="1" applyAlignment="1">
      <alignment horizontal="right" readingOrder="1"/>
    </xf>
    <xf numFmtId="0" fontId="2" fillId="2" borderId="1" xfId="0" applyFont="1" applyFill="1" applyBorder="1" applyAlignment="1">
      <alignment readingOrder="1"/>
    </xf>
    <xf numFmtId="0" fontId="4" fillId="2" borderId="5" xfId="0" applyFont="1" applyFill="1" applyBorder="1" applyAlignment="1">
      <alignment horizontal="right" readingOrder="1"/>
    </xf>
    <xf numFmtId="164" fontId="29" fillId="2" borderId="19" xfId="0" applyNumberFormat="1" applyFont="1" applyFill="1" applyBorder="1" applyAlignment="1">
      <alignment horizontal="right" readingOrder="1"/>
    </xf>
    <xf numFmtId="164" fontId="29" fillId="2" borderId="21" xfId="0" applyNumberFormat="1" applyFont="1" applyFill="1" applyBorder="1" applyAlignment="1">
      <alignment horizontal="right" readingOrder="1"/>
    </xf>
    <xf numFmtId="164" fontId="29" fillId="2" borderId="20" xfId="0" applyNumberFormat="1" applyFont="1" applyFill="1" applyBorder="1" applyAlignment="1">
      <alignment horizontal="right" readingOrder="1"/>
    </xf>
    <xf numFmtId="0" fontId="4" fillId="0" borderId="1" xfId="0" applyFont="1" applyBorder="1" applyAlignment="1">
      <alignment horizontal="right" readingOrder="1"/>
    </xf>
    <xf numFmtId="0" fontId="4" fillId="2" borderId="12" xfId="0" applyFont="1" applyFill="1" applyBorder="1" applyAlignment="1">
      <alignment horizontal="right" readingOrder="1"/>
    </xf>
    <xf numFmtId="4" fontId="11" fillId="0" borderId="12" xfId="0" applyNumberFormat="1" applyFont="1" applyBorder="1" applyAlignment="1">
      <alignment horizontal="right" readingOrder="1"/>
    </xf>
    <xf numFmtId="4" fontId="11" fillId="0" borderId="23" xfId="0" applyNumberFormat="1" applyFont="1" applyBorder="1" applyAlignment="1">
      <alignment horizontal="right" readingOrder="1"/>
    </xf>
    <xf numFmtId="4" fontId="11" fillId="0" borderId="24" xfId="0" applyNumberFormat="1" applyFont="1" applyBorder="1" applyAlignment="1">
      <alignment horizontal="right" readingOrder="1"/>
    </xf>
    <xf numFmtId="0" fontId="4" fillId="0" borderId="8" xfId="0" applyFont="1" applyBorder="1" applyAlignment="1">
      <alignment horizontal="right" readingOrder="1"/>
    </xf>
    <xf numFmtId="0" fontId="0" fillId="0" borderId="0" xfId="0" applyAlignment="1">
      <alignment horizontal="right"/>
    </xf>
    <xf numFmtId="0" fontId="28" fillId="0" borderId="0" xfId="0" applyFont="1"/>
    <xf numFmtId="0" fontId="28" fillId="0" borderId="21" xfId="0" applyFont="1" applyBorder="1" applyAlignment="1">
      <alignment wrapText="1"/>
    </xf>
    <xf numFmtId="0" fontId="10" fillId="0" borderId="21" xfId="0" applyFont="1" applyBorder="1"/>
    <xf numFmtId="0" fontId="10" fillId="0" borderId="20" xfId="0" applyFont="1" applyBorder="1"/>
    <xf numFmtId="164" fontId="28" fillId="0" borderId="21" xfId="0" applyNumberFormat="1" applyFont="1" applyBorder="1"/>
    <xf numFmtId="164" fontId="28" fillId="0" borderId="20" xfId="0" applyNumberFormat="1" applyFont="1" applyBorder="1"/>
    <xf numFmtId="164" fontId="28" fillId="0" borderId="0" xfId="0" applyNumberFormat="1" applyFont="1" applyAlignment="1">
      <alignment horizontal="left"/>
    </xf>
    <xf numFmtId="164" fontId="10" fillId="0" borderId="21" xfId="0" applyNumberFormat="1" applyFont="1" applyBorder="1"/>
    <xf numFmtId="164" fontId="10" fillId="0" borderId="20" xfId="0" applyNumberFormat="1" applyFont="1" applyBorder="1"/>
    <xf numFmtId="0" fontId="28" fillId="0" borderId="21" xfId="0" applyFont="1" applyBorder="1"/>
    <xf numFmtId="0" fontId="28" fillId="0" borderId="20" xfId="0" applyFont="1" applyBorder="1"/>
    <xf numFmtId="0" fontId="28" fillId="0" borderId="3" xfId="0" applyFont="1" applyBorder="1"/>
    <xf numFmtId="164" fontId="28" fillId="0" borderId="0" xfId="0" applyNumberFormat="1" applyFont="1"/>
    <xf numFmtId="164" fontId="28" fillId="0" borderId="3" xfId="0" applyNumberFormat="1" applyFont="1" applyBorder="1"/>
    <xf numFmtId="0" fontId="10" fillId="0" borderId="0" xfId="3" applyFont="1" applyAlignment="1" applyProtection="1">
      <alignment vertical="center"/>
    </xf>
    <xf numFmtId="0" fontId="3" fillId="0" borderId="0" xfId="3" applyFont="1" applyAlignment="1" applyProtection="1">
      <alignment vertical="center"/>
    </xf>
    <xf numFmtId="0" fontId="10" fillId="2" borderId="0" xfId="3" applyFont="1" applyFill="1" applyAlignment="1" applyProtection="1">
      <alignment vertical="center"/>
    </xf>
    <xf numFmtId="0" fontId="30" fillId="2" borderId="0" xfId="3" applyFont="1" applyFill="1" applyAlignment="1" applyProtection="1">
      <alignment vertical="center"/>
    </xf>
    <xf numFmtId="0" fontId="8" fillId="3" borderId="19" xfId="3" applyFont="1" applyFill="1" applyBorder="1" applyAlignment="1" applyProtection="1">
      <alignment horizontal="center" vertical="center"/>
    </xf>
    <xf numFmtId="0" fontId="8" fillId="3" borderId="21" xfId="3" applyFont="1" applyFill="1" applyBorder="1" applyAlignment="1" applyProtection="1">
      <alignment vertical="center"/>
    </xf>
    <xf numFmtId="0" fontId="8" fillId="3" borderId="21" xfId="3" applyFont="1" applyFill="1" applyBorder="1" applyAlignment="1" applyProtection="1">
      <alignment horizontal="right" vertical="center"/>
    </xf>
    <xf numFmtId="0" fontId="8" fillId="3" borderId="20" xfId="3" applyFont="1" applyFill="1" applyBorder="1" applyAlignment="1" applyProtection="1">
      <alignment horizontal="right" vertical="center"/>
    </xf>
    <xf numFmtId="0" fontId="10" fillId="2" borderId="5" xfId="3" applyFont="1" applyFill="1" applyBorder="1" applyAlignment="1" applyProtection="1">
      <alignment vertical="center"/>
    </xf>
    <xf numFmtId="0" fontId="10" fillId="2" borderId="3" xfId="3" applyFont="1" applyFill="1" applyBorder="1" applyAlignment="1" applyProtection="1">
      <alignment vertical="center"/>
    </xf>
    <xf numFmtId="0" fontId="28" fillId="2" borderId="1" xfId="3" applyFont="1" applyFill="1" applyBorder="1" applyAlignment="1" applyProtection="1">
      <alignment vertical="center"/>
    </xf>
    <xf numFmtId="0" fontId="28" fillId="2" borderId="8" xfId="3" applyFont="1" applyFill="1" applyBorder="1" applyAlignment="1" applyProtection="1">
      <alignment vertical="center"/>
    </xf>
    <xf numFmtId="0" fontId="10" fillId="2" borderId="1" xfId="3" applyFont="1" applyFill="1" applyBorder="1" applyAlignment="1" applyProtection="1">
      <alignment vertical="center"/>
    </xf>
    <xf numFmtId="0" fontId="10" fillId="0" borderId="1" xfId="0" applyFont="1" applyBorder="1"/>
    <xf numFmtId="164" fontId="10" fillId="2" borderId="0" xfId="3" applyNumberFormat="1" applyFont="1" applyFill="1" applyAlignment="1" applyProtection="1">
      <alignment vertical="center"/>
    </xf>
    <xf numFmtId="164" fontId="10" fillId="2" borderId="3" xfId="3" applyNumberFormat="1" applyFont="1" applyFill="1" applyBorder="1" applyAlignment="1" applyProtection="1">
      <alignment vertical="center"/>
    </xf>
    <xf numFmtId="0" fontId="10" fillId="0" borderId="5" xfId="3" applyFont="1" applyBorder="1" applyAlignment="1" applyProtection="1">
      <alignment vertical="center"/>
    </xf>
    <xf numFmtId="10" fontId="10" fillId="0" borderId="0" xfId="3" applyNumberFormat="1" applyFont="1" applyAlignment="1" applyProtection="1">
      <alignment vertical="center"/>
    </xf>
    <xf numFmtId="10" fontId="10" fillId="0" borderId="3" xfId="3" applyNumberFormat="1" applyFont="1" applyBorder="1" applyAlignment="1" applyProtection="1">
      <alignment vertical="center"/>
    </xf>
    <xf numFmtId="0" fontId="10" fillId="0" borderId="3" xfId="3" applyFont="1" applyBorder="1" applyAlignment="1" applyProtection="1">
      <alignment vertical="center"/>
    </xf>
    <xf numFmtId="0" fontId="28" fillId="0" borderId="1" xfId="0" applyFont="1" applyBorder="1"/>
    <xf numFmtId="0" fontId="28" fillId="0" borderId="8" xfId="0" applyFont="1" applyBorder="1"/>
    <xf numFmtId="2" fontId="10" fillId="0" borderId="0" xfId="3" applyNumberFormat="1" applyFont="1" applyAlignment="1" applyProtection="1">
      <alignment vertical="center"/>
    </xf>
    <xf numFmtId="2" fontId="10" fillId="0" borderId="3" xfId="3" applyNumberFormat="1" applyFont="1" applyBorder="1" applyAlignment="1" applyProtection="1">
      <alignment vertical="center"/>
    </xf>
    <xf numFmtId="0" fontId="28" fillId="0" borderId="1" xfId="3" applyFont="1" applyBorder="1" applyAlignment="1" applyProtection="1">
      <alignment vertical="center"/>
    </xf>
    <xf numFmtId="0" fontId="10" fillId="0" borderId="1" xfId="3" applyFont="1" applyBorder="1" applyAlignment="1" applyProtection="1">
      <alignment vertical="center"/>
    </xf>
    <xf numFmtId="0" fontId="10" fillId="0" borderId="8" xfId="3" applyFont="1" applyBorder="1" applyAlignment="1" applyProtection="1">
      <alignment vertical="center"/>
    </xf>
    <xf numFmtId="164" fontId="10" fillId="0" borderId="0" xfId="3" applyNumberFormat="1" applyFont="1" applyAlignment="1" applyProtection="1">
      <alignment vertical="center"/>
    </xf>
    <xf numFmtId="164" fontId="10" fillId="0" borderId="3" xfId="3" applyNumberFormat="1" applyFont="1" applyBorder="1" applyAlignment="1" applyProtection="1">
      <alignment vertical="center"/>
    </xf>
    <xf numFmtId="0" fontId="28" fillId="0" borderId="0" xfId="3" applyFont="1" applyAlignment="1" applyProtection="1">
      <alignment vertical="center"/>
    </xf>
    <xf numFmtId="164" fontId="28" fillId="0" borderId="21" xfId="3" applyNumberFormat="1" applyFont="1" applyBorder="1" applyAlignment="1" applyProtection="1">
      <alignment vertical="center"/>
    </xf>
    <xf numFmtId="164" fontId="28" fillId="0" borderId="20" xfId="3" applyNumberFormat="1" applyFont="1" applyBorder="1" applyAlignment="1" applyProtection="1">
      <alignment vertical="center"/>
    </xf>
    <xf numFmtId="164" fontId="10" fillId="0" borderId="20" xfId="3" applyNumberFormat="1" applyFont="1" applyBorder="1" applyAlignment="1" applyProtection="1">
      <alignment vertical="center"/>
    </xf>
    <xf numFmtId="3" fontId="10" fillId="0" borderId="0" xfId="3" applyNumberFormat="1" applyFont="1" applyAlignment="1" applyProtection="1">
      <alignment vertical="center"/>
    </xf>
    <xf numFmtId="0" fontId="28" fillId="2" borderId="21" xfId="3" applyFont="1" applyFill="1" applyBorder="1" applyAlignment="1" applyProtection="1">
      <alignment vertical="center"/>
    </xf>
    <xf numFmtId="0" fontId="10" fillId="0" borderId="12" xfId="3" applyFont="1" applyBorder="1" applyAlignment="1" applyProtection="1">
      <alignment vertical="center"/>
    </xf>
    <xf numFmtId="0" fontId="23" fillId="0" borderId="0" xfId="3" applyFont="1" applyAlignment="1" applyProtection="1">
      <alignment vertical="center"/>
    </xf>
    <xf numFmtId="3" fontId="28" fillId="0" borderId="0" xfId="3" applyNumberFormat="1" applyFont="1" applyAlignment="1" applyProtection="1">
      <alignment vertical="center"/>
    </xf>
    <xf numFmtId="164" fontId="31" fillId="0" borderId="0" xfId="1" applyFont="1" applyFill="1" applyAlignment="1">
      <alignment vertical="center"/>
    </xf>
    <xf numFmtId="0" fontId="32" fillId="0" borderId="0" xfId="1" applyNumberFormat="1" applyFont="1" applyFill="1" applyAlignment="1">
      <alignment vertical="center"/>
    </xf>
    <xf numFmtId="164" fontId="32" fillId="0" borderId="0" xfId="1" applyFont="1" applyFill="1" applyAlignment="1">
      <alignment vertical="center"/>
    </xf>
    <xf numFmtId="165" fontId="33" fillId="0" borderId="0" xfId="2" applyNumberFormat="1" applyFont="1" applyFill="1" applyAlignment="1">
      <alignment vertical="center"/>
    </xf>
    <xf numFmtId="0" fontId="0" fillId="0" borderId="19" xfId="0" applyBorder="1"/>
    <xf numFmtId="0" fontId="24" fillId="4" borderId="21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left"/>
    </xf>
    <xf numFmtId="0" fontId="8" fillId="3" borderId="0" xfId="0" applyFont="1" applyFill="1" applyAlignment="1">
      <alignment horizontal="right"/>
    </xf>
    <xf numFmtId="0" fontId="28" fillId="0" borderId="5" xfId="0" applyFont="1" applyBorder="1"/>
    <xf numFmtId="10" fontId="28" fillId="0" borderId="0" xfId="0" applyNumberFormat="1" applyFont="1"/>
    <xf numFmtId="0" fontId="28" fillId="0" borderId="19" xfId="0" applyFont="1" applyBorder="1"/>
    <xf numFmtId="0" fontId="8" fillId="3" borderId="19" xfId="0" applyFont="1" applyFill="1" applyBorder="1"/>
    <xf numFmtId="0" fontId="8" fillId="3" borderId="21" xfId="0" applyFont="1" applyFill="1" applyBorder="1" applyAlignment="1">
      <alignment horizontal="right"/>
    </xf>
    <xf numFmtId="0" fontId="8" fillId="6" borderId="5" xfId="0" applyFont="1" applyFill="1" applyBorder="1"/>
    <xf numFmtId="0" fontId="8" fillId="6" borderId="0" xfId="0" applyFont="1" applyFill="1"/>
    <xf numFmtId="0" fontId="28" fillId="0" borderId="29" xfId="0" applyFont="1" applyBorder="1"/>
    <xf numFmtId="164" fontId="28" fillId="0" borderId="29" xfId="0" applyNumberFormat="1" applyFont="1" applyBorder="1"/>
    <xf numFmtId="0" fontId="10" fillId="0" borderId="10" xfId="0" applyFont="1" applyBorder="1"/>
    <xf numFmtId="167" fontId="28" fillId="0" borderId="10" xfId="0" applyNumberFormat="1" applyFont="1" applyBorder="1"/>
    <xf numFmtId="0" fontId="10" fillId="0" borderId="29" xfId="0" applyFont="1" applyBorder="1"/>
    <xf numFmtId="164" fontId="18" fillId="0" borderId="0" xfId="1" applyFont="1" applyAlignment="1">
      <alignment horizontal="right" readingOrder="1"/>
    </xf>
    <xf numFmtId="164" fontId="0" fillId="0" borderId="0" xfId="1" applyFont="1"/>
    <xf numFmtId="164" fontId="0" fillId="0" borderId="0" xfId="1" applyFont="1" applyAlignment="1">
      <alignment horizontal="right"/>
    </xf>
    <xf numFmtId="164" fontId="16" fillId="0" borderId="0" xfId="1" applyFont="1" applyAlignment="1">
      <alignment horizontal="right"/>
    </xf>
    <xf numFmtId="0" fontId="0" fillId="0" borderId="30" xfId="0" applyBorder="1"/>
    <xf numFmtId="0" fontId="0" fillId="0" borderId="31" xfId="0" applyBorder="1"/>
    <xf numFmtId="164" fontId="16" fillId="0" borderId="14" xfId="1" applyFont="1" applyBorder="1" applyAlignment="1">
      <alignment horizontal="right"/>
    </xf>
    <xf numFmtId="164" fontId="16" fillId="0" borderId="0" xfId="1" applyFont="1" applyAlignment="1">
      <alignment horizontal="center"/>
    </xf>
    <xf numFmtId="0" fontId="0" fillId="0" borderId="1" xfId="0" applyBorder="1"/>
    <xf numFmtId="0" fontId="16" fillId="0" borderId="0" xfId="0" applyFont="1" applyAlignment="1">
      <alignment horizontal="center" vertical="center"/>
    </xf>
    <xf numFmtId="0" fontId="0" fillId="0" borderId="16" xfId="0" applyBorder="1"/>
    <xf numFmtId="164" fontId="0" fillId="0" borderId="0" xfId="0" applyNumberFormat="1" applyBorder="1" applyAlignment="1">
      <alignment horizontal="right"/>
    </xf>
    <xf numFmtId="164" fontId="16" fillId="0" borderId="0" xfId="0" applyNumberFormat="1" applyFont="1" applyBorder="1" applyAlignment="1">
      <alignment horizontal="right"/>
    </xf>
    <xf numFmtId="164" fontId="18" fillId="0" borderId="0" xfId="0" applyNumberFormat="1" applyFont="1" applyBorder="1" applyAlignment="1">
      <alignment horizontal="right" wrapText="1" readingOrder="1"/>
    </xf>
    <xf numFmtId="164" fontId="19" fillId="0" borderId="0" xfId="0" applyNumberFormat="1" applyFont="1" applyBorder="1" applyAlignment="1">
      <alignment horizontal="right" readingOrder="1"/>
    </xf>
    <xf numFmtId="164" fontId="4" fillId="0" borderId="32" xfId="0" applyNumberFormat="1" applyFont="1" applyBorder="1" applyAlignment="1">
      <alignment horizontal="right" readingOrder="1"/>
    </xf>
    <xf numFmtId="164" fontId="4" fillId="0" borderId="33" xfId="0" applyNumberFormat="1" applyFont="1" applyBorder="1" applyAlignment="1">
      <alignment horizontal="right" readingOrder="1"/>
    </xf>
    <xf numFmtId="164" fontId="4" fillId="0" borderId="34" xfId="0" applyNumberFormat="1" applyFont="1" applyBorder="1" applyAlignment="1">
      <alignment horizontal="right" readingOrder="1"/>
    </xf>
    <xf numFmtId="164" fontId="4" fillId="0" borderId="35" xfId="0" applyNumberFormat="1" applyFont="1" applyBorder="1" applyAlignment="1">
      <alignment horizontal="right" readingOrder="1"/>
    </xf>
    <xf numFmtId="0" fontId="4" fillId="0" borderId="36" xfId="0" applyFont="1" applyBorder="1" applyAlignment="1">
      <alignment horizontal="right" readingOrder="1"/>
    </xf>
    <xf numFmtId="164" fontId="29" fillId="0" borderId="0" xfId="0" applyNumberFormat="1" applyFont="1" applyAlignment="1">
      <alignment horizontal="right" readingOrder="1"/>
    </xf>
    <xf numFmtId="164" fontId="29" fillId="0" borderId="33" xfId="0" applyNumberFormat="1" applyFont="1" applyBorder="1" applyAlignment="1">
      <alignment horizontal="right" readingOrder="1"/>
    </xf>
    <xf numFmtId="164" fontId="29" fillId="0" borderId="35" xfId="0" applyNumberFormat="1" applyFont="1" applyBorder="1" applyAlignment="1">
      <alignment horizontal="right" readingOrder="1"/>
    </xf>
    <xf numFmtId="0" fontId="7" fillId="3" borderId="2" xfId="0" applyFont="1" applyFill="1" applyBorder="1" applyAlignment="1">
      <alignment horizontal="left" readingOrder="1"/>
    </xf>
    <xf numFmtId="0" fontId="9" fillId="4" borderId="4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/>
    </xf>
    <xf numFmtId="0" fontId="16" fillId="0" borderId="0" xfId="0" applyFont="1" applyAlignment="1">
      <alignment horizontal="center" vertical="center"/>
    </xf>
    <xf numFmtId="0" fontId="16" fillId="5" borderId="0" xfId="0" applyFont="1" applyFill="1" applyAlignment="1">
      <alignment horizontal="center" vertical="center" textRotation="90"/>
    </xf>
    <xf numFmtId="0" fontId="16" fillId="5" borderId="0" xfId="0" applyFont="1" applyFill="1" applyAlignment="1">
      <alignment horizontal="center" vertical="center" textRotation="90" wrapText="1"/>
    </xf>
    <xf numFmtId="0" fontId="8" fillId="6" borderId="19" xfId="0" applyFont="1" applyFill="1" applyBorder="1" applyAlignment="1">
      <alignment horizontal="left" wrapText="1"/>
    </xf>
    <xf numFmtId="0" fontId="8" fillId="6" borderId="19" xfId="0" applyFont="1" applyFill="1" applyBorder="1" applyAlignment="1">
      <alignment horizontal="left" vertical="center" wrapText="1"/>
    </xf>
    <xf numFmtId="0" fontId="26" fillId="4" borderId="27" xfId="0" applyFont="1" applyFill="1" applyBorder="1" applyAlignment="1">
      <alignment horizontal="center" readingOrder="1"/>
    </xf>
    <xf numFmtId="0" fontId="6" fillId="6" borderId="2" xfId="0" applyFont="1" applyFill="1" applyBorder="1" applyAlignment="1">
      <alignment horizontal="center"/>
    </xf>
    <xf numFmtId="0" fontId="24" fillId="3" borderId="20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6" xfId="0" applyBorder="1" applyAlignment="1"/>
  </cellXfs>
  <cellStyles count="4">
    <cellStyle name="Comma" xfId="1" builtinId="3" customBuiltin="1"/>
    <cellStyle name="Normal" xfId="0" builtinId="0" customBuiltin="1"/>
    <cellStyle name="Normal 3" xfId="3" xr:uid="{869EAA1E-B64B-4321-974A-6942A912058A}"/>
    <cellStyle name="Percent" xfId="2" builtinId="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Revenue</c:v>
          </c:tx>
          <c:spPr>
            <a:solidFill>
              <a:srgbClr val="3F8924"/>
            </a:solidFill>
            <a:ln>
              <a:noFill/>
            </a:ln>
          </c:spPr>
          <c:invertIfNegative val="0"/>
          <c:cat>
            <c:strRef>
              <c:f>EXECUTIVE_SUMMARY_!$E$5:$I$5</c:f>
              <c:strCache>
                <c:ptCount val="5"/>
                <c:pt idx="0">
                  <c:v>2026F</c:v>
                </c:pt>
                <c:pt idx="1">
                  <c:v>2027F</c:v>
                </c:pt>
                <c:pt idx="2">
                  <c:v>2028F</c:v>
                </c:pt>
                <c:pt idx="3">
                  <c:v>2029F</c:v>
                </c:pt>
                <c:pt idx="4">
                  <c:v>2030F</c:v>
                </c:pt>
              </c:strCache>
            </c:strRef>
          </c:cat>
          <c:val>
            <c:numRef>
              <c:f>EXECUTIVE_SUMMARY_!$E$7:$I$7</c:f>
              <c:numCache>
                <c:formatCode>" "* #,##0.00" ";" "* "-"#,##0.00" ";" "* "-"#" ";" "@" "</c:formatCode>
                <c:ptCount val="5"/>
                <c:pt idx="0">
                  <c:v>152679.48258056748</c:v>
                </c:pt>
                <c:pt idx="1">
                  <c:v>170661.71079616528</c:v>
                </c:pt>
                <c:pt idx="2">
                  <c:v>190761.84330468081</c:v>
                </c:pt>
                <c:pt idx="3">
                  <c:v>213229.32186272956</c:v>
                </c:pt>
                <c:pt idx="4">
                  <c:v>238342.96688683695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3-48D1-8A66-1983E9631B35}"/>
            </c:ext>
          </c:extLst>
        </c:ser>
        <c:ser>
          <c:idx val="1"/>
          <c:order val="1"/>
          <c:tx>
            <c:v>EBITDA</c:v>
          </c:tx>
          <c:spPr>
            <a:solidFill>
              <a:srgbClr val="4EA72E"/>
            </a:solidFill>
            <a:ln>
              <a:noFill/>
            </a:ln>
          </c:spPr>
          <c:invertIfNegative val="0"/>
          <c:cat>
            <c:strRef>
              <c:f>EXECUTIVE_SUMMARY_!$E$5:$I$5</c:f>
              <c:strCache>
                <c:ptCount val="5"/>
                <c:pt idx="0">
                  <c:v>2026F</c:v>
                </c:pt>
                <c:pt idx="1">
                  <c:v>2027F</c:v>
                </c:pt>
                <c:pt idx="2">
                  <c:v>2028F</c:v>
                </c:pt>
                <c:pt idx="3">
                  <c:v>2029F</c:v>
                </c:pt>
                <c:pt idx="4">
                  <c:v>2030F</c:v>
                </c:pt>
              </c:strCache>
            </c:strRef>
          </c:cat>
          <c:val>
            <c:numRef>
              <c:f>EXECUTIVE_SUMMARY_!$E$15:$I$15</c:f>
              <c:numCache>
                <c:formatCode>" "* #,##0.00" ";" "* "-"#,##0.00" ";" "* "-"#" ";" "@" "</c:formatCode>
                <c:ptCount val="5"/>
                <c:pt idx="0">
                  <c:v>39435.835093384856</c:v>
                </c:pt>
                <c:pt idx="1">
                  <c:v>44080.494444700904</c:v>
                </c:pt>
                <c:pt idx="2">
                  <c:v>49272.190785057035</c:v>
                </c:pt>
                <c:pt idx="3">
                  <c:v>55075.352836721882</c:v>
                </c:pt>
                <c:pt idx="4">
                  <c:v>61561.997584433098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F3-48D1-8A66-1983E9631B35}"/>
            </c:ext>
          </c:extLst>
        </c:ser>
        <c:ser>
          <c:idx val="2"/>
          <c:order val="2"/>
          <c:tx>
            <c:v>Net Income </c:v>
          </c:tx>
          <c:spPr>
            <a:solidFill>
              <a:srgbClr val="AACCA3"/>
            </a:solidFill>
            <a:ln>
              <a:noFill/>
            </a:ln>
          </c:spPr>
          <c:invertIfNegative val="0"/>
          <c:cat>
            <c:strRef>
              <c:f>EXECUTIVE_SUMMARY_!$E$5:$I$5</c:f>
              <c:strCache>
                <c:ptCount val="5"/>
                <c:pt idx="0">
                  <c:v>2026F</c:v>
                </c:pt>
                <c:pt idx="1">
                  <c:v>2027F</c:v>
                </c:pt>
                <c:pt idx="2">
                  <c:v>2028F</c:v>
                </c:pt>
                <c:pt idx="3">
                  <c:v>2029F</c:v>
                </c:pt>
                <c:pt idx="4">
                  <c:v>2030F</c:v>
                </c:pt>
              </c:strCache>
            </c:strRef>
          </c:cat>
          <c:val>
            <c:numRef>
              <c:f>EXECUTIVE_SUMMARY_!$E$29:$I$29</c:f>
              <c:numCache>
                <c:formatCode>" "* #,##0.00" ";" "* "-"#,##0.00" ";" "* "-"#" ";" "@" "</c:formatCode>
                <c:ptCount val="5"/>
                <c:pt idx="0">
                  <c:v>32636.348667044109</c:v>
                </c:pt>
                <c:pt idx="1">
                  <c:v>36446.981305599504</c:v>
                </c:pt>
                <c:pt idx="2">
                  <c:v>40407.451072625365</c:v>
                </c:pt>
                <c:pt idx="3">
                  <c:v>45165.381624650247</c:v>
                </c:pt>
                <c:pt idx="4">
                  <c:v>50161.751083059244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F3-48D1-8A66-1983E9631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4945567"/>
        <c:axId val="1864944127"/>
      </c:barChart>
      <c:valAx>
        <c:axId val="1864944127"/>
        <c:scaling>
          <c:orientation val="minMax"/>
          <c:max val="300000"/>
          <c:min val="20000"/>
        </c:scaling>
        <c:delete val="0"/>
        <c:axPos val="l"/>
        <c:numFmt formatCode="&quot; &quot;* #,##0.00&quot; &quot;;&quot; &quot;* &quot;-&quot;#,##0.00&quot; &quot;;&quot; &quot;* &quot;-&quot;#&quot; &quot;;&quot; &quot;@&quot; &quot;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1864945567"/>
        <c:crosses val="autoZero"/>
        <c:crossBetween val="between"/>
      </c:valAx>
      <c:catAx>
        <c:axId val="186494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1864944127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b"/>
      <c:overlay val="0"/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GB" sz="1000" b="0" i="0" u="none" strike="noStrike" kern="1200" baseline="0">
          <a:solidFill>
            <a:srgbClr val="000000"/>
          </a:solidFill>
          <a:latin typeface="Aptos Narrow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5199081096951436"/>
          <c:y val="5.4254182983268069E-2"/>
          <c:w val="0.8174912269050898"/>
          <c:h val="0.7423225347098612"/>
        </c:manualLayout>
      </c:layout>
      <c:barChart>
        <c:barDir val="col"/>
        <c:grouping val="clustered"/>
        <c:varyColors val="0"/>
        <c:ser>
          <c:idx val="0"/>
          <c:order val="0"/>
          <c:tx>
            <c:v>FCF</c:v>
          </c:tx>
          <c:spPr>
            <a:solidFill>
              <a:srgbClr val="449328"/>
            </a:solidFill>
            <a:ln>
              <a:noFill/>
            </a:ln>
          </c:spPr>
          <c:invertIfNegative val="0"/>
          <c:cat>
            <c:strRef>
              <c:f>EXECUTIVE_SUMMARY_!$E$5:$I$5</c:f>
              <c:strCache>
                <c:ptCount val="5"/>
                <c:pt idx="0">
                  <c:v>2026F</c:v>
                </c:pt>
                <c:pt idx="1">
                  <c:v>2027F</c:v>
                </c:pt>
                <c:pt idx="2">
                  <c:v>2028F</c:v>
                </c:pt>
                <c:pt idx="3">
                  <c:v>2029F</c:v>
                </c:pt>
                <c:pt idx="4">
                  <c:v>2030F</c:v>
                </c:pt>
              </c:strCache>
            </c:strRef>
          </c:cat>
          <c:val>
            <c:numRef>
              <c:f>Discounted_Cash_Flow!$D$24:$H$24</c:f>
              <c:numCache>
                <c:formatCode>" "* #,##0.00" ";" "* "-"#,##0.00" ";" "* "-"#" ";" "@" "</c:formatCode>
                <c:ptCount val="5"/>
                <c:pt idx="0">
                  <c:v>26582.145883685265</c:v>
                </c:pt>
                <c:pt idx="1">
                  <c:v>28924.981227577802</c:v>
                </c:pt>
                <c:pt idx="2">
                  <c:v>32499.780699111063</c:v>
                </c:pt>
                <c:pt idx="3">
                  <c:v>36503.685574122515</c:v>
                </c:pt>
                <c:pt idx="4">
                  <c:v>40983.1033174568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36-4CDA-92A7-EB36212D0ECF}"/>
            </c:ext>
          </c:extLst>
        </c:ser>
        <c:ser>
          <c:idx val="1"/>
          <c:order val="1"/>
          <c:tx>
            <c:v>PV of FCF</c:v>
          </c:tx>
          <c:spPr>
            <a:solidFill>
              <a:srgbClr val="92C089"/>
            </a:solidFill>
            <a:ln>
              <a:noFill/>
            </a:ln>
          </c:spPr>
          <c:invertIfNegative val="0"/>
          <c:cat>
            <c:strRef>
              <c:f>EXECUTIVE_SUMMARY_!$E$5:$I$5</c:f>
              <c:strCache>
                <c:ptCount val="5"/>
                <c:pt idx="0">
                  <c:v>2026F</c:v>
                </c:pt>
                <c:pt idx="1">
                  <c:v>2027F</c:v>
                </c:pt>
                <c:pt idx="2">
                  <c:v>2028F</c:v>
                </c:pt>
                <c:pt idx="3">
                  <c:v>2029F</c:v>
                </c:pt>
                <c:pt idx="4">
                  <c:v>2030F</c:v>
                </c:pt>
              </c:strCache>
            </c:strRef>
          </c:cat>
          <c:val>
            <c:numRef>
              <c:f>Discounted_Cash_Flow!$D$30:$H$30</c:f>
              <c:numCache>
                <c:formatCode>" "* #,##0.00" ";" "* "-"#,##0.00" ";" "* "-"#" ";" "@" "</c:formatCode>
                <c:ptCount val="5"/>
                <c:pt idx="0">
                  <c:v>23714.47321068338</c:v>
                </c:pt>
                <c:pt idx="1">
                  <c:v>23020.7768501213</c:v>
                </c:pt>
                <c:pt idx="2">
                  <c:v>23075.48110255368</c:v>
                </c:pt>
                <c:pt idx="3">
                  <c:v>23122.271353568955</c:v>
                </c:pt>
                <c:pt idx="4">
                  <c:v>23159.120592986459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36-4CDA-92A7-EB36212D0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6139695"/>
        <c:axId val="1676136815"/>
      </c:barChart>
      <c:valAx>
        <c:axId val="1676136815"/>
        <c:scaling>
          <c:orientation val="minMax"/>
        </c:scaling>
        <c:delete val="0"/>
        <c:axPos val="l"/>
        <c:numFmt formatCode="&quot; &quot;* #,##0.00&quot; &quot;;&quot; &quot;* &quot;-&quot;#,##0.00&quot; &quot;;&quot; &quot;* &quot;-&quot;#&quot; &quot;;&quot; &quot;@&quot; &quot;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1676139695"/>
        <c:crosses val="autoZero"/>
        <c:crossBetween val="between"/>
      </c:valAx>
      <c:catAx>
        <c:axId val="167613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1676136815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Aptos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GB" sz="1000" b="0" i="0" u="none" strike="noStrike" kern="1200" baseline="0">
          <a:solidFill>
            <a:srgbClr val="000000"/>
          </a:solidFill>
          <a:latin typeface="Aptos Narrow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TV</c:v>
          </c:tx>
          <c:spPr>
            <a:solidFill>
              <a:srgbClr val="009B4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1"/>
              <c:pt idx="0">
                <c:v>Terminal Value</c:v>
              </c:pt>
            </c:strLit>
          </c:cat>
          <c:val>
            <c:numLit>
              <c:formatCode>General</c:formatCode>
              <c:ptCount val="1"/>
              <c:pt idx="0">
                <c:v>548207.87521907454</c:v>
              </c:pt>
            </c:numLit>
          </c:val>
          <c:extLst>
            <c:ext xmlns:c16="http://schemas.microsoft.com/office/drawing/2014/chart" uri="{C3380CC4-5D6E-409C-BE32-E72D297353CC}">
              <c16:uniqueId val="{00000000-357A-4526-B6B9-BB26CAEDA263}"/>
            </c:ext>
          </c:extLst>
        </c:ser>
        <c:ser>
          <c:idx val="1"/>
          <c:order val="1"/>
          <c:tx>
            <c:v>PV of TV</c:v>
          </c:tx>
          <c:spPr>
            <a:solidFill>
              <a:srgbClr val="84C693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1"/>
              <c:pt idx="0">
                <c:v>Terminal Value</c:v>
              </c:pt>
            </c:strLit>
          </c:cat>
          <c:val>
            <c:numLit>
              <c:formatCode>General</c:formatCode>
              <c:ptCount val="1"/>
              <c:pt idx="0">
                <c:v>309786.50381547702</c:v>
              </c:pt>
            </c:numLit>
          </c:val>
          <c:extLst>
            <c:ext xmlns:c16="http://schemas.microsoft.com/office/drawing/2014/chart" uri="{C3380CC4-5D6E-409C-BE32-E72D297353CC}">
              <c16:uniqueId val="{00000001-357A-4526-B6B9-BB26CAEDA26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64941247"/>
        <c:axId val="1864947487"/>
      </c:barChart>
      <c:valAx>
        <c:axId val="1864947487"/>
        <c:scaling>
          <c:orientation val="minMax"/>
        </c:scaling>
        <c:delete val="0"/>
        <c:axPos val="l"/>
        <c:numFmt formatCode="&quot; &quot;;&quot; &quot;;&quot; &quot;;&quot; &quot;" sourceLinked="0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1864941247"/>
        <c:crosses val="autoZero"/>
        <c:crossBetween val="between"/>
      </c:valAx>
      <c:catAx>
        <c:axId val="186494124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1864947487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Aptos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GB" sz="1000" b="0" i="0" u="none" strike="noStrike" kern="1200" baseline="0">
          <a:solidFill>
            <a:srgbClr val="000000"/>
          </a:solidFill>
          <a:latin typeface="Aptos Narrow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Discounted_Cash_Flow!$B$45:$B$45</c:f>
              <c:strCache>
                <c:ptCount val="1"/>
                <c:pt idx="0">
                  <c:v>PV of FCF</c:v>
                </c:pt>
              </c:strCache>
            </c:strRef>
          </c:tx>
          <c:spPr>
            <a:solidFill>
              <a:srgbClr val="009B4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cap="none" spc="0" baseline="0">
                    <a:solidFill>
                      <a:srgbClr val="FFFFFF"/>
                    </a:solidFill>
                    <a:effectLst>
                      <a:outerShdw dist="19048" dir="2700000">
                        <a:srgbClr val="000000"/>
                      </a:outerShdw>
                    </a:effectLst>
                    <a:latin typeface="Aptos Narrow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strRef>
              <c:f>Discounted_Cash_Flow!$B$44:$B$44</c:f>
              <c:strCache>
                <c:ptCount val="1"/>
                <c:pt idx="0">
                  <c:v>Enterprise Value </c:v>
                </c:pt>
              </c:strCache>
            </c:strRef>
          </c:cat>
          <c:val>
            <c:numRef>
              <c:f>Discounted_Cash_Flow!$C$45:$C$45</c:f>
              <c:numCache>
                <c:formatCode>" "* #,##0.00" ";" "* "-"#,##0.00" ";" "* "-"#" ";" "@" "</c:formatCode>
                <c:ptCount val="1"/>
                <c:pt idx="0">
                  <c:v>116092.12310991378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15-4324-926E-84269275E5B7}"/>
            </c:ext>
          </c:extLst>
        </c:ser>
        <c:ser>
          <c:idx val="1"/>
          <c:order val="1"/>
          <c:tx>
            <c:strRef>
              <c:f>Discounted_Cash_Flow!$B$46:$B$46</c:f>
              <c:strCache>
                <c:ptCount val="1"/>
                <c:pt idx="0">
                  <c:v>PV of Terminal  Value </c:v>
                </c:pt>
              </c:strCache>
            </c:strRef>
          </c:tx>
          <c:spPr>
            <a:solidFill>
              <a:srgbClr val="84C693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cap="none" spc="0" baseline="0">
                    <a:solidFill>
                      <a:srgbClr val="FFFFFF"/>
                    </a:solidFill>
                    <a:effectLst>
                      <a:outerShdw dist="19048" dir="2700000">
                        <a:srgbClr val="000000"/>
                      </a:outerShdw>
                    </a:effectLst>
                    <a:latin typeface="Aptos Narrow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strRef>
              <c:f>Discounted_Cash_Flow!$B$44:$B$44</c:f>
              <c:strCache>
                <c:ptCount val="1"/>
                <c:pt idx="0">
                  <c:v>Enterprise Value </c:v>
                </c:pt>
              </c:strCache>
            </c:strRef>
          </c:cat>
          <c:val>
            <c:numRef>
              <c:f>Discounted_Cash_Flow!$C$46:$C$46</c:f>
              <c:numCache>
                <c:formatCode>" "* #,##0.00" ";" "* "-"#,##0.00" ";" "* "-"#" ";" "@" "</c:formatCode>
                <c:ptCount val="1"/>
                <c:pt idx="0">
                  <c:v>320786.3731936157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15-4324-926E-84269275E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6141135"/>
        <c:axId val="1676140655"/>
      </c:barChart>
      <c:valAx>
        <c:axId val="1676140655"/>
        <c:scaling>
          <c:orientation val="minMax"/>
        </c:scaling>
        <c:delete val="0"/>
        <c:axPos val="l"/>
        <c:numFmt formatCode="&quot; &quot;* #,##0.00&quot; &quot;;&quot; &quot;* &quot;-&quot;#,##0.00&quot; &quot;;&quot; &quot;* &quot;-&quot;#&quot; &quot;;&quot; &quot;@&quot; &quot;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1676141135"/>
        <c:crosses val="autoZero"/>
        <c:crossBetween val="between"/>
      </c:valAx>
      <c:catAx>
        <c:axId val="1676141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1676140655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GB" sz="1000" b="0" i="0" u="none" strike="noStrike" kern="1200" baseline="0">
          <a:solidFill>
            <a:srgbClr val="000000"/>
          </a:solidFill>
          <a:latin typeface="Aptos Narrow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35</xdr:row>
      <xdr:rowOff>0</xdr:rowOff>
    </xdr:from>
    <xdr:ext cx="5567461" cy="2572966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795990C7-24B2-A092-BA66-56D1CF3C5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11</xdr:col>
      <xdr:colOff>10579</xdr:colOff>
      <xdr:row>27</xdr:row>
      <xdr:rowOff>137580</xdr:rowOff>
    </xdr:from>
    <xdr:ext cx="4577632" cy="2809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5A153B-8FB8-3D83-7CD1-5FFBD1DDE555}"/>
            </a:ext>
            <a:ext uri="{147F2762-F138-4A5C-976F-8EAC2B608ADB}">
              <a16:predDERef xmlns:a16="http://schemas.microsoft.com/office/drawing/2014/main" pred="{795990C7-24B2-A092-BA66-56D1CF3C5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11</xdr:col>
      <xdr:colOff>0</xdr:colOff>
      <xdr:row>44</xdr:row>
      <xdr:rowOff>99395</xdr:rowOff>
    </xdr:from>
    <xdr:ext cx="4604424" cy="2770622"/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72551EC4-4439-05C3-1BAC-DFB49A3D59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10</xdr:col>
      <xdr:colOff>364470</xdr:colOff>
      <xdr:row>6</xdr:row>
      <xdr:rowOff>0</xdr:rowOff>
    </xdr:from>
    <xdr:ext cx="4486265" cy="2669362"/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FC78CD35-75EE-CF3C-6BA0-4FED8A46C3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93BA-9633-4D53-A718-0D2CE7B682E0}">
  <sheetPr>
    <tabColor rgb="FF262626"/>
    <pageSetUpPr fitToPage="1"/>
  </sheetPr>
  <dimension ref="B3:S61"/>
  <sheetViews>
    <sheetView showGridLines="0" zoomScale="70" workbookViewId="0">
      <selection activeCell="E5" sqref="E5:I5"/>
    </sheetView>
  </sheetViews>
  <sheetFormatPr defaultRowHeight="14.45"/>
  <cols>
    <col min="1" max="2" width="8.85546875" customWidth="1"/>
    <col min="3" max="3" width="25.42578125" bestFit="1" customWidth="1"/>
    <col min="4" max="4" width="5.42578125" customWidth="1"/>
    <col min="5" max="5" width="11.140625" bestFit="1" customWidth="1"/>
    <col min="6" max="9" width="12.28515625" bestFit="1" customWidth="1"/>
    <col min="10" max="10" width="8.85546875" customWidth="1"/>
    <col min="11" max="11" width="5.28515625" customWidth="1"/>
    <col min="12" max="12" width="8.85546875" customWidth="1"/>
  </cols>
  <sheetData>
    <row r="3" spans="2:19" ht="21">
      <c r="C3" s="1" t="s">
        <v>0</v>
      </c>
    </row>
    <row r="4" spans="2:19">
      <c r="B4" s="2"/>
      <c r="C4" s="3" t="s">
        <v>1</v>
      </c>
      <c r="D4" s="3"/>
      <c r="E4" s="309"/>
      <c r="F4" s="309"/>
      <c r="G4" s="309"/>
      <c r="H4" s="309"/>
      <c r="I4" s="309"/>
    </row>
    <row r="5" spans="2:19">
      <c r="B5" s="297" t="s">
        <v>2</v>
      </c>
      <c r="C5" s="297"/>
      <c r="D5" s="297"/>
      <c r="E5" s="4" t="s">
        <v>3</v>
      </c>
      <c r="F5" s="4" t="s">
        <v>4</v>
      </c>
      <c r="G5" s="4" t="s">
        <v>5</v>
      </c>
      <c r="H5" s="4" t="s">
        <v>6</v>
      </c>
      <c r="I5" s="5" t="s">
        <v>7</v>
      </c>
      <c r="K5" s="298" t="s">
        <v>8</v>
      </c>
      <c r="L5" s="298"/>
      <c r="M5" s="298"/>
      <c r="N5" s="298"/>
      <c r="O5" s="298"/>
      <c r="P5" s="298"/>
      <c r="Q5" s="298"/>
      <c r="R5" s="298"/>
      <c r="S5" s="298"/>
    </row>
    <row r="6" spans="2:19">
      <c r="B6" s="6"/>
      <c r="C6" s="2"/>
      <c r="D6" s="7"/>
      <c r="E6" s="8"/>
      <c r="F6" s="8"/>
      <c r="G6" s="8"/>
      <c r="H6" s="8"/>
      <c r="I6" s="9"/>
      <c r="K6" s="10"/>
      <c r="S6" s="11"/>
    </row>
    <row r="7" spans="2:19">
      <c r="B7" s="12"/>
      <c r="C7" s="13" t="s">
        <v>9</v>
      </c>
      <c r="D7" s="14"/>
      <c r="E7" s="15">
        <f>FINANCIALS!F7</f>
        <v>152679.48258056748</v>
      </c>
      <c r="F7" s="15">
        <f>FINANCIALS!G7</f>
        <v>170661.71079616528</v>
      </c>
      <c r="G7" s="15">
        <f>FINANCIALS!H7</f>
        <v>190761.84330468081</v>
      </c>
      <c r="H7" s="15">
        <f>FINANCIALS!I7</f>
        <v>213229.32186272956</v>
      </c>
      <c r="I7" s="16">
        <f>FINANCIALS!J7</f>
        <v>238342.96688683695</v>
      </c>
      <c r="K7" s="10"/>
      <c r="S7" s="11"/>
    </row>
    <row r="8" spans="2:19">
      <c r="B8" s="12"/>
      <c r="C8" s="17" t="s">
        <v>10</v>
      </c>
      <c r="D8" s="18"/>
      <c r="E8" s="19">
        <f>FINANCIALS!F8</f>
        <v>0.11777763397979005</v>
      </c>
      <c r="F8" s="19">
        <f>FINANCIALS!G8</f>
        <v>0.11777763397979005</v>
      </c>
      <c r="G8" s="19">
        <f>FINANCIALS!H8</f>
        <v>0.11777763397979005</v>
      </c>
      <c r="H8" s="19">
        <f>FINANCIALS!I8</f>
        <v>0.11777763397979005</v>
      </c>
      <c r="I8" s="20">
        <f>FINANCIALS!J8</f>
        <v>0.11777763397979005</v>
      </c>
      <c r="K8" s="10"/>
      <c r="S8" s="11"/>
    </row>
    <row r="9" spans="2:19">
      <c r="B9" s="12"/>
      <c r="C9" s="21"/>
      <c r="D9" s="22"/>
      <c r="E9" s="15"/>
      <c r="F9" s="15"/>
      <c r="G9" s="15"/>
      <c r="H9" s="15"/>
      <c r="I9" s="16"/>
      <c r="K9" s="10"/>
      <c r="S9" s="11"/>
    </row>
    <row r="10" spans="2:19">
      <c r="B10" s="12"/>
      <c r="C10" s="23" t="s">
        <v>11</v>
      </c>
      <c r="D10" s="24"/>
      <c r="E10" s="25">
        <f>E7*(ASSUMPTION_!$F$8*-1)</f>
        <v>-103439.03149990668</v>
      </c>
      <c r="F10" s="25">
        <f>F7*(ASSUMPTION_!$F$8*-1)</f>
        <v>-115621.83589112666</v>
      </c>
      <c r="G10" s="25">
        <f>G7*(ASSUMPTION_!$F$8*-1)</f>
        <v>-129239.50215878313</v>
      </c>
      <c r="H10" s="25">
        <f>H7*(ASSUMPTION_!$F$8*-1)</f>
        <v>-144461.02493977055</v>
      </c>
      <c r="I10" s="26">
        <f>I7*(ASSUMPTION_!$F$8*-1)</f>
        <v>-161475.30265947216</v>
      </c>
      <c r="K10" s="10"/>
      <c r="S10" s="11"/>
    </row>
    <row r="11" spans="2:19">
      <c r="B11" s="12"/>
      <c r="C11" s="27" t="s">
        <v>12</v>
      </c>
      <c r="D11" s="28"/>
      <c r="E11" s="29">
        <f>SUM(E7,E10)</f>
        <v>49240.451080660801</v>
      </c>
      <c r="F11" s="29">
        <f>SUM(F7,F10)</f>
        <v>55039.874905038625</v>
      </c>
      <c r="G11" s="29">
        <f>SUM(G7,G10)</f>
        <v>61522.341145897677</v>
      </c>
      <c r="H11" s="29">
        <f>SUM(H7,H10)</f>
        <v>68768.296922959009</v>
      </c>
      <c r="I11" s="30">
        <f>SUM(I7,I10)</f>
        <v>76867.664227364789</v>
      </c>
      <c r="K11" s="10"/>
      <c r="S11" s="11"/>
    </row>
    <row r="12" spans="2:19">
      <c r="B12" s="12"/>
      <c r="C12" s="17" t="s">
        <v>13</v>
      </c>
      <c r="D12" s="18"/>
      <c r="E12" s="31">
        <f>E11/E7</f>
        <v>0.32250863212532238</v>
      </c>
      <c r="F12" s="31">
        <f>F11/F7</f>
        <v>0.32250863212532238</v>
      </c>
      <c r="G12" s="31">
        <f>G11/G7</f>
        <v>0.32250863212532227</v>
      </c>
      <c r="H12" s="31">
        <f>H11/H7</f>
        <v>0.32250863212532238</v>
      </c>
      <c r="I12" s="32">
        <f>I11/I7</f>
        <v>0.32250863212532238</v>
      </c>
      <c r="K12" s="10"/>
      <c r="S12" s="11"/>
    </row>
    <row r="13" spans="2:19">
      <c r="B13" s="12"/>
      <c r="C13" s="21"/>
      <c r="D13" s="22"/>
      <c r="E13" s="33"/>
      <c r="F13" s="33"/>
      <c r="G13" s="33"/>
      <c r="H13" s="33"/>
      <c r="I13" s="34"/>
      <c r="K13" s="10"/>
      <c r="S13" s="11"/>
    </row>
    <row r="14" spans="2:19">
      <c r="B14" s="12"/>
      <c r="C14" s="23" t="s">
        <v>14</v>
      </c>
      <c r="D14" s="24"/>
      <c r="E14" s="25">
        <f>E7*(ASSUMPTION_!$F$9*-1)</f>
        <v>-9804.6159872759417</v>
      </c>
      <c r="F14" s="25">
        <f>F7*(ASSUMPTION_!$F$9*-1)</f>
        <v>-10959.380460337725</v>
      </c>
      <c r="G14" s="25">
        <f>G7*(ASSUMPTION_!$F$9*-1)</f>
        <v>-12250.150360840644</v>
      </c>
      <c r="H14" s="25">
        <f>H7*(ASSUMPTION_!$F$9*-1)</f>
        <v>-13692.944086237127</v>
      </c>
      <c r="I14" s="26">
        <f>I7*(ASSUMPTION_!$F$9*-1)</f>
        <v>-15305.666642931692</v>
      </c>
      <c r="K14" s="10"/>
      <c r="S14" s="11"/>
    </row>
    <row r="15" spans="2:19">
      <c r="B15" s="12"/>
      <c r="C15" s="27" t="s">
        <v>15</v>
      </c>
      <c r="D15" s="28"/>
      <c r="E15" s="29">
        <f>SUM(E11,E14)</f>
        <v>39435.835093384856</v>
      </c>
      <c r="F15" s="29">
        <f>SUM(F11,F14)</f>
        <v>44080.494444700904</v>
      </c>
      <c r="G15" s="29">
        <f>SUM(G11,G14)</f>
        <v>49272.190785057035</v>
      </c>
      <c r="H15" s="29">
        <f>SUM(H11,H14)</f>
        <v>55075.352836721882</v>
      </c>
      <c r="I15" s="30">
        <f>SUM(I11,I14)</f>
        <v>61561.997584433098</v>
      </c>
      <c r="K15" s="10"/>
      <c r="S15" s="11"/>
    </row>
    <row r="16" spans="2:19">
      <c r="B16" s="12"/>
      <c r="C16" s="17" t="s">
        <v>16</v>
      </c>
      <c r="D16" s="18"/>
      <c r="E16" s="31">
        <f>E15/E7</f>
        <v>0.25829164748822719</v>
      </c>
      <c r="F16" s="31">
        <f>F15/F7</f>
        <v>0.25829164748822719</v>
      </c>
      <c r="G16" s="31">
        <f>G15/G7</f>
        <v>0.25829164748822714</v>
      </c>
      <c r="H16" s="31">
        <f>H15/H7</f>
        <v>0.25829164748822719</v>
      </c>
      <c r="I16" s="32">
        <f>I15/I7</f>
        <v>0.25829164748822719</v>
      </c>
      <c r="K16" s="10"/>
      <c r="S16" s="11"/>
    </row>
    <row r="17" spans="2:19">
      <c r="B17" s="12"/>
      <c r="C17" s="21"/>
      <c r="D17" s="22"/>
      <c r="E17" s="33"/>
      <c r="F17" s="33"/>
      <c r="G17" s="33"/>
      <c r="H17" s="33"/>
      <c r="I17" s="34"/>
      <c r="K17" s="10"/>
      <c r="S17" s="11"/>
    </row>
    <row r="18" spans="2:19">
      <c r="B18" s="12"/>
      <c r="C18" s="23" t="s">
        <v>17</v>
      </c>
      <c r="D18" s="24"/>
      <c r="E18" s="25">
        <v>-3543.4718631999999</v>
      </c>
      <c r="F18" s="25">
        <v>-4237.0754427519996</v>
      </c>
      <c r="G18" s="25">
        <v>-5014.6591708415999</v>
      </c>
      <c r="H18" s="25">
        <v>-5876.2861235553301</v>
      </c>
      <c r="I18" s="26">
        <v>-6814.4381772298002</v>
      </c>
      <c r="K18" s="10"/>
      <c r="S18" s="11"/>
    </row>
    <row r="19" spans="2:19">
      <c r="B19" s="12"/>
      <c r="C19" s="27" t="s">
        <v>18</v>
      </c>
      <c r="D19" s="28"/>
      <c r="E19" s="29">
        <f>E15+E18</f>
        <v>35892.363230184856</v>
      </c>
      <c r="F19" s="29">
        <f>F15+F18</f>
        <v>39843.419001948903</v>
      </c>
      <c r="G19" s="29">
        <f>G15+G18</f>
        <v>44257.531614215433</v>
      </c>
      <c r="H19" s="29">
        <f>H15+H18</f>
        <v>49199.066713166554</v>
      </c>
      <c r="I19" s="30">
        <f>I15+I18</f>
        <v>54747.559407203298</v>
      </c>
      <c r="K19" s="10"/>
      <c r="S19" s="11"/>
    </row>
    <row r="20" spans="2:19">
      <c r="B20" s="12"/>
      <c r="C20" s="17" t="s">
        <v>19</v>
      </c>
      <c r="D20" s="18"/>
      <c r="E20" s="31">
        <f>E19/E7</f>
        <v>0.23508308139074813</v>
      </c>
      <c r="F20" s="31">
        <f>F19/F7</f>
        <v>0.23346431262216183</v>
      </c>
      <c r="G20" s="31">
        <f>G19/G7</f>
        <v>0.23200410966635626</v>
      </c>
      <c r="H20" s="31">
        <f>H19/H7</f>
        <v>0.23073312002014146</v>
      </c>
      <c r="I20" s="32">
        <f>I19/I7</f>
        <v>0.22970075485045438</v>
      </c>
      <c r="K20" s="10"/>
      <c r="S20" s="11"/>
    </row>
    <row r="21" spans="2:19">
      <c r="B21" s="12"/>
      <c r="C21" s="21"/>
      <c r="D21" s="22"/>
      <c r="E21" s="33"/>
      <c r="F21" s="33"/>
      <c r="G21" s="33"/>
      <c r="H21" s="33"/>
      <c r="I21" s="34"/>
      <c r="K21" s="10"/>
      <c r="S21" s="11"/>
    </row>
    <row r="22" spans="2:19">
      <c r="B22" s="12"/>
      <c r="C22" s="21" t="s">
        <v>20</v>
      </c>
      <c r="D22" s="22"/>
      <c r="E22" s="15">
        <v>8463.3109131161946</v>
      </c>
      <c r="F22" s="15">
        <v>9693.1847109877272</v>
      </c>
      <c r="G22" s="15">
        <v>10666.319771235905</v>
      </c>
      <c r="H22" s="15">
        <v>12193.96260012856</v>
      </c>
      <c r="I22" s="16">
        <v>13441.625182738366</v>
      </c>
      <c r="K22" s="35"/>
      <c r="L22" s="36"/>
      <c r="M22" s="36"/>
      <c r="N22" s="36"/>
      <c r="O22" s="36"/>
      <c r="P22" s="36"/>
      <c r="Q22" s="36"/>
      <c r="R22" s="36"/>
      <c r="S22" s="37"/>
    </row>
    <row r="23" spans="2:19">
      <c r="B23" s="12"/>
      <c r="C23" s="38" t="s">
        <v>21</v>
      </c>
      <c r="D23" s="39"/>
      <c r="E23" s="40" t="s">
        <v>22</v>
      </c>
      <c r="F23" s="40" t="s">
        <v>22</v>
      </c>
      <c r="G23" s="40" t="s">
        <v>22</v>
      </c>
      <c r="H23" s="40" t="s">
        <v>22</v>
      </c>
      <c r="I23" s="41" t="s">
        <v>22</v>
      </c>
    </row>
    <row r="24" spans="2:19">
      <c r="B24" s="12"/>
      <c r="C24" s="23" t="s">
        <v>23</v>
      </c>
      <c r="D24" s="24"/>
      <c r="E24" s="25">
        <v>-252.5002689171171</v>
      </c>
      <c r="F24" s="25">
        <v>-283.92627293730112</v>
      </c>
      <c r="G24" s="25">
        <v>-319.18777379543121</v>
      </c>
      <c r="H24" s="25">
        <v>-358.7298205245101</v>
      </c>
      <c r="I24" s="26">
        <v>-403.03447769944268</v>
      </c>
    </row>
    <row r="25" spans="2:19" ht="21">
      <c r="B25" s="12"/>
      <c r="C25" s="27" t="s">
        <v>24</v>
      </c>
      <c r="D25" s="28"/>
      <c r="E25" s="29">
        <f>SUM(E19,E22:E24)</f>
        <v>44103.173874383931</v>
      </c>
      <c r="F25" s="29">
        <f>SUM(F19,F22:F24)</f>
        <v>49252.67743999933</v>
      </c>
      <c r="G25" s="29">
        <f>SUM(G19,G22:G24)</f>
        <v>54604.663611655902</v>
      </c>
      <c r="H25" s="29">
        <f>SUM(H19,H22:H24)</f>
        <v>61034.299492770602</v>
      </c>
      <c r="I25" s="30">
        <f>SUM(I19,I22:I24)</f>
        <v>67786.15011224222</v>
      </c>
      <c r="L25" s="1" t="s">
        <v>25</v>
      </c>
    </row>
    <row r="26" spans="2:19">
      <c r="B26" s="12"/>
      <c r="C26" s="17" t="s">
        <v>26</v>
      </c>
      <c r="D26" s="18"/>
      <c r="E26" s="31">
        <f>E25/E7</f>
        <v>0.28886116935267392</v>
      </c>
      <c r="F26" s="31">
        <f>F25/F7</f>
        <v>0.28859828727971493</v>
      </c>
      <c r="G26" s="31">
        <f>G25/G7</f>
        <v>0.2862452085055735</v>
      </c>
      <c r="H26" s="31">
        <f>H25/H7</f>
        <v>0.28623783520759211</v>
      </c>
      <c r="I26" s="32">
        <f>I25/I7</f>
        <v>0.28440591722778402</v>
      </c>
      <c r="L26" s="42" t="s">
        <v>1</v>
      </c>
    </row>
    <row r="27" spans="2:19">
      <c r="B27" s="12"/>
      <c r="C27" s="21"/>
      <c r="D27" s="22"/>
      <c r="E27" s="33"/>
      <c r="F27" s="33"/>
      <c r="G27" s="33"/>
      <c r="H27" s="33"/>
      <c r="I27" s="34"/>
      <c r="K27" s="299" t="s">
        <v>27</v>
      </c>
      <c r="L27" s="299"/>
      <c r="M27" s="299"/>
      <c r="N27" s="299"/>
      <c r="O27" s="299"/>
      <c r="P27" s="299"/>
      <c r="Q27" s="299"/>
      <c r="R27" s="299"/>
      <c r="S27" s="299"/>
    </row>
    <row r="28" spans="2:19">
      <c r="B28" s="12"/>
      <c r="C28" s="23" t="s">
        <v>28</v>
      </c>
      <c r="D28" s="24"/>
      <c r="E28" s="25">
        <f>E25*ASSUMPTION_!$F$11*-1</f>
        <v>-11466.825207339822</v>
      </c>
      <c r="F28" s="25">
        <f>F25*ASSUMPTION_!$F$11*-1</f>
        <v>-12805.696134399826</v>
      </c>
      <c r="G28" s="25">
        <f>G25*ASSUMPTION_!$F$11*-1</f>
        <v>-14197.212539030535</v>
      </c>
      <c r="H28" s="25">
        <f>H25*ASSUMPTION_!$F$11*-1</f>
        <v>-15868.917868120358</v>
      </c>
      <c r="I28" s="26">
        <f>I25*ASSUMPTION_!$F$11*-1</f>
        <v>-17624.399029182976</v>
      </c>
      <c r="K28" s="10"/>
      <c r="S28" s="11"/>
    </row>
    <row r="29" spans="2:19">
      <c r="B29" s="12"/>
      <c r="C29" s="43" t="s">
        <v>29</v>
      </c>
      <c r="D29" s="44"/>
      <c r="E29" s="45">
        <f>SUM(E25,E28)</f>
        <v>32636.348667044109</v>
      </c>
      <c r="F29" s="45">
        <f>SUM(F25,F28)</f>
        <v>36446.981305599504</v>
      </c>
      <c r="G29" s="45">
        <f>SUM(G25,G28)</f>
        <v>40407.451072625365</v>
      </c>
      <c r="H29" s="45">
        <f>SUM(H25,H28)</f>
        <v>45165.381624650247</v>
      </c>
      <c r="I29" s="46">
        <f>SUM(I25,I28)</f>
        <v>50161.751083059244</v>
      </c>
      <c r="K29" s="10"/>
      <c r="S29" s="11"/>
    </row>
    <row r="30" spans="2:19">
      <c r="B30" s="12"/>
      <c r="C30" s="17" t="s">
        <v>30</v>
      </c>
      <c r="D30" s="18"/>
      <c r="E30" s="31">
        <f>E29/E7</f>
        <v>0.21375726532097872</v>
      </c>
      <c r="F30" s="31">
        <f>F29/F7</f>
        <v>0.21356273258698902</v>
      </c>
      <c r="G30" s="31">
        <f>G29/G7</f>
        <v>0.21182145429412438</v>
      </c>
      <c r="H30" s="31">
        <f>H29/H7</f>
        <v>0.21181599805361817</v>
      </c>
      <c r="I30" s="32">
        <f>I29/I7</f>
        <v>0.21046037874856019</v>
      </c>
      <c r="K30" s="10"/>
      <c r="S30" s="11"/>
    </row>
    <row r="31" spans="2:19">
      <c r="B31" s="47"/>
      <c r="C31" s="48"/>
      <c r="D31" s="49"/>
      <c r="E31" s="282"/>
      <c r="F31" s="282"/>
      <c r="G31" s="282"/>
      <c r="H31" s="282"/>
      <c r="I31" s="50"/>
      <c r="K31" s="10"/>
      <c r="S31" s="11"/>
    </row>
    <row r="32" spans="2:19">
      <c r="K32" s="10"/>
      <c r="S32" s="11"/>
    </row>
    <row r="33" spans="2:19">
      <c r="K33" s="10"/>
      <c r="S33" s="11"/>
    </row>
    <row r="34" spans="2:19">
      <c r="B34" s="300" t="s">
        <v>31</v>
      </c>
      <c r="C34" s="300"/>
      <c r="D34" s="300"/>
      <c r="E34" s="300"/>
      <c r="F34" s="300"/>
      <c r="G34" s="300"/>
      <c r="H34" s="300"/>
      <c r="I34" s="300"/>
      <c r="K34" s="10"/>
      <c r="S34" s="11"/>
    </row>
    <row r="35" spans="2:19">
      <c r="B35" s="51"/>
      <c r="I35" s="52"/>
      <c r="K35" s="10"/>
      <c r="S35" s="11"/>
    </row>
    <row r="36" spans="2:19">
      <c r="B36" s="51"/>
      <c r="I36" s="52"/>
      <c r="K36" s="10"/>
      <c r="S36" s="11"/>
    </row>
    <row r="37" spans="2:19">
      <c r="B37" s="51"/>
      <c r="I37" s="52"/>
      <c r="K37" s="10"/>
      <c r="S37" s="11"/>
    </row>
    <row r="38" spans="2:19">
      <c r="B38" s="51"/>
      <c r="I38" s="52"/>
      <c r="K38" s="10"/>
      <c r="S38" s="11"/>
    </row>
    <row r="39" spans="2:19">
      <c r="B39" s="51"/>
      <c r="C39" s="53"/>
      <c r="I39" s="52"/>
      <c r="K39" s="10"/>
      <c r="S39" s="11"/>
    </row>
    <row r="40" spans="2:19">
      <c r="B40" s="51"/>
      <c r="I40" s="52"/>
      <c r="K40" s="10"/>
      <c r="S40" s="11"/>
    </row>
    <row r="41" spans="2:19">
      <c r="B41" s="51"/>
      <c r="I41" s="52"/>
      <c r="K41" s="10"/>
      <c r="S41" s="11"/>
    </row>
    <row r="42" spans="2:19">
      <c r="B42" s="51"/>
      <c r="I42" s="52"/>
      <c r="K42" s="10"/>
      <c r="S42" s="11"/>
    </row>
    <row r="43" spans="2:19">
      <c r="B43" s="51"/>
      <c r="I43" s="52"/>
      <c r="K43" s="10"/>
      <c r="S43" s="11"/>
    </row>
    <row r="44" spans="2:19">
      <c r="B44" s="51"/>
      <c r="I44" s="52"/>
      <c r="K44" s="10"/>
      <c r="S44" s="11"/>
    </row>
    <row r="45" spans="2:19">
      <c r="B45" s="51"/>
      <c r="I45" s="52"/>
      <c r="K45" s="10"/>
      <c r="S45" s="11"/>
    </row>
    <row r="46" spans="2:19">
      <c r="B46" s="51"/>
      <c r="I46" s="52"/>
      <c r="K46" s="10"/>
      <c r="S46" s="11"/>
    </row>
    <row r="47" spans="2:19">
      <c r="B47" s="51"/>
      <c r="I47" s="52"/>
      <c r="K47" s="10"/>
      <c r="S47" s="11"/>
    </row>
    <row r="48" spans="2:19">
      <c r="B48" s="51"/>
      <c r="I48" s="52"/>
      <c r="K48" s="10"/>
      <c r="S48" s="11"/>
    </row>
    <row r="49" spans="2:19">
      <c r="B49" s="51"/>
      <c r="I49" s="52"/>
      <c r="K49" s="10"/>
      <c r="S49" s="11"/>
    </row>
    <row r="50" spans="2:19">
      <c r="B50" s="51"/>
      <c r="I50" s="52"/>
      <c r="K50" s="10"/>
      <c r="S50" s="11"/>
    </row>
    <row r="51" spans="2:19">
      <c r="B51" s="54"/>
      <c r="C51" s="282"/>
      <c r="D51" s="282"/>
      <c r="E51" s="282"/>
      <c r="F51" s="282"/>
      <c r="G51" s="282"/>
      <c r="H51" s="282"/>
      <c r="I51" s="50"/>
      <c r="K51" s="10"/>
      <c r="S51" s="11"/>
    </row>
    <row r="52" spans="2:19">
      <c r="K52" s="10"/>
      <c r="S52" s="11"/>
    </row>
    <row r="53" spans="2:19">
      <c r="K53" s="10"/>
      <c r="S53" s="11"/>
    </row>
    <row r="54" spans="2:19">
      <c r="K54" s="10"/>
      <c r="S54" s="11"/>
    </row>
    <row r="55" spans="2:19">
      <c r="K55" s="10"/>
      <c r="S55" s="11"/>
    </row>
    <row r="56" spans="2:19">
      <c r="K56" s="10"/>
      <c r="S56" s="11"/>
    </row>
    <row r="57" spans="2:19">
      <c r="K57" s="10"/>
      <c r="S57" s="11"/>
    </row>
    <row r="58" spans="2:19">
      <c r="K58" s="10"/>
      <c r="S58" s="11"/>
    </row>
    <row r="59" spans="2:19">
      <c r="K59" s="10"/>
      <c r="S59" s="11"/>
    </row>
    <row r="60" spans="2:19">
      <c r="K60" s="10"/>
      <c r="S60" s="11"/>
    </row>
    <row r="61" spans="2:19">
      <c r="K61" s="35"/>
      <c r="L61" s="36"/>
      <c r="M61" s="36"/>
      <c r="N61" s="36"/>
      <c r="O61" s="36"/>
      <c r="P61" s="36"/>
      <c r="Q61" s="36"/>
      <c r="R61" s="36"/>
      <c r="S61" s="37"/>
    </row>
  </sheetData>
  <mergeCells count="5">
    <mergeCell ref="E4:I4"/>
    <mergeCell ref="B5:D5"/>
    <mergeCell ref="K5:S5"/>
    <mergeCell ref="K27:S27"/>
    <mergeCell ref="B34:I34"/>
  </mergeCells>
  <pageMargins left="0.70000000000000007" right="0.70000000000000007" top="0.75" bottom="0.75" header="0.30000000000000004" footer="0.30000000000000004"/>
  <pageSetup paperSize="0" fitToWidth="0" orientation="landscape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CEA9-4B86-4AD3-B0B9-4A99FD6B4ABE}">
  <sheetPr>
    <pageSetUpPr fitToPage="1"/>
  </sheetPr>
  <dimension ref="A1:H27"/>
  <sheetViews>
    <sheetView workbookViewId="0">
      <selection activeCell="G7" sqref="G7:H7"/>
    </sheetView>
  </sheetViews>
  <sheetFormatPr defaultRowHeight="15" customHeight="1"/>
  <cols>
    <col min="1" max="2" width="8.85546875" customWidth="1"/>
    <col min="3" max="3" width="25.140625" bestFit="1" customWidth="1"/>
    <col min="4" max="4" width="12.28515625" bestFit="1" customWidth="1"/>
    <col min="5" max="7" width="13.42578125" bestFit="1" customWidth="1"/>
    <col min="8" max="8" width="12.7109375" bestFit="1" customWidth="1"/>
  </cols>
  <sheetData>
    <row r="1" spans="1:8">
      <c r="A1" s="301" t="s">
        <v>32</v>
      </c>
      <c r="B1" s="301"/>
      <c r="C1" s="301"/>
    </row>
    <row r="2" spans="1:8">
      <c r="A2" s="301"/>
      <c r="B2" s="301"/>
      <c r="C2" s="301"/>
    </row>
    <row r="3" spans="1:8">
      <c r="D3" s="310"/>
      <c r="E3" s="310"/>
      <c r="F3" s="310"/>
      <c r="G3" s="310"/>
    </row>
    <row r="4" spans="1:8">
      <c r="C4" s="42" t="s">
        <v>33</v>
      </c>
      <c r="D4" s="74" t="s">
        <v>34</v>
      </c>
      <c r="E4" s="74" t="s">
        <v>34</v>
      </c>
      <c r="F4" s="74" t="s">
        <v>34</v>
      </c>
      <c r="G4" s="74" t="s">
        <v>34</v>
      </c>
      <c r="H4" s="56" t="s">
        <v>34</v>
      </c>
    </row>
    <row r="5" spans="1:8">
      <c r="C5" s="75" t="s">
        <v>35</v>
      </c>
      <c r="D5" s="76">
        <v>2021</v>
      </c>
      <c r="E5" s="76">
        <v>2022</v>
      </c>
      <c r="F5" s="76">
        <v>2023</v>
      </c>
      <c r="G5" s="76">
        <v>2024</v>
      </c>
      <c r="H5" s="58">
        <v>2025</v>
      </c>
    </row>
    <row r="7" spans="1:8">
      <c r="A7" s="302" t="s">
        <v>36</v>
      </c>
      <c r="C7" s="77" t="s">
        <v>9</v>
      </c>
      <c r="D7" s="62">
        <v>85912</v>
      </c>
      <c r="E7" s="62">
        <v>103940</v>
      </c>
      <c r="F7" s="62">
        <v>124014</v>
      </c>
      <c r="G7" s="62">
        <v>128933</v>
      </c>
      <c r="H7" s="62">
        <v>136592</v>
      </c>
    </row>
    <row r="8" spans="1:8">
      <c r="A8" s="302"/>
      <c r="C8" s="77" t="s">
        <v>37</v>
      </c>
      <c r="D8" s="62">
        <v>-55541</v>
      </c>
      <c r="E8" s="62">
        <v>-69629</v>
      </c>
      <c r="F8" s="62">
        <v>-85762</v>
      </c>
      <c r="G8" s="62">
        <v>-89032</v>
      </c>
      <c r="H8" s="62">
        <v>-94111</v>
      </c>
    </row>
    <row r="9" spans="1:8">
      <c r="A9" s="302"/>
      <c r="C9" s="77" t="s">
        <v>14</v>
      </c>
      <c r="D9" s="62">
        <v>-8235</v>
      </c>
      <c r="E9" s="62">
        <v>-8912</v>
      </c>
      <c r="F9" s="62">
        <v>-10311</v>
      </c>
      <c r="G9" s="62">
        <v>-11088</v>
      </c>
      <c r="H9" s="275">
        <v>-11601</v>
      </c>
    </row>
    <row r="10" spans="1:8">
      <c r="C10" s="79" t="s">
        <v>38</v>
      </c>
      <c r="D10" s="66">
        <f t="shared" ref="D10:H10" si="0">SUM(D7:D9)</f>
        <v>22136</v>
      </c>
      <c r="E10" s="66">
        <f t="shared" si="0"/>
        <v>25399</v>
      </c>
      <c r="F10" s="66">
        <f t="shared" si="0"/>
        <v>27941</v>
      </c>
      <c r="G10" s="66">
        <f t="shared" si="0"/>
        <v>28813</v>
      </c>
      <c r="H10" s="66">
        <f t="shared" si="0"/>
        <v>30880</v>
      </c>
    </row>
    <row r="11" spans="1:8">
      <c r="C11" s="77"/>
      <c r="D11" s="63"/>
      <c r="E11" s="63"/>
      <c r="F11" s="63"/>
      <c r="G11" s="63"/>
    </row>
    <row r="12" spans="1:8">
      <c r="A12" s="302" t="s">
        <v>39</v>
      </c>
      <c r="C12" s="77" t="s">
        <v>20</v>
      </c>
      <c r="D12" s="62">
        <v>2467</v>
      </c>
      <c r="E12" s="62">
        <v>3224</v>
      </c>
      <c r="F12" s="62">
        <v>3859</v>
      </c>
      <c r="G12" s="62">
        <v>7417</v>
      </c>
      <c r="H12" s="62">
        <v>4782</v>
      </c>
    </row>
    <row r="13" spans="1:8">
      <c r="A13" s="302"/>
      <c r="C13" s="77" t="s">
        <v>40</v>
      </c>
      <c r="D13" s="63">
        <v>0</v>
      </c>
      <c r="E13" s="63">
        <v>0</v>
      </c>
      <c r="F13" s="63">
        <v>0</v>
      </c>
      <c r="G13" s="63">
        <v>0</v>
      </c>
      <c r="H13" s="63">
        <v>0</v>
      </c>
    </row>
    <row r="14" spans="1:8">
      <c r="A14" s="302"/>
      <c r="C14" s="77" t="s">
        <v>23</v>
      </c>
      <c r="D14" s="62">
        <v>-126</v>
      </c>
      <c r="E14" s="62">
        <v>-128</v>
      </c>
      <c r="F14" s="62">
        <v>-157</v>
      </c>
      <c r="G14" s="62">
        <v>-277</v>
      </c>
      <c r="H14" s="62">
        <v>-221</v>
      </c>
    </row>
    <row r="15" spans="1:8">
      <c r="A15" s="302"/>
      <c r="C15" s="77" t="s">
        <v>28</v>
      </c>
      <c r="D15" s="62">
        <v>-6429</v>
      </c>
      <c r="E15" s="62">
        <v>-7260</v>
      </c>
      <c r="F15" s="62">
        <v>-8375</v>
      </c>
      <c r="G15" s="62">
        <v>-8719</v>
      </c>
      <c r="H15" s="62">
        <v>-9873</v>
      </c>
    </row>
    <row r="16" spans="1:8">
      <c r="C16" s="79" t="s">
        <v>41</v>
      </c>
      <c r="D16" s="66">
        <f t="shared" ref="D16:H16" si="1">SUM(D10,D12:D15)</f>
        <v>18048</v>
      </c>
      <c r="E16" s="66">
        <f t="shared" si="1"/>
        <v>21235</v>
      </c>
      <c r="F16" s="66">
        <f t="shared" si="1"/>
        <v>23268</v>
      </c>
      <c r="G16" s="66">
        <f t="shared" si="1"/>
        <v>27234</v>
      </c>
      <c r="H16" s="66">
        <f t="shared" si="1"/>
        <v>25568</v>
      </c>
    </row>
    <row r="17" spans="1:8">
      <c r="C17" s="77"/>
      <c r="D17" s="63"/>
      <c r="E17" s="63"/>
      <c r="F17" s="63"/>
      <c r="G17" s="63"/>
      <c r="H17" s="279"/>
    </row>
    <row r="18" spans="1:8">
      <c r="A18" s="302" t="s">
        <v>42</v>
      </c>
      <c r="C18" s="80" t="s">
        <v>43</v>
      </c>
      <c r="D18" s="81"/>
      <c r="E18" s="81"/>
      <c r="F18" s="81"/>
      <c r="G18" s="81"/>
    </row>
    <row r="19" spans="1:8">
      <c r="A19" s="302"/>
      <c r="C19" s="77" t="s">
        <v>44</v>
      </c>
      <c r="D19" s="63">
        <v>2321</v>
      </c>
      <c r="E19" s="63">
        <v>2429</v>
      </c>
      <c r="F19" s="63">
        <v>2753</v>
      </c>
      <c r="G19" s="63">
        <v>2944</v>
      </c>
      <c r="H19" s="63">
        <v>2618</v>
      </c>
    </row>
    <row r="20" spans="1:8">
      <c r="A20" s="302"/>
      <c r="C20" s="77" t="s">
        <v>45</v>
      </c>
      <c r="D20" s="63">
        <f t="shared" ref="D20:H20" si="2">SUM(D7:D8)</f>
        <v>30371</v>
      </c>
      <c r="E20" s="63">
        <f t="shared" si="2"/>
        <v>34311</v>
      </c>
      <c r="F20" s="63">
        <f t="shared" si="2"/>
        <v>38252</v>
      </c>
      <c r="G20" s="63">
        <f t="shared" si="2"/>
        <v>39901</v>
      </c>
      <c r="H20" s="63">
        <f t="shared" si="2"/>
        <v>42481</v>
      </c>
    </row>
    <row r="21" spans="1:8">
      <c r="A21" s="302"/>
      <c r="C21" s="77" t="s">
        <v>15</v>
      </c>
      <c r="D21" s="63">
        <f t="shared" ref="D21:H21" si="3">D10+D19</f>
        <v>24457</v>
      </c>
      <c r="E21" s="63">
        <f t="shared" si="3"/>
        <v>27828</v>
      </c>
      <c r="F21" s="63">
        <f t="shared" si="3"/>
        <v>30694</v>
      </c>
      <c r="G21" s="63">
        <f t="shared" si="3"/>
        <v>31757</v>
      </c>
      <c r="H21" s="63">
        <f t="shared" si="3"/>
        <v>33498</v>
      </c>
    </row>
    <row r="22" spans="1:8">
      <c r="A22" s="302"/>
      <c r="C22" s="77" t="s">
        <v>46</v>
      </c>
      <c r="D22" s="82">
        <f>D16/BALANCE_SHEET_!D44</f>
        <v>42.371777625783324</v>
      </c>
      <c r="E22" s="82">
        <f>E16/BALANCE_SHEET_!E44</f>
        <v>50.268212790039911</v>
      </c>
      <c r="F22" s="82">
        <f>F16/BALANCE_SHEET_!F44</f>
        <v>55.481718216955848</v>
      </c>
      <c r="G22" s="82">
        <f>G16/BALANCE_SHEET_!G44</f>
        <v>65.62251834582149</v>
      </c>
      <c r="H22" s="82">
        <f>H16/BALANCE_SHEET_!H44</f>
        <v>61.580897265585975</v>
      </c>
    </row>
    <row r="23" spans="1:8">
      <c r="A23" s="302"/>
      <c r="C23" s="77" t="s">
        <v>47</v>
      </c>
      <c r="D23" s="82">
        <f>D16/BALANCE_SHEET_!D45</f>
        <v>42.33546408089984</v>
      </c>
      <c r="E23" s="82">
        <f>E16/BALANCE_SHEET_!E45</f>
        <v>50.206330308814152</v>
      </c>
      <c r="F23" s="82">
        <f>F16/BALANCE_SHEET_!F45</f>
        <v>55.423299189609942</v>
      </c>
      <c r="G23" s="82">
        <f>G16/BALANCE_SHEET_!G45</f>
        <v>65.560989999008726</v>
      </c>
      <c r="H23" s="82">
        <f>H16/BALANCE_SHEET_!H45</f>
        <v>61.462935029440075</v>
      </c>
    </row>
    <row r="24" spans="1:8">
      <c r="A24" s="302"/>
      <c r="C24" s="77" t="s">
        <v>48</v>
      </c>
      <c r="D24" s="83">
        <v>0.26300000000000001</v>
      </c>
      <c r="E24" s="83">
        <v>0.255</v>
      </c>
      <c r="F24" s="83">
        <v>0.26500000000000001</v>
      </c>
      <c r="G24" s="83">
        <v>0.24299999999999999</v>
      </c>
      <c r="H24" s="83">
        <v>0.24299999999999999</v>
      </c>
    </row>
    <row r="26" spans="1:8">
      <c r="D26" s="68"/>
      <c r="E26" s="68"/>
      <c r="F26" s="68"/>
      <c r="G26" s="68"/>
    </row>
    <row r="27" spans="1:8">
      <c r="D27" s="68"/>
      <c r="E27" s="68"/>
      <c r="F27" s="68"/>
      <c r="G27" s="68"/>
    </row>
  </sheetData>
  <mergeCells count="5">
    <mergeCell ref="A1:C2"/>
    <mergeCell ref="D3:G3"/>
    <mergeCell ref="A7:A9"/>
    <mergeCell ref="A12:A15"/>
    <mergeCell ref="A18:A24"/>
  </mergeCells>
  <pageMargins left="0.70000000000000007" right="0.70000000000000007" top="0.75" bottom="0.75" header="0.30000000000000004" footer="0.30000000000000004"/>
  <pageSetup paperSize="0" fitToHeight="0" orientation="landscape" horizontalDpi="0" verticalDpi="0" copies="0"/>
  <ignoredErrors>
    <ignoredError sqref="D20:H2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FD6F-299E-475D-954E-B9B78049FCFD}">
  <sheetPr>
    <pageSetUpPr fitToPage="1"/>
  </sheetPr>
  <dimension ref="A1:H50"/>
  <sheetViews>
    <sheetView topLeftCell="A22" workbookViewId="0">
      <selection activeCell="E78" sqref="E78"/>
    </sheetView>
  </sheetViews>
  <sheetFormatPr defaultRowHeight="15" customHeight="1"/>
  <cols>
    <col min="1" max="2" width="8.85546875" customWidth="1"/>
    <col min="3" max="3" width="26.140625" bestFit="1" customWidth="1"/>
    <col min="4" max="5" width="11.5703125" bestFit="1" customWidth="1"/>
    <col min="6" max="7" width="12" bestFit="1" customWidth="1"/>
    <col min="8" max="8" width="11.28515625" bestFit="1" customWidth="1"/>
  </cols>
  <sheetData>
    <row r="1" spans="1:8" ht="14.45">
      <c r="A1" s="301" t="s">
        <v>49</v>
      </c>
      <c r="B1" s="301"/>
      <c r="C1" s="301"/>
    </row>
    <row r="2" spans="1:8" ht="14.45">
      <c r="A2" s="301"/>
      <c r="B2" s="301"/>
      <c r="C2" s="301"/>
    </row>
    <row r="3" spans="1:8" ht="14.45">
      <c r="A3" s="283"/>
      <c r="B3" s="283"/>
      <c r="C3" s="283"/>
    </row>
    <row r="4" spans="1:8" ht="14.45">
      <c r="C4" s="55" t="s">
        <v>33</v>
      </c>
      <c r="D4" s="56" t="s">
        <v>34</v>
      </c>
      <c r="E4" s="56" t="s">
        <v>34</v>
      </c>
      <c r="F4" s="56" t="s">
        <v>34</v>
      </c>
      <c r="G4" s="56" t="s">
        <v>34</v>
      </c>
      <c r="H4" s="56" t="s">
        <v>34</v>
      </c>
    </row>
    <row r="5" spans="1:8" ht="14.45">
      <c r="C5" s="57" t="s">
        <v>35</v>
      </c>
      <c r="D5" s="58">
        <v>2021</v>
      </c>
      <c r="E5" s="58">
        <v>2022</v>
      </c>
      <c r="F5" s="58">
        <v>2023</v>
      </c>
      <c r="G5" s="58">
        <v>2024</v>
      </c>
      <c r="H5" s="58">
        <v>2025</v>
      </c>
    </row>
    <row r="6" spans="1:8" ht="14.45">
      <c r="C6" s="53"/>
      <c r="D6" s="283"/>
      <c r="E6" s="283"/>
      <c r="F6" s="283"/>
      <c r="G6" s="283"/>
    </row>
    <row r="7" spans="1:8" ht="14.45">
      <c r="A7" s="302" t="s">
        <v>50</v>
      </c>
      <c r="C7" s="59" t="s">
        <v>51</v>
      </c>
      <c r="D7" s="60"/>
      <c r="E7" s="60"/>
      <c r="F7" s="60"/>
      <c r="G7" s="60"/>
    </row>
    <row r="8" spans="1:8" ht="14.45">
      <c r="A8" s="302"/>
      <c r="C8" t="s">
        <v>52</v>
      </c>
      <c r="D8" s="62">
        <v>17612</v>
      </c>
      <c r="E8" s="62">
        <v>12270</v>
      </c>
      <c r="F8" s="62">
        <v>6534</v>
      </c>
      <c r="G8" s="62">
        <v>8191</v>
      </c>
      <c r="H8" s="274">
        <v>14265</v>
      </c>
    </row>
    <row r="9" spans="1:8" ht="14.45">
      <c r="A9" s="302"/>
      <c r="C9" t="s">
        <v>53</v>
      </c>
      <c r="D9" s="62">
        <v>16394</v>
      </c>
      <c r="E9" s="62">
        <v>18966</v>
      </c>
      <c r="F9" s="63">
        <v>20773</v>
      </c>
      <c r="G9" s="63">
        <v>25152</v>
      </c>
      <c r="H9" s="275">
        <v>26413</v>
      </c>
    </row>
    <row r="10" spans="1:8" ht="14.45">
      <c r="A10" s="302"/>
      <c r="C10" t="s">
        <v>54</v>
      </c>
      <c r="D10" s="63">
        <v>2037</v>
      </c>
      <c r="E10" s="63">
        <v>5467</v>
      </c>
      <c r="F10" s="62">
        <v>4476</v>
      </c>
      <c r="G10" s="62">
        <v>11307</v>
      </c>
      <c r="H10" s="275">
        <v>11147</v>
      </c>
    </row>
    <row r="11" spans="1:8" ht="14.45">
      <c r="A11" s="302"/>
      <c r="C11" t="s">
        <v>55</v>
      </c>
      <c r="D11" s="63">
        <v>5455</v>
      </c>
      <c r="E11" s="63">
        <v>6799</v>
      </c>
      <c r="F11" s="63">
        <v>9379</v>
      </c>
      <c r="G11" s="63">
        <v>10337</v>
      </c>
      <c r="H11" s="276">
        <v>12776</v>
      </c>
    </row>
    <row r="12" spans="1:8" ht="14.45">
      <c r="A12" s="302"/>
      <c r="C12" t="s">
        <v>56</v>
      </c>
      <c r="D12" s="63">
        <v>6784</v>
      </c>
      <c r="E12" s="63">
        <v>8935</v>
      </c>
      <c r="F12" s="63">
        <v>10920</v>
      </c>
      <c r="G12" s="63">
        <v>15965</v>
      </c>
      <c r="H12" s="276">
        <v>12567</v>
      </c>
    </row>
    <row r="13" spans="1:8" ht="14.45">
      <c r="A13" s="302"/>
      <c r="C13" s="53" t="s">
        <v>57</v>
      </c>
      <c r="D13" s="64">
        <f t="shared" ref="D13:H13" si="0">SUM(D8:D12)</f>
        <v>48282</v>
      </c>
      <c r="E13" s="64">
        <f t="shared" si="0"/>
        <v>52437</v>
      </c>
      <c r="F13" s="64">
        <f t="shared" si="0"/>
        <v>52082</v>
      </c>
      <c r="G13" s="64">
        <f t="shared" si="0"/>
        <v>70952</v>
      </c>
      <c r="H13" s="277">
        <f t="shared" si="0"/>
        <v>77168</v>
      </c>
    </row>
    <row r="14" spans="1:8" ht="14.45">
      <c r="A14" s="302"/>
      <c r="D14" s="63"/>
      <c r="E14" s="63"/>
      <c r="F14" s="63"/>
      <c r="G14" s="63"/>
    </row>
    <row r="15" spans="1:8" ht="14.45">
      <c r="A15" s="302"/>
      <c r="C15" t="s">
        <v>58</v>
      </c>
      <c r="D15" s="63">
        <v>15505</v>
      </c>
      <c r="E15" s="63">
        <v>15349</v>
      </c>
      <c r="F15" s="63">
        <v>15706</v>
      </c>
      <c r="G15" s="63">
        <v>14604</v>
      </c>
      <c r="H15" s="63">
        <v>14137</v>
      </c>
    </row>
    <row r="16" spans="1:8" ht="14.45">
      <c r="A16" s="302"/>
      <c r="C16" t="s">
        <v>59</v>
      </c>
      <c r="D16" s="63">
        <v>22118</v>
      </c>
      <c r="E16" s="63">
        <v>22869</v>
      </c>
      <c r="F16" s="63">
        <v>23686</v>
      </c>
      <c r="G16" s="63">
        <v>23352</v>
      </c>
      <c r="H16" s="63">
        <v>27371</v>
      </c>
    </row>
    <row r="17" spans="1:8" ht="14.45">
      <c r="A17" s="302"/>
      <c r="C17" t="s">
        <v>55</v>
      </c>
      <c r="D17" s="63">
        <v>643</v>
      </c>
      <c r="E17" s="63">
        <v>761</v>
      </c>
      <c r="F17" s="63">
        <v>1380</v>
      </c>
      <c r="G17" s="63">
        <v>1790</v>
      </c>
      <c r="H17" s="63">
        <v>2376</v>
      </c>
    </row>
    <row r="18" spans="1:8" ht="14.45">
      <c r="A18" s="302"/>
      <c r="C18" t="s">
        <v>60</v>
      </c>
      <c r="D18" s="63">
        <v>7391</v>
      </c>
      <c r="E18" s="63">
        <v>7971</v>
      </c>
      <c r="F18" s="63">
        <v>8483</v>
      </c>
      <c r="G18" s="63">
        <v>4252</v>
      </c>
      <c r="H18" s="63">
        <v>3884</v>
      </c>
    </row>
    <row r="19" spans="1:8" ht="14.45">
      <c r="A19" s="302"/>
      <c r="C19" s="53" t="s">
        <v>61</v>
      </c>
      <c r="D19" s="64">
        <f t="shared" ref="D19:H19" si="1">SUM(D15:D18)</f>
        <v>45657</v>
      </c>
      <c r="E19" s="64">
        <f t="shared" si="1"/>
        <v>46950</v>
      </c>
      <c r="F19" s="64">
        <f t="shared" si="1"/>
        <v>49255</v>
      </c>
      <c r="G19" s="64">
        <f t="shared" si="1"/>
        <v>43998</v>
      </c>
      <c r="H19" s="64">
        <f t="shared" si="1"/>
        <v>47768</v>
      </c>
    </row>
    <row r="20" spans="1:8" ht="14.45">
      <c r="A20" s="302"/>
      <c r="D20" s="63"/>
      <c r="E20" s="63"/>
      <c r="F20" s="63"/>
      <c r="G20" s="63"/>
    </row>
    <row r="21" spans="1:8" thickBot="1">
      <c r="A21" s="302"/>
      <c r="C21" s="65" t="s">
        <v>62</v>
      </c>
      <c r="D21" s="66">
        <f t="shared" ref="D21:H21" si="2">SUM(D13,D19)</f>
        <v>93939</v>
      </c>
      <c r="E21" s="66">
        <f t="shared" si="2"/>
        <v>99387</v>
      </c>
      <c r="F21" s="66">
        <f t="shared" si="2"/>
        <v>101337</v>
      </c>
      <c r="G21" s="66">
        <f t="shared" si="2"/>
        <v>114950</v>
      </c>
      <c r="H21" s="66">
        <f t="shared" si="2"/>
        <v>124936</v>
      </c>
    </row>
    <row r="22" spans="1:8" ht="14.45">
      <c r="D22" s="63"/>
      <c r="E22" s="63"/>
      <c r="F22" s="63"/>
      <c r="G22" s="63"/>
    </row>
    <row r="23" spans="1:8" ht="14.45">
      <c r="A23" s="302" t="s">
        <v>63</v>
      </c>
      <c r="C23" s="59" t="s">
        <v>64</v>
      </c>
      <c r="D23" s="63"/>
      <c r="E23" s="63"/>
      <c r="F23" s="63"/>
      <c r="G23" s="63"/>
      <c r="H23" s="275"/>
    </row>
    <row r="24" spans="1:8" ht="14.45">
      <c r="A24" s="302"/>
      <c r="C24" t="s">
        <v>65</v>
      </c>
      <c r="D24" s="63">
        <v>1562</v>
      </c>
      <c r="E24" s="63">
        <v>2669</v>
      </c>
      <c r="F24" s="63">
        <v>2426</v>
      </c>
      <c r="G24" s="63">
        <v>2493</v>
      </c>
      <c r="H24" s="275">
        <v>2728</v>
      </c>
    </row>
    <row r="25" spans="1:8" ht="14.45">
      <c r="A25" s="302"/>
      <c r="C25" t="s">
        <v>66</v>
      </c>
      <c r="D25" s="63">
        <v>8846</v>
      </c>
      <c r="E25" s="63">
        <v>11827</v>
      </c>
      <c r="F25" s="63">
        <v>13410</v>
      </c>
      <c r="G25" s="63">
        <v>12486</v>
      </c>
      <c r="H25" s="275">
        <v>14866</v>
      </c>
    </row>
    <row r="26" spans="1:8" ht="14.45">
      <c r="A26" s="302"/>
      <c r="C26" t="s">
        <v>67</v>
      </c>
      <c r="D26" s="63">
        <v>7214</v>
      </c>
      <c r="E26" s="63">
        <v>10480</v>
      </c>
      <c r="F26" s="63">
        <v>11606</v>
      </c>
      <c r="G26" s="63">
        <v>12107</v>
      </c>
      <c r="H26" s="275">
        <v>14168</v>
      </c>
    </row>
    <row r="27" spans="1:8" ht="14.45">
      <c r="A27" s="302"/>
      <c r="C27" s="53" t="s">
        <v>68</v>
      </c>
      <c r="D27" s="64">
        <f t="shared" ref="D27:H27" si="3">SUM(D24:D26)</f>
        <v>17622</v>
      </c>
      <c r="E27" s="64">
        <f t="shared" si="3"/>
        <v>24976</v>
      </c>
      <c r="F27" s="64">
        <f t="shared" si="3"/>
        <v>27442</v>
      </c>
      <c r="G27" s="64">
        <f t="shared" si="3"/>
        <v>27086</v>
      </c>
      <c r="H27" s="277">
        <f t="shared" si="3"/>
        <v>31762</v>
      </c>
    </row>
    <row r="28" spans="1:8" ht="14.45">
      <c r="A28" s="302"/>
      <c r="D28" s="63"/>
      <c r="E28" s="63"/>
      <c r="F28" s="63"/>
      <c r="G28" s="63"/>
      <c r="H28" s="275"/>
    </row>
    <row r="29" spans="1:8" ht="14.45">
      <c r="A29" s="302"/>
      <c r="C29" t="s">
        <v>69</v>
      </c>
      <c r="D29" s="63">
        <v>3626</v>
      </c>
      <c r="E29" s="63">
        <v>3904</v>
      </c>
      <c r="F29" s="63">
        <v>4870</v>
      </c>
      <c r="G29" s="63">
        <v>5029</v>
      </c>
      <c r="H29" s="275">
        <v>4685</v>
      </c>
    </row>
    <row r="30" spans="1:8" ht="14.45">
      <c r="A30" s="302"/>
      <c r="C30" t="s">
        <v>70</v>
      </c>
      <c r="D30" s="63">
        <v>1160</v>
      </c>
      <c r="E30" s="63">
        <v>1201</v>
      </c>
      <c r="F30" s="63">
        <v>1280</v>
      </c>
      <c r="G30" s="63">
        <v>1659</v>
      </c>
      <c r="H30" s="275">
        <v>1157</v>
      </c>
    </row>
    <row r="31" spans="1:8" ht="14.45">
      <c r="A31" s="302"/>
      <c r="C31" s="53" t="s">
        <v>71</v>
      </c>
      <c r="D31" s="64">
        <f t="shared" ref="D31:H31" si="4">SUM(D29:D30)</f>
        <v>4786</v>
      </c>
      <c r="E31" s="64">
        <f t="shared" si="4"/>
        <v>5105</v>
      </c>
      <c r="F31" s="64">
        <f t="shared" si="4"/>
        <v>6150</v>
      </c>
      <c r="G31" s="64">
        <f t="shared" si="4"/>
        <v>6688</v>
      </c>
      <c r="H31" s="64">
        <f t="shared" si="4"/>
        <v>5842</v>
      </c>
    </row>
    <row r="32" spans="1:8" ht="14.45">
      <c r="A32" s="302"/>
      <c r="D32" s="63"/>
      <c r="E32" s="63"/>
      <c r="F32" s="63"/>
      <c r="G32" s="63"/>
    </row>
    <row r="33" spans="1:8" ht="14.45">
      <c r="A33" s="302"/>
      <c r="C33" s="53" t="s">
        <v>72</v>
      </c>
      <c r="D33" s="64">
        <f t="shared" ref="D33:H33" si="5">D27+D31</f>
        <v>22408</v>
      </c>
      <c r="E33" s="64">
        <f t="shared" si="5"/>
        <v>30081</v>
      </c>
      <c r="F33" s="64">
        <f t="shared" si="5"/>
        <v>33592</v>
      </c>
      <c r="G33" s="64">
        <f t="shared" si="5"/>
        <v>33774</v>
      </c>
      <c r="H33" s="64">
        <f t="shared" si="5"/>
        <v>37604</v>
      </c>
    </row>
    <row r="34" spans="1:8" ht="14.45">
      <c r="D34" s="63"/>
      <c r="E34" s="63"/>
      <c r="F34" s="63"/>
      <c r="G34" s="63"/>
    </row>
    <row r="35" spans="1:8" ht="14.45">
      <c r="A35" s="302" t="s">
        <v>73</v>
      </c>
      <c r="C35" t="s">
        <v>74</v>
      </c>
      <c r="D35" s="62">
        <v>2130</v>
      </c>
      <c r="E35" s="62">
        <v>2103</v>
      </c>
      <c r="F35" s="62">
        <v>2074</v>
      </c>
      <c r="G35" s="62">
        <v>2075</v>
      </c>
      <c r="H35" s="62">
        <v>2076</v>
      </c>
    </row>
    <row r="36" spans="1:8" ht="14.45">
      <c r="A36" s="302"/>
      <c r="C36" t="s">
        <v>75</v>
      </c>
      <c r="D36" s="62">
        <v>69401</v>
      </c>
      <c r="E36" s="62">
        <v>67203</v>
      </c>
      <c r="F36" s="62">
        <v>65671</v>
      </c>
      <c r="G36" s="62">
        <v>79101</v>
      </c>
      <c r="H36" s="62">
        <v>85256</v>
      </c>
    </row>
    <row r="37" spans="1:8" ht="14.45">
      <c r="A37" s="302"/>
      <c r="C37" s="53" t="s">
        <v>76</v>
      </c>
      <c r="D37" s="67">
        <f t="shared" ref="D37:H37" si="6">SUM(D35:D36)</f>
        <v>71531</v>
      </c>
      <c r="E37" s="67">
        <f t="shared" si="6"/>
        <v>69306</v>
      </c>
      <c r="F37" s="67">
        <f t="shared" si="6"/>
        <v>67745</v>
      </c>
      <c r="G37" s="67">
        <f t="shared" si="6"/>
        <v>81176</v>
      </c>
      <c r="H37" s="67">
        <f t="shared" si="6"/>
        <v>87332</v>
      </c>
    </row>
    <row r="38" spans="1:8" ht="14.45">
      <c r="D38" s="63"/>
      <c r="E38" s="63"/>
      <c r="F38" s="63"/>
      <c r="G38" s="63"/>
    </row>
    <row r="39" spans="1:8" thickBot="1">
      <c r="C39" s="65" t="s">
        <v>77</v>
      </c>
      <c r="D39" s="66">
        <f t="shared" ref="D39:H39" si="7">D33+D37</f>
        <v>93939</v>
      </c>
      <c r="E39" s="66">
        <f t="shared" si="7"/>
        <v>99387</v>
      </c>
      <c r="F39" s="66">
        <f t="shared" si="7"/>
        <v>101337</v>
      </c>
      <c r="G39" s="66">
        <f t="shared" si="7"/>
        <v>114950</v>
      </c>
      <c r="H39" s="66">
        <f t="shared" si="7"/>
        <v>124936</v>
      </c>
    </row>
    <row r="40" spans="1:8" ht="14.45">
      <c r="D40" s="68"/>
      <c r="E40" s="68"/>
      <c r="F40" s="68"/>
      <c r="G40" s="68"/>
    </row>
    <row r="41" spans="1:8" ht="14.45">
      <c r="C41" s="53" t="s">
        <v>78</v>
      </c>
      <c r="D41" s="69" t="str">
        <f t="shared" ref="D41:H41" si="8">IF(D21=D39,"BALANCED","")</f>
        <v>BALANCED</v>
      </c>
      <c r="E41" s="69" t="str">
        <f t="shared" si="8"/>
        <v>BALANCED</v>
      </c>
      <c r="F41" s="69" t="str">
        <f t="shared" si="8"/>
        <v>BALANCED</v>
      </c>
      <c r="G41" s="69" t="str">
        <f t="shared" si="8"/>
        <v>BALANCED</v>
      </c>
      <c r="H41" s="69" t="str">
        <f t="shared" si="8"/>
        <v>BALANCED</v>
      </c>
    </row>
    <row r="42" spans="1:8" ht="14.45">
      <c r="D42" s="68"/>
      <c r="E42" s="68"/>
      <c r="F42" s="68"/>
      <c r="G42" s="68"/>
      <c r="H42" s="278"/>
    </row>
    <row r="43" spans="1:8" ht="14.45">
      <c r="A43" s="302" t="s">
        <v>42</v>
      </c>
      <c r="C43" s="70" t="s">
        <v>79</v>
      </c>
      <c r="D43" s="71"/>
      <c r="E43" s="71"/>
      <c r="F43" s="71"/>
      <c r="G43" s="71"/>
    </row>
    <row r="44" spans="1:8" ht="14.45">
      <c r="A44" s="302"/>
      <c r="C44" t="s">
        <v>80</v>
      </c>
      <c r="D44" s="72">
        <v>425.943895</v>
      </c>
      <c r="E44" s="72">
        <v>422.43395620000001</v>
      </c>
      <c r="F44" s="72">
        <v>419.38138809999998</v>
      </c>
      <c r="G44" s="72">
        <v>415.00997960000001</v>
      </c>
      <c r="H44" s="72">
        <v>415.1936905</v>
      </c>
    </row>
    <row r="45" spans="1:8" ht="14.45">
      <c r="A45" s="302"/>
      <c r="C45" t="s">
        <v>81</v>
      </c>
      <c r="D45" s="72">
        <v>426.30925139999999</v>
      </c>
      <c r="E45" s="72">
        <v>422.95463280000001</v>
      </c>
      <c r="F45" s="72">
        <v>419.82343780000002</v>
      </c>
      <c r="G45" s="72">
        <v>415.3994624</v>
      </c>
      <c r="H45" s="72">
        <v>415.99054760000001</v>
      </c>
    </row>
    <row r="46" spans="1:8" ht="14.45">
      <c r="A46" s="302"/>
      <c r="C46" t="s">
        <v>82</v>
      </c>
      <c r="D46" s="72">
        <v>1253</v>
      </c>
      <c r="E46" s="72">
        <v>1791</v>
      </c>
      <c r="F46" s="72">
        <v>1525</v>
      </c>
      <c r="G46" s="72">
        <v>1588</v>
      </c>
      <c r="H46" s="72">
        <v>1600</v>
      </c>
    </row>
    <row r="47" spans="1:8" ht="14.45">
      <c r="A47" s="302"/>
      <c r="C47" t="s">
        <v>83</v>
      </c>
      <c r="D47" s="72">
        <v>5</v>
      </c>
      <c r="E47" s="72">
        <v>5</v>
      </c>
      <c r="F47" s="72">
        <v>5</v>
      </c>
      <c r="G47" s="72">
        <v>5</v>
      </c>
      <c r="H47" s="72">
        <v>5</v>
      </c>
    </row>
    <row r="48" spans="1:8" ht="14.45">
      <c r="A48" s="302"/>
      <c r="C48" t="s">
        <v>84</v>
      </c>
      <c r="D48" s="72">
        <f t="shared" ref="D48:H48" si="9">(D21-D33)/D44</f>
        <v>167.9352629294053</v>
      </c>
      <c r="E48" s="72">
        <f t="shared" si="9"/>
        <v>164.06351568761508</v>
      </c>
      <c r="F48" s="72">
        <f t="shared" si="9"/>
        <v>161.53554240191139</v>
      </c>
      <c r="G48" s="72">
        <f t="shared" si="9"/>
        <v>195.6001156363518</v>
      </c>
      <c r="H48" s="72">
        <f t="shared" si="9"/>
        <v>210.34038329154234</v>
      </c>
    </row>
    <row r="49" spans="1:8" ht="14.45">
      <c r="A49" s="302"/>
      <c r="C49" t="s">
        <v>85</v>
      </c>
      <c r="D49" s="72">
        <v>21.5</v>
      </c>
      <c r="E49" s="72">
        <v>30</v>
      </c>
      <c r="F49" s="72">
        <v>32.5</v>
      </c>
      <c r="G49" s="72">
        <v>35.5</v>
      </c>
      <c r="H49" s="72">
        <v>48</v>
      </c>
    </row>
    <row r="50" spans="1:8" ht="14.45">
      <c r="A50" s="302"/>
      <c r="C50" t="s">
        <v>86</v>
      </c>
      <c r="D50" s="73">
        <f>(D44*D49)/INCOME_STATEMENT!D16</f>
        <v>0.50741321711546983</v>
      </c>
      <c r="E50" s="73">
        <f>(E44*E49)/INCOME_STATEMENT!E16</f>
        <v>0.5967986195432069</v>
      </c>
      <c r="F50" s="73">
        <f>(F44*F49)/INCOME_STATEMENT!F16</f>
        <v>0.58577854191378709</v>
      </c>
      <c r="G50" s="73">
        <f>(G44*G49)/INCOME_STATEMENT!G16</f>
        <v>0.54097283820959097</v>
      </c>
      <c r="H50" s="73">
        <f>(H44*H49)/INCOME_STATEMENT!H16</f>
        <v>0.77946249780976218</v>
      </c>
    </row>
  </sheetData>
  <mergeCells count="5">
    <mergeCell ref="A1:C2"/>
    <mergeCell ref="A7:A21"/>
    <mergeCell ref="A23:A33"/>
    <mergeCell ref="A35:A37"/>
    <mergeCell ref="A43:A50"/>
  </mergeCells>
  <pageMargins left="0.70000000000000007" right="0.70000000000000007" top="0.75" bottom="0.75" header="0.30000000000000004" footer="0.30000000000000004"/>
  <pageSetup paperSize="0" fitToWidth="0" orientation="landscape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2FFF-9F43-45C9-90CD-A52147A79A68}">
  <sheetPr>
    <pageSetUpPr fitToPage="1"/>
  </sheetPr>
  <dimension ref="A1:H40"/>
  <sheetViews>
    <sheetView topLeftCell="B1" workbookViewId="0">
      <selection activeCell="D1" sqref="D1:D1048576"/>
    </sheetView>
  </sheetViews>
  <sheetFormatPr defaultRowHeight="15" customHeight="1"/>
  <cols>
    <col min="1" max="2" width="8.85546875" customWidth="1"/>
    <col min="3" max="3" width="36.5703125" bestFit="1" customWidth="1"/>
    <col min="4" max="5" width="11.5703125" bestFit="1" customWidth="1"/>
    <col min="6" max="6" width="11" bestFit="1" customWidth="1"/>
    <col min="7" max="7" width="11.140625" bestFit="1" customWidth="1"/>
    <col min="8" max="8" width="13.28515625" bestFit="1" customWidth="1"/>
  </cols>
  <sheetData>
    <row r="1" spans="1:8" ht="14.45">
      <c r="A1" s="301" t="s">
        <v>87</v>
      </c>
      <c r="B1" s="301"/>
      <c r="C1" s="301"/>
    </row>
    <row r="2" spans="1:8" ht="14.45">
      <c r="A2" s="301"/>
      <c r="B2" s="301"/>
      <c r="C2" s="301"/>
    </row>
    <row r="4" spans="1:8" ht="14.45">
      <c r="C4" s="42" t="s">
        <v>33</v>
      </c>
      <c r="D4" s="74" t="s">
        <v>34</v>
      </c>
      <c r="E4" s="74" t="s">
        <v>34</v>
      </c>
      <c r="F4" s="74" t="s">
        <v>34</v>
      </c>
      <c r="G4" s="74" t="s">
        <v>34</v>
      </c>
      <c r="H4" s="56" t="s">
        <v>34</v>
      </c>
    </row>
    <row r="5" spans="1:8" ht="14.45">
      <c r="C5" s="75" t="s">
        <v>35</v>
      </c>
      <c r="D5" s="76">
        <v>2021</v>
      </c>
      <c r="E5" s="76">
        <v>2022</v>
      </c>
      <c r="F5" s="76">
        <v>2023</v>
      </c>
      <c r="G5" s="76">
        <v>2024</v>
      </c>
      <c r="H5" s="58">
        <v>2025</v>
      </c>
    </row>
    <row r="7" spans="1:8" ht="14.45">
      <c r="A7" s="302" t="s">
        <v>88</v>
      </c>
      <c r="C7" s="59" t="s">
        <v>89</v>
      </c>
    </row>
    <row r="8" spans="1:8" ht="14.45">
      <c r="A8" s="302"/>
      <c r="C8" t="s">
        <v>41</v>
      </c>
      <c r="D8" s="63">
        <f>INCOME_STATEMENT!D16</f>
        <v>18048</v>
      </c>
      <c r="E8" s="63">
        <f>INCOME_STATEMENT!E16</f>
        <v>21235</v>
      </c>
      <c r="F8" s="63">
        <f>INCOME_STATEMENT!F16</f>
        <v>23268</v>
      </c>
      <c r="G8" s="63">
        <f>INCOME_STATEMENT!G16</f>
        <v>27234</v>
      </c>
      <c r="H8" s="276">
        <f>INCOME_STATEMENT!H16</f>
        <v>25568</v>
      </c>
    </row>
    <row r="9" spans="1:8" ht="14.45">
      <c r="A9" s="302"/>
      <c r="C9" t="s">
        <v>90</v>
      </c>
      <c r="D9" s="62">
        <v>2724</v>
      </c>
      <c r="E9" s="62">
        <v>2633</v>
      </c>
      <c r="F9" s="62">
        <v>2941</v>
      </c>
      <c r="G9" s="62">
        <v>3214</v>
      </c>
      <c r="H9" s="275">
        <v>3380</v>
      </c>
    </row>
    <row r="10" spans="1:8" ht="14.45">
      <c r="A10" s="302"/>
      <c r="C10" t="s">
        <v>91</v>
      </c>
      <c r="D10" s="62">
        <v>6429</v>
      </c>
      <c r="E10" s="62">
        <v>7260</v>
      </c>
      <c r="F10" s="62">
        <v>8375</v>
      </c>
      <c r="G10" s="62">
        <v>8719</v>
      </c>
      <c r="H10" s="274">
        <v>9873</v>
      </c>
    </row>
    <row r="11" spans="1:8" ht="14.45">
      <c r="A11" s="302"/>
      <c r="C11" t="s">
        <v>92</v>
      </c>
      <c r="D11" s="62">
        <v>126</v>
      </c>
      <c r="E11" s="62">
        <v>128</v>
      </c>
      <c r="F11" s="62">
        <v>157</v>
      </c>
      <c r="G11" s="62">
        <v>277</v>
      </c>
      <c r="H11" s="274">
        <v>221</v>
      </c>
    </row>
    <row r="12" spans="1:8" ht="14.45">
      <c r="A12" s="302"/>
      <c r="C12" t="s">
        <v>93</v>
      </c>
      <c r="D12" s="63">
        <v>-1795</v>
      </c>
      <c r="E12" s="63">
        <v>-2617</v>
      </c>
      <c r="F12" s="63">
        <v>-3028</v>
      </c>
      <c r="G12" s="63">
        <v>-4670</v>
      </c>
      <c r="H12" s="276">
        <v>-3699</v>
      </c>
    </row>
    <row r="13" spans="1:8" ht="14.45">
      <c r="A13" s="302"/>
      <c r="C13" t="s">
        <v>94</v>
      </c>
      <c r="D13" s="62">
        <v>250</v>
      </c>
      <c r="E13" s="62">
        <v>444</v>
      </c>
      <c r="F13" s="62">
        <v>494</v>
      </c>
      <c r="G13" s="62">
        <v>-1124</v>
      </c>
      <c r="H13" s="275">
        <v>-162</v>
      </c>
    </row>
    <row r="14" spans="1:8" ht="14.45">
      <c r="A14" s="302"/>
      <c r="C14" t="s">
        <v>95</v>
      </c>
      <c r="D14" s="62">
        <v>181</v>
      </c>
      <c r="E14" s="62">
        <v>-251</v>
      </c>
      <c r="F14" s="63">
        <v>-5231</v>
      </c>
      <c r="G14" s="63">
        <v>-4628</v>
      </c>
      <c r="H14" s="275">
        <v>-1171</v>
      </c>
    </row>
    <row r="15" spans="1:8" ht="14.45">
      <c r="A15" s="302"/>
      <c r="C15" t="s">
        <v>96</v>
      </c>
      <c r="D15" s="63">
        <v>-6061</v>
      </c>
      <c r="E15" s="63">
        <v>-6736</v>
      </c>
      <c r="F15" s="63">
        <v>-7807</v>
      </c>
      <c r="G15" s="63">
        <v>-8235</v>
      </c>
      <c r="H15" s="276">
        <v>-4601</v>
      </c>
    </row>
    <row r="16" spans="1:8" thickBot="1">
      <c r="A16" s="302"/>
      <c r="C16" s="65" t="s">
        <v>97</v>
      </c>
      <c r="D16" s="66">
        <f t="shared" ref="D16:H16" si="0">SUM(D8:D15)</f>
        <v>19902</v>
      </c>
      <c r="E16" s="66">
        <f t="shared" si="0"/>
        <v>22096</v>
      </c>
      <c r="F16" s="66">
        <f t="shared" si="0"/>
        <v>19169</v>
      </c>
      <c r="G16" s="66">
        <f t="shared" si="0"/>
        <v>20787</v>
      </c>
      <c r="H16" s="280">
        <f t="shared" si="0"/>
        <v>29409</v>
      </c>
    </row>
    <row r="17" spans="1:8" ht="14.45">
      <c r="D17" s="63"/>
      <c r="E17" s="63"/>
      <c r="F17" s="63"/>
      <c r="G17" s="63"/>
      <c r="H17" s="275"/>
    </row>
    <row r="18" spans="1:8" ht="14.45">
      <c r="A18" s="302" t="s">
        <v>98</v>
      </c>
      <c r="C18" s="59" t="s">
        <v>99</v>
      </c>
      <c r="D18" s="63"/>
      <c r="E18" s="63"/>
      <c r="F18" s="63"/>
      <c r="G18" s="63"/>
      <c r="H18" s="275"/>
    </row>
    <row r="19" spans="1:8" ht="14.45">
      <c r="A19" s="302"/>
      <c r="C19" t="s">
        <v>100</v>
      </c>
      <c r="D19" s="63">
        <v>-1720</v>
      </c>
      <c r="E19" s="63">
        <v>-1787</v>
      </c>
      <c r="F19" s="63">
        <v>-2130</v>
      </c>
      <c r="G19" s="63">
        <v>-1832</v>
      </c>
      <c r="H19" s="276">
        <v>-1587</v>
      </c>
    </row>
    <row r="20" spans="1:8" ht="14.45">
      <c r="A20" s="302"/>
      <c r="C20" s="84" t="s">
        <v>101</v>
      </c>
      <c r="D20" s="63">
        <v>-336</v>
      </c>
      <c r="E20" s="63">
        <v>-672</v>
      </c>
      <c r="F20" s="63">
        <v>-668</v>
      </c>
      <c r="G20" s="63">
        <v>-684</v>
      </c>
      <c r="H20" s="276">
        <v>-1036</v>
      </c>
    </row>
    <row r="21" spans="1:8" ht="14.45">
      <c r="A21" s="302"/>
      <c r="C21" s="84" t="s">
        <v>102</v>
      </c>
      <c r="D21" s="63">
        <v>-44419</v>
      </c>
      <c r="E21" s="63">
        <v>-57079</v>
      </c>
      <c r="F21" s="63">
        <v>-77664</v>
      </c>
      <c r="G21" s="63">
        <v>-75613</v>
      </c>
      <c r="H21" s="276">
        <v>-86643</v>
      </c>
    </row>
    <row r="22" spans="1:8" ht="14.45">
      <c r="A22" s="302"/>
      <c r="C22" s="85" t="s">
        <v>103</v>
      </c>
      <c r="D22" s="62">
        <v>38645</v>
      </c>
      <c r="E22" s="62">
        <v>53574</v>
      </c>
      <c r="F22" s="63">
        <v>78441</v>
      </c>
      <c r="G22" s="63">
        <v>70213</v>
      </c>
      <c r="H22" s="274">
        <v>84127</v>
      </c>
    </row>
    <row r="23" spans="1:8" ht="14.45">
      <c r="A23" s="302"/>
      <c r="C23" s="85" t="s">
        <v>104</v>
      </c>
      <c r="D23" s="62">
        <v>1661</v>
      </c>
      <c r="E23" s="62">
        <v>2876</v>
      </c>
      <c r="F23" s="62">
        <v>2762</v>
      </c>
      <c r="G23" s="62">
        <v>4417</v>
      </c>
      <c r="H23" s="275">
        <v>3194</v>
      </c>
    </row>
    <row r="24" spans="1:8" ht="14.45">
      <c r="A24" s="302"/>
      <c r="C24" s="85" t="s">
        <v>105</v>
      </c>
      <c r="D24" s="63">
        <v>-140</v>
      </c>
      <c r="E24" s="63">
        <v>-62</v>
      </c>
      <c r="F24" s="62">
        <v>80</v>
      </c>
      <c r="G24" s="62">
        <v>238</v>
      </c>
      <c r="H24" s="276">
        <v>2</v>
      </c>
    </row>
    <row r="25" spans="1:8" thickBot="1">
      <c r="A25" s="302"/>
      <c r="C25" s="65" t="s">
        <v>106</v>
      </c>
      <c r="D25" s="66">
        <f t="shared" ref="D25:H25" si="1">SUM(D19:D24)</f>
        <v>-6309</v>
      </c>
      <c r="E25" s="66">
        <f t="shared" si="1"/>
        <v>-3150</v>
      </c>
      <c r="F25" s="66">
        <f t="shared" si="1"/>
        <v>821</v>
      </c>
      <c r="G25" s="66">
        <f t="shared" si="1"/>
        <v>-3261</v>
      </c>
      <c r="H25" s="280">
        <f t="shared" si="1"/>
        <v>-1943</v>
      </c>
    </row>
    <row r="26" spans="1:8" ht="14.45">
      <c r="D26" s="63"/>
      <c r="E26" s="63"/>
      <c r="F26" s="63"/>
      <c r="G26" s="63"/>
      <c r="H26" s="275"/>
    </row>
    <row r="27" spans="1:8" ht="19.5" customHeight="1">
      <c r="A27" s="302" t="s">
        <v>107</v>
      </c>
      <c r="C27" s="59" t="s">
        <v>108</v>
      </c>
      <c r="D27" s="63"/>
      <c r="E27" s="63"/>
      <c r="F27" s="63"/>
      <c r="G27" s="63"/>
      <c r="H27" s="275"/>
    </row>
    <row r="28" spans="1:8" ht="14.45">
      <c r="A28" s="302"/>
      <c r="C28" s="85" t="s">
        <v>109</v>
      </c>
      <c r="D28" s="63">
        <v>-420</v>
      </c>
      <c r="E28" s="63">
        <v>-598</v>
      </c>
      <c r="F28" s="63">
        <v>-694</v>
      </c>
      <c r="G28" s="63">
        <v>-850</v>
      </c>
      <c r="H28" s="276">
        <v>-859</v>
      </c>
    </row>
    <row r="29" spans="1:8" ht="14.45">
      <c r="A29" s="302"/>
      <c r="C29" t="s">
        <v>110</v>
      </c>
      <c r="D29" s="63">
        <v>9</v>
      </c>
      <c r="E29" s="63">
        <v>-11114</v>
      </c>
      <c r="F29" s="63">
        <v>-11469</v>
      </c>
      <c r="G29" s="63">
        <v>1</v>
      </c>
      <c r="H29" s="276">
        <v>3</v>
      </c>
    </row>
    <row r="30" spans="1:8" ht="14.45">
      <c r="A30" s="302"/>
      <c r="C30" t="s">
        <v>111</v>
      </c>
      <c r="D30" s="63">
        <v>-9155</v>
      </c>
      <c r="E30" s="63">
        <v>-12697</v>
      </c>
      <c r="F30" s="63">
        <v>-13674</v>
      </c>
      <c r="G30" s="63">
        <v>-14733</v>
      </c>
      <c r="H30" s="276">
        <v>-20337</v>
      </c>
    </row>
    <row r="31" spans="1:8" ht="14.45">
      <c r="A31" s="302"/>
      <c r="C31" t="s">
        <v>112</v>
      </c>
      <c r="D31" s="63">
        <v>0</v>
      </c>
      <c r="E31" s="63">
        <v>134</v>
      </c>
      <c r="F31" s="63">
        <v>-20</v>
      </c>
      <c r="G31" s="63">
        <v>-243</v>
      </c>
      <c r="H31" s="276">
        <v>-186</v>
      </c>
    </row>
    <row r="32" spans="1:8" ht="21.75" customHeight="1" thickBot="1">
      <c r="A32" s="302"/>
      <c r="C32" s="65" t="s">
        <v>113</v>
      </c>
      <c r="D32" s="66">
        <f t="shared" ref="D32:H32" si="2">SUM(D28:D31)</f>
        <v>-9566</v>
      </c>
      <c r="E32" s="66">
        <f t="shared" si="2"/>
        <v>-24275</v>
      </c>
      <c r="F32" s="66">
        <f t="shared" si="2"/>
        <v>-25857</v>
      </c>
      <c r="G32" s="66">
        <f t="shared" si="2"/>
        <v>-15825</v>
      </c>
      <c r="H32" s="280">
        <f t="shared" si="2"/>
        <v>-21379</v>
      </c>
    </row>
    <row r="33" spans="3:8" ht="14.45">
      <c r="D33" s="63"/>
      <c r="E33" s="63"/>
      <c r="F33" s="63"/>
      <c r="G33" s="63"/>
      <c r="H33" s="275"/>
    </row>
    <row r="34" spans="3:8" ht="14.45">
      <c r="C34" t="s">
        <v>114</v>
      </c>
      <c r="D34" s="63">
        <v>23</v>
      </c>
      <c r="E34" s="63">
        <v>-13</v>
      </c>
      <c r="F34" s="63">
        <v>131</v>
      </c>
      <c r="G34" s="63">
        <v>-44</v>
      </c>
      <c r="H34" s="276">
        <v>-13</v>
      </c>
    </row>
    <row r="35" spans="3:8" ht="14.45">
      <c r="D35" s="63"/>
      <c r="E35" s="63"/>
      <c r="F35" s="63"/>
      <c r="G35" s="63"/>
      <c r="H35" s="275"/>
    </row>
    <row r="36" spans="3:8" ht="14.45">
      <c r="C36" s="53" t="s">
        <v>115</v>
      </c>
      <c r="D36" s="64">
        <f t="shared" ref="D36:H36" si="3">SUM(D16,D25,D32)</f>
        <v>4027</v>
      </c>
      <c r="E36" s="64">
        <f t="shared" si="3"/>
        <v>-5329</v>
      </c>
      <c r="F36" s="64">
        <f t="shared" si="3"/>
        <v>-5867</v>
      </c>
      <c r="G36" s="64">
        <f t="shared" si="3"/>
        <v>1701</v>
      </c>
      <c r="H36" s="277">
        <f t="shared" si="3"/>
        <v>6087</v>
      </c>
    </row>
    <row r="37" spans="3:8" ht="14.45">
      <c r="C37" s="86" t="s">
        <v>116</v>
      </c>
      <c r="D37" s="63">
        <v>13562</v>
      </c>
      <c r="E37" s="63">
        <f>BALANCE_SHEET_!D8</f>
        <v>17612</v>
      </c>
      <c r="F37" s="63">
        <f>BALANCE_SHEET_!E8</f>
        <v>12270</v>
      </c>
      <c r="G37" s="63">
        <f>BALANCE_SHEET_!F8</f>
        <v>6534</v>
      </c>
      <c r="H37" s="276">
        <f>BALANCE_SHEET_!G8</f>
        <v>8191</v>
      </c>
    </row>
    <row r="38" spans="3:8" ht="14.45">
      <c r="C38" s="53" t="s">
        <v>117</v>
      </c>
      <c r="D38" s="64">
        <f t="shared" ref="D38:H38" si="4">D36+D37+D34</f>
        <v>17612</v>
      </c>
      <c r="E38" s="64">
        <f t="shared" si="4"/>
        <v>12270</v>
      </c>
      <c r="F38" s="64">
        <f t="shared" si="4"/>
        <v>6534</v>
      </c>
      <c r="G38" s="64">
        <f t="shared" si="4"/>
        <v>8191</v>
      </c>
      <c r="H38" s="277">
        <f t="shared" si="4"/>
        <v>14265</v>
      </c>
    </row>
    <row r="39" spans="3:8" ht="14.45">
      <c r="H39" s="275"/>
    </row>
    <row r="40" spans="3:8" ht="14.45">
      <c r="C40" s="53" t="s">
        <v>118</v>
      </c>
      <c r="D40" s="87" t="str">
        <f>IF(BALANCE_SHEET_!D8=CASH_FLOW_STATEMENT_!D38,"MATCHED","NOT MATCHED")</f>
        <v>MATCHED</v>
      </c>
      <c r="E40" s="87" t="str">
        <f>IF(BALANCE_SHEET_!E8=CASH_FLOW_STATEMENT_!E38,"MATCHED","NOT MATCHED")</f>
        <v>MATCHED</v>
      </c>
      <c r="F40" s="87" t="str">
        <f>IF(BALANCE_SHEET_!F8=CASH_FLOW_STATEMENT_!F38,"MATCHED","NOT MATCHED")</f>
        <v>MATCHED</v>
      </c>
      <c r="G40" s="87" t="str">
        <f>IF(BALANCE_SHEET_!G8=CASH_FLOW_STATEMENT_!G38,"MATCHED","NOT MATCHED")</f>
        <v>MATCHED</v>
      </c>
      <c r="H40" s="281" t="str">
        <f>IF(BALANCE_SHEET_!H8=CASH_FLOW_STATEMENT_!H38,"MATCHED","NOT MATCHED")</f>
        <v>MATCHED</v>
      </c>
    </row>
  </sheetData>
  <mergeCells count="4">
    <mergeCell ref="A1:C2"/>
    <mergeCell ref="A7:A16"/>
    <mergeCell ref="A18:A25"/>
    <mergeCell ref="A27:A32"/>
  </mergeCells>
  <pageMargins left="0.70000000000000007" right="0.70000000000000007" top="0.75" bottom="0.75" header="0.30000000000000004" footer="0.30000000000000004"/>
  <pageSetup paperSize="0" orientation="landscape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3D2A-69E5-4BCD-A177-2D6673D1AEBD}">
  <sheetPr>
    <pageSetUpPr fitToPage="1"/>
  </sheetPr>
  <dimension ref="A1:I54"/>
  <sheetViews>
    <sheetView topLeftCell="A43" workbookViewId="0">
      <selection activeCell="D1" sqref="D1:D1048576"/>
    </sheetView>
  </sheetViews>
  <sheetFormatPr defaultRowHeight="15" customHeight="1"/>
  <cols>
    <col min="1" max="2" width="8.85546875" customWidth="1"/>
    <col min="3" max="3" width="26" bestFit="1" customWidth="1"/>
  </cols>
  <sheetData>
    <row r="1" spans="1:8" ht="14.45">
      <c r="A1" s="301" t="s">
        <v>119</v>
      </c>
      <c r="B1" s="301"/>
      <c r="C1" s="301"/>
    </row>
    <row r="2" spans="1:8" ht="14.45">
      <c r="A2" s="301"/>
      <c r="B2" s="301"/>
      <c r="C2" s="301"/>
    </row>
    <row r="4" spans="1:8" ht="14.45">
      <c r="D4" s="74" t="s">
        <v>34</v>
      </c>
      <c r="E4" s="74" t="s">
        <v>34</v>
      </c>
      <c r="F4" s="74" t="s">
        <v>34</v>
      </c>
      <c r="G4" s="74" t="s">
        <v>34</v>
      </c>
      <c r="H4" s="56" t="s">
        <v>34</v>
      </c>
    </row>
    <row r="5" spans="1:8" ht="14.45">
      <c r="C5" s="75" t="s">
        <v>35</v>
      </c>
      <c r="D5" s="76">
        <v>2021</v>
      </c>
      <c r="E5" s="76">
        <v>2022</v>
      </c>
      <c r="F5" s="76">
        <v>2023</v>
      </c>
      <c r="G5" s="76">
        <v>2024</v>
      </c>
      <c r="H5" s="58">
        <v>2025</v>
      </c>
    </row>
    <row r="7" spans="1:8" ht="14.45">
      <c r="A7" s="302" t="s">
        <v>120</v>
      </c>
      <c r="C7" t="s">
        <v>121</v>
      </c>
      <c r="D7" s="73">
        <f>(INCOME_STATEMENT!D20/INCOME_STATEMENT!D7)</f>
        <v>0.35351289691777632</v>
      </c>
      <c r="E7" s="73">
        <f>(INCOME_STATEMENT!E20/INCOME_STATEMENT!E7)</f>
        <v>0.33010390609967288</v>
      </c>
      <c r="F7" s="73">
        <f>(INCOME_STATEMENT!F20/INCOME_STATEMENT!F7)</f>
        <v>0.3084490460754431</v>
      </c>
      <c r="G7" s="73">
        <f>(INCOME_STATEMENT!G20/INCOME_STATEMENT!G7)</f>
        <v>0.30947081042091629</v>
      </c>
      <c r="H7" s="73">
        <f>(INCOME_STATEMENT!H20/INCOME_STATEMENT!H7)</f>
        <v>0.31100650111280309</v>
      </c>
    </row>
    <row r="8" spans="1:8" ht="14.45">
      <c r="A8" s="302"/>
      <c r="D8" s="68"/>
      <c r="E8" s="68"/>
      <c r="F8" s="68"/>
      <c r="G8" s="68"/>
      <c r="H8" s="68"/>
    </row>
    <row r="9" spans="1:8" ht="14.45">
      <c r="A9" s="302"/>
      <c r="C9" t="s">
        <v>122</v>
      </c>
      <c r="D9" s="68">
        <f>(INCOME_STATEMENT!D10/INCOME_STATEMENT!D7)*100</f>
        <v>25.765899990688148</v>
      </c>
      <c r="E9" s="68">
        <f>(INCOME_STATEMENT!E10/INCOME_STATEMENT!E7)*100</f>
        <v>24.436213199923031</v>
      </c>
      <c r="F9" s="68">
        <f>(INCOME_STATEMENT!F10/INCOME_STATEMENT!F7)*100</f>
        <v>22.530520747657523</v>
      </c>
      <c r="G9" s="68">
        <f>(INCOME_STATEMENT!G10/INCOME_STATEMENT!G7)*100</f>
        <v>22.347265634089023</v>
      </c>
      <c r="H9" s="68">
        <f>(INCOME_STATEMENT!H10/INCOME_STATEMENT!H7)*100</f>
        <v>22.607473351294367</v>
      </c>
    </row>
    <row r="10" spans="1:8" ht="14.45">
      <c r="A10" s="302"/>
      <c r="D10" s="68"/>
      <c r="E10" s="68"/>
      <c r="F10" s="68"/>
      <c r="G10" s="68"/>
      <c r="H10" s="68"/>
    </row>
    <row r="11" spans="1:8" ht="14.45">
      <c r="A11" s="302"/>
      <c r="C11" t="s">
        <v>123</v>
      </c>
      <c r="D11" s="68">
        <f>((INCOME_STATEMENT!D10+INCOME_STATEMENT!D19)/INCOME_STATEMENT!D7)*100</f>
        <v>28.46750162957445</v>
      </c>
      <c r="E11" s="68">
        <f>((INCOME_STATEMENT!E10+INCOME_STATEMENT!E19)/INCOME_STATEMENT!E7)*100</f>
        <v>26.773138349047525</v>
      </c>
      <c r="F11" s="68">
        <f>((INCOME_STATEMENT!F10+INCOME_STATEMENT!F19)/INCOME_STATEMENT!F7)*100</f>
        <v>24.750431402906123</v>
      </c>
      <c r="G11" s="68">
        <f>((INCOME_STATEMENT!G10+INCOME_STATEMENT!G19)/INCOME_STATEMENT!G7)*100</f>
        <v>24.630622106055082</v>
      </c>
      <c r="H11" s="68">
        <f>((INCOME_STATEMENT!H10+INCOME_STATEMENT!H19)/INCOME_STATEMENT!H7)*100</f>
        <v>24.524130256530398</v>
      </c>
    </row>
    <row r="12" spans="1:8" ht="14.45">
      <c r="A12" s="302"/>
      <c r="D12" s="68"/>
      <c r="E12" s="68"/>
      <c r="F12" s="68"/>
      <c r="G12" s="68"/>
      <c r="H12" s="68"/>
    </row>
    <row r="13" spans="1:8" ht="14.45">
      <c r="A13" s="302"/>
      <c r="C13" t="s">
        <v>124</v>
      </c>
      <c r="D13" s="68">
        <f>(INCOME_STATEMENT!D16/INCOME_STATEMENT!D7)*100</f>
        <v>21.007542601732005</v>
      </c>
      <c r="E13" s="68">
        <f>(INCOME_STATEMENT!E16/INCOME_STATEMENT!E7)*100</f>
        <v>20.430055801423901</v>
      </c>
      <c r="F13" s="68">
        <f>(INCOME_STATEMENT!F16/INCOME_STATEMENT!F7)*100</f>
        <v>18.762397793797476</v>
      </c>
      <c r="G13" s="68">
        <f>(INCOME_STATEMENT!G16/INCOME_STATEMENT!G7)*100</f>
        <v>21.122598558941466</v>
      </c>
      <c r="H13" s="68">
        <f>(INCOME_STATEMENT!H16/INCOME_STATEMENT!H7)*100</f>
        <v>18.71851938620124</v>
      </c>
    </row>
    <row r="14" spans="1:8" ht="14.45">
      <c r="A14" s="302"/>
      <c r="D14" s="68"/>
      <c r="E14" s="68"/>
      <c r="F14" s="68"/>
      <c r="G14" s="68"/>
      <c r="H14" s="68"/>
    </row>
    <row r="15" spans="1:8" ht="14.45">
      <c r="A15" s="302"/>
      <c r="C15" t="s">
        <v>125</v>
      </c>
      <c r="D15" s="68">
        <f>(INCOME_STATEMENT!D16/BALANCE_SHEET_!D21)*100</f>
        <v>19.212467665186985</v>
      </c>
      <c r="E15" s="68">
        <f>(INCOME_STATEMENT!E16/BALANCE_SHEET_!E21)*100</f>
        <v>21.365973417046494</v>
      </c>
      <c r="F15" s="68">
        <f>(INCOME_STATEMENT!F16/BALANCE_SHEET_!F21)*100</f>
        <v>22.961011279197134</v>
      </c>
      <c r="G15" s="68">
        <f>(INCOME_STATEMENT!G16/BALANCE_SHEET_!G21)*100</f>
        <v>23.69204001739887</v>
      </c>
      <c r="H15" s="68">
        <f>(INCOME_STATEMENT!H16/BALANCE_SHEET_!H21)*100</f>
        <v>20.464878017544983</v>
      </c>
    </row>
    <row r="18" spans="1:8" ht="14.45">
      <c r="A18" s="302" t="s">
        <v>126</v>
      </c>
      <c r="C18" t="s">
        <v>127</v>
      </c>
      <c r="D18" s="68">
        <f>BALANCE_SHEET_!D13/BALANCE_SHEET_!D27</f>
        <v>2.7398706162751107</v>
      </c>
      <c r="E18" s="68">
        <f>BALANCE_SHEET_!E13/BALANCE_SHEET_!E27</f>
        <v>2.0994955156950672</v>
      </c>
      <c r="F18" s="68">
        <f>BALANCE_SHEET_!F13/BALANCE_SHEET_!F27</f>
        <v>1.8978937395233584</v>
      </c>
      <c r="G18" s="68">
        <f>BALANCE_SHEET_!G13/BALANCE_SHEET_!G27</f>
        <v>2.6195082330355164</v>
      </c>
      <c r="H18" s="68">
        <f>BALANCE_SHEET_!H13/BALANCE_SHEET_!H27</f>
        <v>2.4295699263270576</v>
      </c>
    </row>
    <row r="19" spans="1:8" ht="14.45">
      <c r="A19" s="302"/>
    </row>
    <row r="20" spans="1:8" ht="14.45">
      <c r="A20" s="302"/>
      <c r="C20" t="s">
        <v>128</v>
      </c>
      <c r="D20" s="68">
        <f>(BALANCE_SHEET_!D8+BALANCE_SHEET_!D9+BALANCE_SHEET_!D10)/BALANCE_SHEET_!D27</f>
        <v>2.0453410509590286</v>
      </c>
      <c r="E20" s="68">
        <f>(BALANCE_SHEET_!E8+BALANCE_SHEET_!E9+BALANCE_SHEET_!E10)/BALANCE_SHEET_!E27</f>
        <v>1.4695307495195387</v>
      </c>
      <c r="F20" s="68">
        <f>(BALANCE_SHEET_!F8+BALANCE_SHEET_!F9+BALANCE_SHEET_!F10)/BALANCE_SHEET_!F27</f>
        <v>1.1581881787041761</v>
      </c>
      <c r="G20" s="68">
        <f>(BALANCE_SHEET_!G8+BALANCE_SHEET_!G9+BALANCE_SHEET_!G10)/BALANCE_SHEET_!G27</f>
        <v>1.6484530753895001</v>
      </c>
      <c r="H20" s="68">
        <f>(BALANCE_SHEET_!H8+BALANCE_SHEET_!H9+BALANCE_SHEET_!H10)/BALANCE_SHEET_!H27</f>
        <v>1.6316667716138782</v>
      </c>
    </row>
    <row r="21" spans="1:8" ht="14.45">
      <c r="A21" s="302"/>
    </row>
    <row r="22" spans="1:8" ht="14.45">
      <c r="A22" s="302"/>
      <c r="C22" t="s">
        <v>129</v>
      </c>
      <c r="D22" s="68">
        <f>CASH_FLOW_STATEMENT_!D16/INCOME_STATEMENT!D16</f>
        <v>1.1027260638297873</v>
      </c>
      <c r="E22" s="68">
        <f>CASH_FLOW_STATEMENT_!E16/INCOME_STATEMENT!E16</f>
        <v>1.0405462679538497</v>
      </c>
      <c r="F22" s="68">
        <f>CASH_FLOW_STATEMENT_!F16/INCOME_STATEMENT!F16</f>
        <v>0.8238353102974042</v>
      </c>
      <c r="G22" s="68">
        <f>CASH_FLOW_STATEMENT_!G16/INCOME_STATEMENT!G16</f>
        <v>0.76327384886538885</v>
      </c>
      <c r="H22" s="68">
        <f>CASH_FLOW_STATEMENT_!H16/INCOME_STATEMENT!H16</f>
        <v>1.150226846057572</v>
      </c>
    </row>
    <row r="25" spans="1:8" ht="15" customHeight="1">
      <c r="A25" s="302" t="s">
        <v>130</v>
      </c>
      <c r="C25" t="s">
        <v>131</v>
      </c>
      <c r="D25" s="68">
        <f>INCOME_STATEMENT!D7/((81041+BALANCE_SHEET_!D21)/2)</f>
        <v>0.98196365298891297</v>
      </c>
      <c r="E25" s="68">
        <f>INCOME_STATEMENT!E7/((BALANCE_SHEET_!D21+BALANCE_SHEET_!E21)/2)</f>
        <v>1.0752821658752574</v>
      </c>
      <c r="F25" s="68">
        <f>INCOME_STATEMENT!F7/((BALANCE_SHEET_!E21+BALANCE_SHEET_!F21)/2)</f>
        <v>1.2356668858731392</v>
      </c>
      <c r="G25" s="68">
        <f>INCOME_STATEMENT!G7/((BALANCE_SHEET_!F21+BALANCE_SHEET_!G21)/2)</f>
        <v>1.1922399404494954</v>
      </c>
      <c r="H25" s="68">
        <f>INCOME_STATEMENT!H7/((BALANCE_SHEET_!G21+BALANCE_SHEET_!H21)/2)</f>
        <v>1.1388076002767982</v>
      </c>
    </row>
    <row r="26" spans="1:8" ht="14.45">
      <c r="A26" s="302"/>
    </row>
    <row r="27" spans="1:8" ht="14.45">
      <c r="A27" s="302"/>
      <c r="C27" s="59" t="s">
        <v>132</v>
      </c>
    </row>
    <row r="28" spans="1:8" ht="14.45">
      <c r="A28" s="302"/>
      <c r="C28" t="s">
        <v>133</v>
      </c>
      <c r="D28" s="68">
        <f>(15459+BALANCE_SHEET_!D9)/2</f>
        <v>15926.5</v>
      </c>
      <c r="E28" s="68">
        <f>(BALANCE_SHEET_!D9+BALANCE_SHEET_!E9)/2</f>
        <v>17680</v>
      </c>
      <c r="F28" s="68">
        <f>(BALANCE_SHEET_!E9+BALANCE_SHEET_!F9)/2</f>
        <v>19869.5</v>
      </c>
      <c r="G28" s="68">
        <f>(BALANCE_SHEET_!F9+BALANCE_SHEET_!G9)/2</f>
        <v>22962.5</v>
      </c>
      <c r="H28" s="68">
        <f>(BALANCE_SHEET_!G9+BALANCE_SHEET_!H9)/2</f>
        <v>25782.5</v>
      </c>
    </row>
    <row r="29" spans="1:8" ht="14.45">
      <c r="A29" s="302"/>
      <c r="C29" t="s">
        <v>134</v>
      </c>
      <c r="D29" s="68">
        <f>INCOME_STATEMENT!D7/RATIO_ANALYSIS_!D28</f>
        <v>5.3942799736288576</v>
      </c>
      <c r="E29" s="68">
        <f>INCOME_STATEMENT!E7/RATIO_ANALYSIS_!E28</f>
        <v>5.8789592760181</v>
      </c>
      <c r="F29" s="68">
        <f>INCOME_STATEMENT!F7/RATIO_ANALYSIS_!F28</f>
        <v>6.2414253000830415</v>
      </c>
      <c r="G29" s="68">
        <f>INCOME_STATEMENT!G7/RATIO_ANALYSIS_!G28</f>
        <v>5.6149373979314099</v>
      </c>
      <c r="H29" s="68">
        <f>INCOME_STATEMENT!H7/RATIO_ANALYSIS_!H28</f>
        <v>5.2978570735964317</v>
      </c>
    </row>
    <row r="30" spans="1:8" ht="14.45">
      <c r="A30" s="302"/>
    </row>
    <row r="31" spans="1:8" ht="14.45">
      <c r="A31" s="302"/>
      <c r="C31" s="53" t="s">
        <v>135</v>
      </c>
      <c r="D31" s="68">
        <f t="shared" ref="D31:H31" si="0">365/D29</f>
        <v>67.664266924294623</v>
      </c>
      <c r="E31" s="68">
        <f t="shared" si="0"/>
        <v>62.085818741581676</v>
      </c>
      <c r="F31" s="68">
        <f t="shared" si="0"/>
        <v>58.480232070572683</v>
      </c>
      <c r="G31" s="68">
        <f t="shared" si="0"/>
        <v>65.005177107489942</v>
      </c>
      <c r="H31" s="68">
        <f t="shared" si="0"/>
        <v>68.895780865643673</v>
      </c>
    </row>
    <row r="32" spans="1:8" ht="14.45">
      <c r="A32" s="302"/>
      <c r="D32" s="68"/>
      <c r="E32" s="68"/>
      <c r="F32" s="68"/>
      <c r="G32" s="68"/>
      <c r="H32" s="68"/>
    </row>
    <row r="33" spans="1:9" ht="14.45">
      <c r="A33" s="302"/>
      <c r="C33" s="59" t="s">
        <v>136</v>
      </c>
      <c r="D33" s="68"/>
      <c r="E33" s="68"/>
      <c r="F33" s="68"/>
      <c r="G33" s="68"/>
      <c r="H33" s="68"/>
    </row>
    <row r="34" spans="1:9" ht="14.45">
      <c r="A34" s="302"/>
      <c r="C34" t="s">
        <v>137</v>
      </c>
      <c r="D34" s="68">
        <f>(1529+BALANCE_SHEET_!D24)/2</f>
        <v>1545.5</v>
      </c>
      <c r="E34" s="68">
        <f>(BALANCE_SHEET_!D24+BALANCE_SHEET_!E24)/2</f>
        <v>2115.5</v>
      </c>
      <c r="F34" s="68">
        <f>(BALANCE_SHEET_!E24+BALANCE_SHEET_!F24)/2</f>
        <v>2547.5</v>
      </c>
      <c r="G34" s="68">
        <f>(BALANCE_SHEET_!F24+BALANCE_SHEET_!G24)/2</f>
        <v>2459.5</v>
      </c>
      <c r="H34" s="68">
        <f>(BALANCE_SHEET_!G24+BALANCE_SHEET_!H24)/2</f>
        <v>2610.5</v>
      </c>
      <c r="I34" s="63"/>
    </row>
    <row r="35" spans="1:9" ht="14.45">
      <c r="A35" s="302"/>
      <c r="C35" t="s">
        <v>138</v>
      </c>
      <c r="D35" s="68">
        <f>(INCOME_STATEMENT!D8*-1)/RATIO_ANALYSIS_!D34</f>
        <v>35.937237140084115</v>
      </c>
      <c r="E35" s="68">
        <f>(INCOME_STATEMENT!E8*-1)/RATIO_ANALYSIS_!E34</f>
        <v>32.913731978255733</v>
      </c>
      <c r="F35" s="68">
        <f>(INCOME_STATEMENT!F8*-1)/RATIO_ANALYSIS_!F34</f>
        <v>33.66516192345437</v>
      </c>
      <c r="G35" s="68">
        <f>(INCOME_STATEMENT!G8*-1)/RATIO_ANALYSIS_!G34</f>
        <v>36.199227485261233</v>
      </c>
      <c r="H35" s="68">
        <f>(INCOME_STATEMENT!H8*-1)/RATIO_ANALYSIS_!H34</f>
        <v>36.050948094234819</v>
      </c>
    </row>
    <row r="36" spans="1:9" ht="14.45">
      <c r="A36" s="302"/>
      <c r="D36" s="68"/>
      <c r="E36" s="68"/>
      <c r="F36" s="68"/>
      <c r="G36" s="68"/>
      <c r="H36" s="68"/>
    </row>
    <row r="37" spans="1:9" ht="14.45">
      <c r="A37" s="302"/>
      <c r="C37" s="53" t="s">
        <v>139</v>
      </c>
      <c r="D37" s="68">
        <f t="shared" ref="D37:H37" si="1">365/D35</f>
        <v>10.156596028159377</v>
      </c>
      <c r="E37" s="68">
        <f t="shared" si="1"/>
        <v>11.089596288902612</v>
      </c>
      <c r="F37" s="68">
        <f t="shared" si="1"/>
        <v>10.842068748396725</v>
      </c>
      <c r="G37" s="68">
        <f t="shared" si="1"/>
        <v>10.083088103153923</v>
      </c>
      <c r="H37" s="68">
        <f t="shared" si="1"/>
        <v>10.124560359575396</v>
      </c>
    </row>
    <row r="38" spans="1:9" ht="14.45">
      <c r="A38" s="302"/>
      <c r="D38" s="68"/>
      <c r="E38" s="68"/>
      <c r="F38" s="68"/>
      <c r="G38" s="68"/>
      <c r="H38" s="68"/>
    </row>
    <row r="39" spans="1:9" ht="14.45">
      <c r="A39" s="302"/>
      <c r="C39" t="s">
        <v>140</v>
      </c>
      <c r="D39" s="68">
        <f>(INCOME_STATEMENT!D9*-1)/INCOME_STATEMENT!D7</f>
        <v>9.5853897010894876E-2</v>
      </c>
      <c r="E39" s="68">
        <f>(INCOME_STATEMENT!E9*-1)/INCOME_STATEMENT!E7</f>
        <v>8.5741774100442564E-2</v>
      </c>
      <c r="F39" s="68">
        <f>(INCOME_STATEMENT!F9*-1)/INCOME_STATEMENT!F7</f>
        <v>8.314383859886787E-2</v>
      </c>
      <c r="G39" s="68">
        <f>(INCOME_STATEMENT!G9*-1)/INCOME_STATEMENT!G7</f>
        <v>8.5998154080026062E-2</v>
      </c>
      <c r="H39" s="68">
        <f>(INCOME_STATEMENT!H9*-1)/INCOME_STATEMENT!H7</f>
        <v>8.4931767599859431E-2</v>
      </c>
    </row>
    <row r="42" spans="1:9" ht="14.45">
      <c r="A42" s="302" t="s">
        <v>141</v>
      </c>
    </row>
    <row r="43" spans="1:9" ht="14.45">
      <c r="A43" s="302"/>
      <c r="C43" t="s">
        <v>142</v>
      </c>
      <c r="D43" s="68">
        <v>0</v>
      </c>
      <c r="E43" s="68">
        <v>0</v>
      </c>
      <c r="F43" s="68">
        <v>0</v>
      </c>
      <c r="G43" s="68">
        <v>0</v>
      </c>
      <c r="H43" s="68">
        <v>0</v>
      </c>
    </row>
    <row r="44" spans="1:9" ht="14.45">
      <c r="A44" s="302"/>
    </row>
    <row r="45" spans="1:9" ht="14.45">
      <c r="A45" s="302"/>
      <c r="C45" t="s">
        <v>143</v>
      </c>
      <c r="D45" s="72">
        <f>INCOME_STATEMENT!D21/(INCOME_STATEMENT!D14*-1)</f>
        <v>194.10317460317461</v>
      </c>
      <c r="E45" s="72">
        <f>INCOME_STATEMENT!E21/(INCOME_STATEMENT!E14*-1)</f>
        <v>217.40625</v>
      </c>
      <c r="F45" s="72">
        <f>INCOME_STATEMENT!F21/(INCOME_STATEMENT!F14*-1)</f>
        <v>195.50318471337579</v>
      </c>
      <c r="G45" s="72">
        <f>INCOME_STATEMENT!G21/(INCOME_STATEMENT!G14*-1)</f>
        <v>114.64620938628158</v>
      </c>
      <c r="H45" s="72">
        <f>INCOME_STATEMENT!H21/(INCOME_STATEMENT!H14*-1)</f>
        <v>151.57466063348417</v>
      </c>
    </row>
    <row r="46" spans="1:9" ht="14.45">
      <c r="A46" s="302"/>
      <c r="D46" s="72"/>
      <c r="E46" s="72"/>
      <c r="F46" s="72"/>
      <c r="G46" s="72"/>
      <c r="H46" s="72"/>
    </row>
    <row r="47" spans="1:9" ht="14.45">
      <c r="A47" s="302"/>
      <c r="C47" t="s">
        <v>144</v>
      </c>
      <c r="D47" s="72">
        <f>(INCOME_STATEMENT!D21+CASH_FLOW_STATEMENT_!D19)/(INCOME_STATEMENT!D14*-1)</f>
        <v>180.45238095238096</v>
      </c>
      <c r="E47" s="72">
        <f>(INCOME_STATEMENT!E21+CASH_FLOW_STATEMENT_!E19)/(INCOME_STATEMENT!E14*-1)</f>
        <v>203.4453125</v>
      </c>
      <c r="F47" s="72">
        <f>(INCOME_STATEMENT!F21+CASH_FLOW_STATEMENT_!F19)/(INCOME_STATEMENT!F14*-1)</f>
        <v>181.93630573248407</v>
      </c>
      <c r="G47" s="72">
        <f>(INCOME_STATEMENT!G21+CASH_FLOW_STATEMENT_!G19)/(INCOME_STATEMENT!G14*-1)</f>
        <v>108.03249097472924</v>
      </c>
      <c r="H47" s="72">
        <f>(INCOME_STATEMENT!H21+CASH_FLOW_STATEMENT_!H19)/(INCOME_STATEMENT!H14*-1)</f>
        <v>144.39366515837105</v>
      </c>
    </row>
    <row r="50" spans="1:8" ht="14.45">
      <c r="A50" s="302" t="s">
        <v>145</v>
      </c>
      <c r="C50" t="s">
        <v>146</v>
      </c>
      <c r="D50" s="72">
        <f>BALANCE_SHEET_!D46/INCOME_STATEMENT!D22</f>
        <v>29.571570281194589</v>
      </c>
      <c r="E50" s="72">
        <f>BALANCE_SHEET_!E46/INCOME_STATEMENT!E22</f>
        <v>35.628877586729459</v>
      </c>
      <c r="F50" s="72">
        <f>BALANCE_SHEET_!F46/INCOME_STATEMENT!F22</f>
        <v>27.486531582108476</v>
      </c>
      <c r="G50" s="72">
        <f>BALANCE_SHEET_!G46/INCOME_STATEMENT!G22</f>
        <v>24.199010340192405</v>
      </c>
      <c r="H50" s="72">
        <f>BALANCE_SHEET_!H46/INCOME_STATEMENT!H22</f>
        <v>25.982083260325407</v>
      </c>
    </row>
    <row r="51" spans="1:8" ht="14.45">
      <c r="A51" s="302"/>
      <c r="D51" s="72"/>
      <c r="E51" s="72"/>
      <c r="F51" s="72"/>
      <c r="G51" s="72"/>
      <c r="H51" s="72"/>
    </row>
    <row r="52" spans="1:8" ht="14.45">
      <c r="A52" s="302"/>
      <c r="C52" t="s">
        <v>147</v>
      </c>
      <c r="D52" s="72">
        <f>BALANCE_SHEET_!D46/BALANCE_SHEET_!D48</f>
        <v>7.4612084331967958</v>
      </c>
      <c r="E52" s="72">
        <f>BALANCE_SHEET_!E46/BALANCE_SHEET_!E48</f>
        <v>10.916503846047961</v>
      </c>
      <c r="F52" s="72">
        <f>BALANCE_SHEET_!F46/BALANCE_SHEET_!F48</f>
        <v>9.4406467909439797</v>
      </c>
      <c r="G52" s="72">
        <f>BALANCE_SHEET_!G46/BALANCE_SHEET_!G48</f>
        <v>8.118604607332216</v>
      </c>
      <c r="H52" s="72">
        <f>BALANCE_SHEET_!H46/BALANCE_SHEET_!H48</f>
        <v>7.6067180964594883</v>
      </c>
    </row>
    <row r="53" spans="1:8" ht="14.45">
      <c r="A53" s="302"/>
      <c r="D53" s="72"/>
      <c r="E53" s="72"/>
      <c r="F53" s="72"/>
      <c r="G53" s="72"/>
      <c r="H53" s="72"/>
    </row>
    <row r="54" spans="1:8" ht="14.45">
      <c r="A54" s="302"/>
      <c r="C54" t="s">
        <v>148</v>
      </c>
      <c r="D54" s="72">
        <f>BALANCE_SHEET_!D49/BALANCE_SHEET_!D46</f>
        <v>1.7158818834796488E-2</v>
      </c>
      <c r="E54" s="72">
        <f>BALANCE_SHEET_!E49/BALANCE_SHEET_!E46</f>
        <v>1.675041876046901E-2</v>
      </c>
      <c r="F54" s="72">
        <f>BALANCE_SHEET_!F49/BALANCE_SHEET_!F46</f>
        <v>2.1311475409836064E-2</v>
      </c>
      <c r="G54" s="72">
        <f>BALANCE_SHEET_!G49/BALANCE_SHEET_!G46</f>
        <v>2.2355163727959697E-2</v>
      </c>
      <c r="H54" s="72">
        <f>BALANCE_SHEET_!H49/BALANCE_SHEET_!H46</f>
        <v>0.03</v>
      </c>
    </row>
  </sheetData>
  <mergeCells count="6">
    <mergeCell ref="A50:A54"/>
    <mergeCell ref="A1:C2"/>
    <mergeCell ref="A7:A15"/>
    <mergeCell ref="A18:A22"/>
    <mergeCell ref="A25:A39"/>
    <mergeCell ref="A42:A47"/>
  </mergeCells>
  <pageMargins left="0.70000000000000007" right="0.70000000000000007" top="0.75" bottom="0.75" header="0.30000000000000004" footer="0.30000000000000004"/>
  <pageSetup paperSize="0" orientation="landscape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1CC0-5990-4820-9C08-CCFE82A0B2FE}">
  <sheetPr>
    <pageSetUpPr fitToPage="1"/>
  </sheetPr>
  <dimension ref="A1:J52"/>
  <sheetViews>
    <sheetView workbookViewId="0">
      <selection activeCell="J34" sqref="J34:J52"/>
    </sheetView>
  </sheetViews>
  <sheetFormatPr defaultRowHeight="15" customHeight="1"/>
  <cols>
    <col min="1" max="2" width="8.85546875" customWidth="1"/>
    <col min="3" max="3" width="26.140625" bestFit="1" customWidth="1"/>
    <col min="9" max="9" width="11.7109375" bestFit="1" customWidth="1"/>
    <col min="10" max="10" width="11" bestFit="1" customWidth="1"/>
  </cols>
  <sheetData>
    <row r="1" spans="1:9">
      <c r="A1" s="301" t="s">
        <v>149</v>
      </c>
      <c r="B1" s="301"/>
      <c r="C1" s="301"/>
    </row>
    <row r="2" spans="1:9">
      <c r="A2" s="301"/>
      <c r="B2" s="301"/>
      <c r="C2" s="301"/>
    </row>
    <row r="4" spans="1:9">
      <c r="D4" s="74" t="s">
        <v>34</v>
      </c>
      <c r="E4" s="74" t="s">
        <v>34</v>
      </c>
      <c r="F4" s="74" t="s">
        <v>34</v>
      </c>
      <c r="G4" s="74" t="s">
        <v>34</v>
      </c>
      <c r="H4" s="56" t="s">
        <v>34</v>
      </c>
    </row>
    <row r="5" spans="1:9">
      <c r="C5" s="75" t="s">
        <v>35</v>
      </c>
      <c r="D5" s="76">
        <v>2021</v>
      </c>
      <c r="E5" s="76">
        <v>2022</v>
      </c>
      <c r="F5" s="76">
        <v>2023</v>
      </c>
      <c r="G5" s="76">
        <v>2024</v>
      </c>
      <c r="H5" s="58">
        <v>2025</v>
      </c>
    </row>
    <row r="7" spans="1:9">
      <c r="C7" t="s">
        <v>150</v>
      </c>
      <c r="D7" s="73">
        <f>(INCOME_STATEMENT!D7-79047)/79047</f>
        <v>8.684706566979139E-2</v>
      </c>
      <c r="E7" s="73">
        <f>(INCOME_STATEMENT!E7-INCOME_STATEMENT!D7)/INCOME_STATEMENT!D7</f>
        <v>0.20984262966756681</v>
      </c>
      <c r="F7" s="73">
        <f>(INCOME_STATEMENT!F7-INCOME_STATEMENT!E7)/INCOME_STATEMENT!E7</f>
        <v>0.19313065229940352</v>
      </c>
      <c r="G7" s="73">
        <f>(INCOME_STATEMENT!G7-INCOME_STATEMENT!F7)/INCOME_STATEMENT!F7</f>
        <v>3.9664876546196395E-2</v>
      </c>
      <c r="H7" s="73">
        <f>(INCOME_STATEMENT!H7-INCOME_STATEMENT!G7)/INCOME_STATEMENT!G7</f>
        <v>5.9402945715992028E-2</v>
      </c>
      <c r="I7" s="62"/>
    </row>
    <row r="8" spans="1:9">
      <c r="C8" t="s">
        <v>151</v>
      </c>
      <c r="D8" s="73">
        <f>((INCOME_STATEMENT!D8*-1)-((-52816)*-1))/((-52816)*-1)</f>
        <v>5.1594213874583461E-2</v>
      </c>
      <c r="E8" s="73">
        <f>((INCOME_STATEMENT!E8*-1)-(INCOME_STATEMENT!D8*-1))/(INCOME_STATEMENT!D8*-1)</f>
        <v>0.25365045641958195</v>
      </c>
      <c r="F8" s="73">
        <f>((INCOME_STATEMENT!F8*-1)-(INCOME_STATEMENT!E8*-1))/(INCOME_STATEMENT!E8*-1)</f>
        <v>0.23169943558000258</v>
      </c>
      <c r="G8" s="73">
        <f>((INCOME_STATEMENT!G8*-1)-(INCOME_STATEMENT!F8*-1))/(INCOME_STATEMENT!F8*-1)</f>
        <v>3.8128774981926725E-2</v>
      </c>
      <c r="H8" s="73">
        <f>((INCOME_STATEMENT!H8*-1)-(INCOME_STATEMENT!G8*-1))/(INCOME_STATEMENT!G8*-1)</f>
        <v>5.7046904483781115E-2</v>
      </c>
      <c r="I8" s="62"/>
    </row>
    <row r="9" spans="1:9">
      <c r="C9" s="53" t="s">
        <v>152</v>
      </c>
      <c r="D9" s="88">
        <f>(INCOME_STATEMENT!D20-26231)/26231</f>
        <v>0.15782852350272578</v>
      </c>
      <c r="E9" s="88">
        <f>(INCOME_STATEMENT!E20-INCOME_STATEMENT!D20)/INCOME_STATEMENT!D20</f>
        <v>0.12972901781304533</v>
      </c>
      <c r="F9" s="88">
        <f>(INCOME_STATEMENT!F20-INCOME_STATEMENT!E20)/INCOME_STATEMENT!E20</f>
        <v>0.11486112325493282</v>
      </c>
      <c r="G9" s="88">
        <f>(INCOME_STATEMENT!G20-INCOME_STATEMENT!F20)/INCOME_STATEMENT!F20</f>
        <v>4.3108857053225973E-2</v>
      </c>
      <c r="H9" s="88">
        <f>(INCOME_STATEMENT!H20-INCOME_STATEMENT!G20)/INCOME_STATEMENT!G20</f>
        <v>6.4660033583118212E-2</v>
      </c>
      <c r="I9" s="78"/>
    </row>
    <row r="10" spans="1:9">
      <c r="D10" s="73"/>
      <c r="E10" s="73"/>
      <c r="F10" s="73"/>
      <c r="G10" s="73"/>
      <c r="H10" s="73"/>
      <c r="I10" s="64"/>
    </row>
    <row r="11" spans="1:9">
      <c r="C11" t="s">
        <v>153</v>
      </c>
      <c r="D11" s="73">
        <f>((INCOME_STATEMENT!D9*-1)-((-8340)*-1))/((-8340)*-1)</f>
        <v>-1.2589928057553957E-2</v>
      </c>
      <c r="E11" s="73">
        <f>((INCOME_STATEMENT!E9*-1)-(INCOME_STATEMENT!D9*-1))/(INCOME_STATEMENT!D9*-1)</f>
        <v>8.2210078931390401E-2</v>
      </c>
      <c r="F11" s="73">
        <f>((INCOME_STATEMENT!F9*-1)-(INCOME_STATEMENT!E9*-1))/(INCOME_STATEMENT!E9*-1)</f>
        <v>0.15697935368043087</v>
      </c>
      <c r="G11" s="73">
        <f>((INCOME_STATEMENT!G9*-1)-(INCOME_STATEMENT!F9*-1))/(INCOME_STATEMENT!F9*-1)</f>
        <v>7.5356415478615074E-2</v>
      </c>
      <c r="H11" s="73">
        <f>((INCOME_STATEMENT!H9*-1)-(INCOME_STATEMENT!G9*-1))/(INCOME_STATEMENT!G9*-1)</f>
        <v>4.6266233766233768E-2</v>
      </c>
      <c r="I11" s="63"/>
    </row>
    <row r="12" spans="1:9">
      <c r="C12" s="53" t="s">
        <v>38</v>
      </c>
      <c r="D12" s="88">
        <f>(INCOME_STATEMENT!D10-17891)/17891</f>
        <v>0.23727013582248058</v>
      </c>
      <c r="E12" s="88">
        <f>(INCOME_STATEMENT!E10-INCOME_STATEMENT!D10)/INCOME_STATEMENT!D10</f>
        <v>0.14740693892302131</v>
      </c>
      <c r="F12" s="88">
        <f>(INCOME_STATEMENT!F10-INCOME_STATEMENT!E10)/INCOME_STATEMENT!E10</f>
        <v>0.100082680420489</v>
      </c>
      <c r="G12" s="88">
        <f>(INCOME_STATEMENT!G10-INCOME_STATEMENT!F10)/INCOME_STATEMENT!F10</f>
        <v>3.1208618159693641E-2</v>
      </c>
      <c r="H12" s="88">
        <f>(INCOME_STATEMENT!H10-INCOME_STATEMENT!G10)/INCOME_STATEMENT!G10</f>
        <v>7.1738451393468225E-2</v>
      </c>
      <c r="I12" s="78"/>
    </row>
    <row r="13" spans="1:9">
      <c r="D13" s="73"/>
      <c r="E13" s="73"/>
      <c r="F13" s="73"/>
      <c r="G13" s="73"/>
      <c r="H13" s="73"/>
      <c r="I13" s="63"/>
    </row>
    <row r="14" spans="1:9">
      <c r="C14" t="s">
        <v>154</v>
      </c>
      <c r="D14" s="73">
        <f>(INCOME_STATEMENT!D12-2700)/2700</f>
        <v>-8.6296296296296301E-2</v>
      </c>
      <c r="E14" s="73">
        <f>(INCOME_STATEMENT!E12-INCOME_STATEMENT!D12)/INCOME_STATEMENT!D12</f>
        <v>0.30685042561815973</v>
      </c>
      <c r="F14" s="73">
        <f>(INCOME_STATEMENT!F12-INCOME_STATEMENT!E12)/INCOME_STATEMENT!E12</f>
        <v>0.19696029776674939</v>
      </c>
      <c r="G14" s="73">
        <f>(INCOME_STATEMENT!G12-INCOME_STATEMENT!F12)/INCOME_STATEMENT!F12</f>
        <v>0.92200051826898155</v>
      </c>
      <c r="H14" s="73">
        <f>(INCOME_STATEMENT!H12-INCOME_STATEMENT!G12)/INCOME_STATEMENT!G12</f>
        <v>-0.35526493191317243</v>
      </c>
      <c r="I14" s="78"/>
    </row>
    <row r="15" spans="1:9">
      <c r="C15" t="s">
        <v>155</v>
      </c>
      <c r="D15" s="73">
        <f>((INCOME_STATEMENT!D14*-1)-((-114)*-1))/((-114)*-1)</f>
        <v>0.10526315789473684</v>
      </c>
      <c r="E15" s="73">
        <f>((INCOME_STATEMENT!E14*-1)-(INCOME_STATEMENT!D14*-1))/(INCOME_STATEMENT!D14*-1)</f>
        <v>1.5873015873015872E-2</v>
      </c>
      <c r="F15" s="73">
        <f>((INCOME_STATEMENT!F14*-1)-(INCOME_STATEMENT!E14*-1))/(INCOME_STATEMENT!E14*-1)</f>
        <v>0.2265625</v>
      </c>
      <c r="G15" s="73">
        <f>((INCOME_STATEMENT!G14*-1)-(INCOME_STATEMENT!F14*-1))/(INCOME_STATEMENT!F14*-1)</f>
        <v>0.76433121019108285</v>
      </c>
      <c r="H15" s="73">
        <f>((INCOME_STATEMENT!H14*-1)-(INCOME_STATEMENT!G14*-1))/(INCOME_STATEMENT!G14*-1)</f>
        <v>-0.20216606498194944</v>
      </c>
      <c r="I15" s="78"/>
    </row>
    <row r="16" spans="1:9">
      <c r="C16" t="s">
        <v>156</v>
      </c>
      <c r="D16" s="73">
        <f>((INCOME_STATEMENT!D15*-1)-((-4934)*-1))/((-4934)*-1)</f>
        <v>0.30299959464937171</v>
      </c>
      <c r="E16" s="73">
        <f>((INCOME_STATEMENT!E15*-1)-(INCOME_STATEMENT!D15*-1))/(INCOME_STATEMENT!D15*-1)</f>
        <v>0.12925804946336911</v>
      </c>
      <c r="F16" s="73">
        <f>((INCOME_STATEMENT!F15*-1)-(INCOME_STATEMENT!E15*-1))/(INCOME_STATEMENT!E15*-1)</f>
        <v>0.15358126721763085</v>
      </c>
      <c r="G16" s="73">
        <f>((INCOME_STATEMENT!G15*-1)-(INCOME_STATEMENT!F15*-1))/(INCOME_STATEMENT!F15*-1)</f>
        <v>4.1074626865671642E-2</v>
      </c>
      <c r="H16" s="73">
        <f>((INCOME_STATEMENT!H15*-1)-(INCOME_STATEMENT!G15*-1))/(INCOME_STATEMENT!G15*-1)</f>
        <v>0.13235462782429178</v>
      </c>
      <c r="I16" s="64"/>
    </row>
    <row r="17" spans="3:10">
      <c r="C17" s="53" t="s">
        <v>157</v>
      </c>
      <c r="D17" s="88">
        <f>(INCOME_STATEMENT!D16-15543)/15543</f>
        <v>0.16116579810847326</v>
      </c>
      <c r="E17" s="88">
        <f>(INCOME_STATEMENT!E16-INCOME_STATEMENT!D16)/INCOME_STATEMENT!D16</f>
        <v>0.17658466312056736</v>
      </c>
      <c r="F17" s="88">
        <f>(INCOME_STATEMENT!F16-INCOME_STATEMENT!E16)/INCOME_STATEMENT!E16</f>
        <v>9.5738168118672001E-2</v>
      </c>
      <c r="G17" s="88">
        <f>(INCOME_STATEMENT!G16-INCOME_STATEMENT!F16)/INCOME_STATEMENT!F16</f>
        <v>0.1704486848891181</v>
      </c>
      <c r="H17" s="88">
        <f>(INCOME_STATEMENT!H16-INCOME_STATEMENT!G16)/INCOME_STATEMENT!G16</f>
        <v>-6.117353308364544E-2</v>
      </c>
    </row>
    <row r="20" spans="3:10">
      <c r="C20" s="59" t="s">
        <v>51</v>
      </c>
    </row>
    <row r="21" spans="3:10">
      <c r="C21" t="s">
        <v>52</v>
      </c>
      <c r="D21" s="73">
        <f>(BALANCE_SHEET_!D8-13562)/13562</f>
        <v>0.29862852086712877</v>
      </c>
      <c r="E21" s="73">
        <f>(BALANCE_SHEET_!E8-BALANCE_SHEET_!D8)/BALANCE_SHEET_!D8</f>
        <v>-0.30331592096297977</v>
      </c>
      <c r="F21" s="73">
        <f>(BALANCE_SHEET_!F8-BALANCE_SHEET_!E8)/BALANCE_SHEET_!E8</f>
        <v>-0.46748166259168705</v>
      </c>
      <c r="G21" s="73">
        <f>(BALANCE_SHEET_!G8-BALANCE_SHEET_!F8)/BALANCE_SHEET_!F8</f>
        <v>0.25359657177838996</v>
      </c>
      <c r="H21" s="73">
        <f>(BALANCE_SHEET_!H8-BALANCE_SHEET_!G8)/BALANCE_SHEET_!G8</f>
        <v>0.74154559882798188</v>
      </c>
      <c r="J21" s="61"/>
    </row>
    <row r="22" spans="3:10">
      <c r="C22" t="s">
        <v>53</v>
      </c>
      <c r="D22" s="73">
        <f>(BALANCE_SHEET_!D9-15459)/15459</f>
        <v>6.0482566789572416E-2</v>
      </c>
      <c r="E22" s="73">
        <f>(BALANCE_SHEET_!E9-BALANCE_SHEET_!D9)/BALANCE_SHEET_!D9</f>
        <v>0.15688666585336097</v>
      </c>
      <c r="F22" s="73">
        <f>(BALANCE_SHEET_!F9-BALANCE_SHEET_!E9)/BALANCE_SHEET_!E9</f>
        <v>9.5275756617104287E-2</v>
      </c>
      <c r="G22" s="73">
        <f>(BALANCE_SHEET_!G9-BALANCE_SHEET_!F9)/BALANCE_SHEET_!F9</f>
        <v>0.2108024839936456</v>
      </c>
      <c r="H22" s="73">
        <f>(BALANCE_SHEET_!H9-BALANCE_SHEET_!G9)/BALANCE_SHEET_!G9</f>
        <v>5.0135178117048346E-2</v>
      </c>
      <c r="J22" s="61"/>
    </row>
    <row r="23" spans="3:10">
      <c r="C23" t="s">
        <v>54</v>
      </c>
      <c r="D23" s="73">
        <f>(BALANCE_SHEET_!D10-4006)/4006</f>
        <v>-0.49151273090364456</v>
      </c>
      <c r="E23" s="73">
        <f>(BALANCE_SHEET_!E10-BALANCE_SHEET_!D10)/BALANCE_SHEET_!D10</f>
        <v>1.6838487972508591</v>
      </c>
      <c r="F23" s="73">
        <f>(BALANCE_SHEET_!F10-BALANCE_SHEET_!E10)/BALANCE_SHEET_!E10</f>
        <v>-0.18126943479056154</v>
      </c>
      <c r="G23" s="73">
        <f>(BALANCE_SHEET_!G10-BALANCE_SHEET_!F10)/BALANCE_SHEET_!F10</f>
        <v>1.5261394101876675</v>
      </c>
      <c r="H23" s="73">
        <f>(BALANCE_SHEET_!H10-BALANCE_SHEET_!G10)/BALANCE_SHEET_!G10</f>
        <v>-1.4150526222693907E-2</v>
      </c>
      <c r="J23" s="61"/>
    </row>
    <row r="24" spans="3:10">
      <c r="C24" t="s">
        <v>55</v>
      </c>
      <c r="D24" s="73">
        <f>(BALANCE_SHEET_!D11-4705)/4705</f>
        <v>0.1594048884165781</v>
      </c>
      <c r="E24" s="73">
        <f>(BALANCE_SHEET_!E11-BALANCE_SHEET_!D11)/BALANCE_SHEET_!D11</f>
        <v>0.24637946837763519</v>
      </c>
      <c r="F24" s="73">
        <f>(BALANCE_SHEET_!F11-BALANCE_SHEET_!E11)/BALANCE_SHEET_!E11</f>
        <v>0.37946756876011178</v>
      </c>
      <c r="G24" s="73">
        <f>(BALANCE_SHEET_!G11-BALANCE_SHEET_!F11)/BALANCE_SHEET_!F11</f>
        <v>0.10214308561680349</v>
      </c>
      <c r="H24" s="73">
        <f>(BALANCE_SHEET_!H11-BALANCE_SHEET_!G11)/BALANCE_SHEET_!G11</f>
        <v>0.23594853439102254</v>
      </c>
      <c r="J24" s="63"/>
    </row>
    <row r="25" spans="3:10">
      <c r="C25" t="s">
        <v>56</v>
      </c>
      <c r="D25" s="73">
        <f>(BALANCE_SHEET_!D12-6088)/6088</f>
        <v>0.11432325886990802</v>
      </c>
      <c r="E25" s="73">
        <f>(BALANCE_SHEET_!E12-BALANCE_SHEET_!D12)/BALANCE_SHEET_!D12</f>
        <v>0.31706957547169812</v>
      </c>
      <c r="F25" s="73">
        <f>(BALANCE_SHEET_!F12-BALANCE_SHEET_!E12)/BALANCE_SHEET_!E12</f>
        <v>0.22216004476776721</v>
      </c>
      <c r="G25" s="73">
        <f>(BALANCE_SHEET_!G12-BALANCE_SHEET_!F12)/BALANCE_SHEET_!F12</f>
        <v>0.46199633699633702</v>
      </c>
      <c r="H25" s="73">
        <f>(BALANCE_SHEET_!H12-BALANCE_SHEET_!G12)/BALANCE_SHEET_!G12</f>
        <v>-0.21284058878797368</v>
      </c>
      <c r="J25" s="63"/>
    </row>
    <row r="26" spans="3:10">
      <c r="C26" s="53" t="s">
        <v>57</v>
      </c>
      <c r="D26" s="88">
        <f>(BALANCE_SHEET_!D13-43820)/43820</f>
        <v>0.1018256503879507</v>
      </c>
      <c r="E26" s="88">
        <f>(BALANCE_SHEET_!E13-BALANCE_SHEET_!D13)/BALANCE_SHEET_!D13</f>
        <v>8.6056915620728217E-2</v>
      </c>
      <c r="F26" s="88">
        <f>(BALANCE_SHEET_!F13-BALANCE_SHEET_!E13)/BALANCE_SHEET_!E13</f>
        <v>-6.7700287964605147E-3</v>
      </c>
      <c r="G26" s="88">
        <f>(BALANCE_SHEET_!G13-BALANCE_SHEET_!F13)/BALANCE_SHEET_!F13</f>
        <v>0.36231327521984563</v>
      </c>
      <c r="H26" s="88">
        <f>(BALANCE_SHEET_!H13-BALANCE_SHEET_!G13)/BALANCE_SHEET_!G13</f>
        <v>8.7608524072612465E-2</v>
      </c>
      <c r="J26" s="64"/>
    </row>
    <row r="27" spans="3:10">
      <c r="D27" s="73"/>
      <c r="E27" s="73"/>
      <c r="F27" s="73"/>
      <c r="G27" s="73"/>
      <c r="H27" s="73"/>
      <c r="J27" s="63"/>
    </row>
    <row r="28" spans="3:10">
      <c r="C28" t="s">
        <v>58</v>
      </c>
      <c r="D28" s="73">
        <f>(BALANCE_SHEET_!D15-14919)/14919</f>
        <v>3.9278772035659229E-2</v>
      </c>
      <c r="E28" s="73">
        <f>(BALANCE_SHEET_!E15-BALANCE_SHEET_!D15)/BALANCE_SHEET_!D15</f>
        <v>-1.0061270557884553E-2</v>
      </c>
      <c r="F28" s="73">
        <f>(BALANCE_SHEET_!F15-BALANCE_SHEET_!E15)/BALANCE_SHEET_!E15</f>
        <v>2.3258844224379439E-2</v>
      </c>
      <c r="G28" s="73">
        <f>(BALANCE_SHEET_!G15-BALANCE_SHEET_!F15)/BALANCE_SHEET_!F15</f>
        <v>-7.0164268432446206E-2</v>
      </c>
      <c r="H28" s="73">
        <f>(BALANCE_SHEET_!H15-BALANCE_SHEET_!G15)/BALANCE_SHEET_!G15</f>
        <v>-3.1977540399890439E-2</v>
      </c>
      <c r="J28" s="63"/>
    </row>
    <row r="29" spans="3:10">
      <c r="C29" t="s">
        <v>59</v>
      </c>
      <c r="D29" s="73">
        <f>(BALANCE_SHEET_!D16-13916)/13916</f>
        <v>0.58939350388042544</v>
      </c>
      <c r="E29" s="73">
        <f>(BALANCE_SHEET_!E16-BALANCE_SHEET_!D16)/BALANCE_SHEET_!D16</f>
        <v>3.3954245410977482E-2</v>
      </c>
      <c r="F29" s="73">
        <f>(BALANCE_SHEET_!F16-BALANCE_SHEET_!E16)/BALANCE_SHEET_!E16</f>
        <v>3.5725217543399364E-2</v>
      </c>
      <c r="G29" s="73">
        <f>(BALANCE_SHEET_!G16-BALANCE_SHEET_!F16)/BALANCE_SHEET_!F16</f>
        <v>-1.410115680148611E-2</v>
      </c>
      <c r="H29" s="73">
        <f>(BALANCE_SHEET_!H16-BALANCE_SHEET_!G16)/BALANCE_SHEET_!G16</f>
        <v>0.17210517300445358</v>
      </c>
      <c r="J29" s="61"/>
    </row>
    <row r="30" spans="3:10">
      <c r="C30" t="s">
        <v>55</v>
      </c>
      <c r="D30" s="73">
        <f>(BALANCE_SHEET_!D17-911)/911</f>
        <v>-0.29418221734357847</v>
      </c>
      <c r="E30" s="73">
        <f>(BALANCE_SHEET_!E17-BALANCE_SHEET_!D17)/BALANCE_SHEET_!D17</f>
        <v>0.18351477449455678</v>
      </c>
      <c r="F30" s="73">
        <f>(BALANCE_SHEET_!F17-BALANCE_SHEET_!E17)/BALANCE_SHEET_!E17</f>
        <v>0.81340341655716164</v>
      </c>
      <c r="G30" s="73">
        <f>(BALANCE_SHEET_!G17-BALANCE_SHEET_!F17)/BALANCE_SHEET_!F17</f>
        <v>0.29710144927536231</v>
      </c>
      <c r="H30" s="73">
        <f>(BALANCE_SHEET_!H17-BALANCE_SHEET_!G17)/BALANCE_SHEET_!G17</f>
        <v>0.32737430167597764</v>
      </c>
      <c r="J30" s="63"/>
    </row>
    <row r="31" spans="3:10">
      <c r="C31" t="s">
        <v>60</v>
      </c>
      <c r="D31" s="73">
        <f>(BALANCE_SHEET_!D18-7475)/7475</f>
        <v>-1.1237458193979933E-2</v>
      </c>
      <c r="E31" s="73">
        <f>(BALANCE_SHEET_!E18-BALANCE_SHEET_!D18)/BALANCE_SHEET_!D18</f>
        <v>7.847381951021512E-2</v>
      </c>
      <c r="F31" s="73">
        <f>(BALANCE_SHEET_!F18-BALANCE_SHEET_!E18)/BALANCE_SHEET_!E18</f>
        <v>6.4232844059716479E-2</v>
      </c>
      <c r="G31" s="73">
        <f>(BALANCE_SHEET_!G18-BALANCE_SHEET_!F18)/BALANCE_SHEET_!F18</f>
        <v>-0.49876223034303901</v>
      </c>
      <c r="H31" s="73">
        <f>(BALANCE_SHEET_!H18-BALANCE_SHEET_!G18)/BALANCE_SHEET_!G18</f>
        <v>-8.6547507055503292E-2</v>
      </c>
      <c r="J31" s="63"/>
    </row>
    <row r="32" spans="3:10">
      <c r="C32" s="53" t="s">
        <v>61</v>
      </c>
      <c r="D32" s="88">
        <f>(BALANCE_SHEET_!D19-37221)/37221</f>
        <v>0.22664624808575803</v>
      </c>
      <c r="E32" s="88">
        <f>(BALANCE_SHEET_!E19-BALANCE_SHEET_!D19)/BALANCE_SHEET_!D19</f>
        <v>2.8319863328733819E-2</v>
      </c>
      <c r="F32" s="88">
        <f>(BALANCE_SHEET_!F19-BALANCE_SHEET_!E19)/BALANCE_SHEET_!E19</f>
        <v>4.9094781682641107E-2</v>
      </c>
      <c r="G32" s="88">
        <f>(BALANCE_SHEET_!G19-BALANCE_SHEET_!F19)/BALANCE_SHEET_!F19</f>
        <v>-0.10673028118972692</v>
      </c>
      <c r="H32" s="88">
        <f>(BALANCE_SHEET_!H19-BALANCE_SHEET_!G19)/BALANCE_SHEET_!G19</f>
        <v>8.5685712986953946E-2</v>
      </c>
      <c r="J32" s="64"/>
    </row>
    <row r="33" spans="3:10">
      <c r="D33" s="73"/>
      <c r="E33" s="73"/>
      <c r="F33" s="73"/>
      <c r="G33" s="73"/>
      <c r="H33" s="73"/>
      <c r="J33" s="63"/>
    </row>
    <row r="34" spans="3:10">
      <c r="C34" s="65" t="s">
        <v>62</v>
      </c>
      <c r="D34" s="90">
        <f>(BALANCE_SHEET_!D21-81041)/81041</f>
        <v>0.15915400846485112</v>
      </c>
      <c r="E34" s="90">
        <f>(BALANCE_SHEET_!E21-BALANCE_SHEET_!D21)/BALANCE_SHEET_!D21</f>
        <v>5.7995081914859643E-2</v>
      </c>
      <c r="F34" s="90">
        <f>(BALANCE_SHEET_!F21-BALANCE_SHEET_!E21)/BALANCE_SHEET_!E21</f>
        <v>1.9620272269009024E-2</v>
      </c>
      <c r="G34" s="90">
        <f>(BALANCE_SHEET_!G21-BALANCE_SHEET_!F21)/BALANCE_SHEET_!F21</f>
        <v>0.13433395502136436</v>
      </c>
      <c r="H34" s="90">
        <f>(BALANCE_SHEET_!H21-BALANCE_SHEET_!G21)/BALANCE_SHEET_!G21</f>
        <v>8.6872553284036536E-2</v>
      </c>
      <c r="J34" s="286"/>
    </row>
    <row r="35" spans="3:10">
      <c r="J35" s="285"/>
    </row>
    <row r="36" spans="3:10">
      <c r="C36" s="59" t="s">
        <v>64</v>
      </c>
      <c r="J36" s="285"/>
    </row>
    <row r="37" spans="3:10">
      <c r="C37" t="s">
        <v>65</v>
      </c>
      <c r="D37" s="73">
        <f>(BALANCE_SHEET_!D24-1529)/1529</f>
        <v>2.1582733812949641E-2</v>
      </c>
      <c r="E37" s="73">
        <f>(BALANCE_SHEET_!E24-BALANCE_SHEET_!D24)/BALANCE_SHEET_!D24</f>
        <v>0.7087067861715749</v>
      </c>
      <c r="F37" s="73">
        <f>(BALANCE_SHEET_!F24-BALANCE_SHEET_!E24)/BALANCE_SHEET_!E24</f>
        <v>-9.1045335331584862E-2</v>
      </c>
      <c r="G37" s="73">
        <f>(BALANCE_SHEET_!G24-BALANCE_SHEET_!F24)/BALANCE_SHEET_!F24</f>
        <v>2.7617477328936522E-2</v>
      </c>
      <c r="H37" s="73">
        <f>(BALANCE_SHEET_!H24-BALANCE_SHEET_!G24)/BALANCE_SHEET_!G24</f>
        <v>9.4263939029281985E-2</v>
      </c>
      <c r="J37" s="285"/>
    </row>
    <row r="38" spans="3:10">
      <c r="C38" t="s">
        <v>66</v>
      </c>
      <c r="D38" s="73">
        <f>(BALANCE_SHEET_!D25-8326)/8326</f>
        <v>6.2454960365121305E-2</v>
      </c>
      <c r="E38" s="73">
        <f>(BALANCE_SHEET_!E25-BALANCE_SHEET_!D25)/BALANCE_SHEET_!D25</f>
        <v>0.33698846936468463</v>
      </c>
      <c r="F38" s="73">
        <f>(BALANCE_SHEET_!F25-BALANCE_SHEET_!E25)/BALANCE_SHEET_!E25</f>
        <v>0.13384628392660861</v>
      </c>
      <c r="G38" s="73">
        <f>(BALANCE_SHEET_!G25-BALANCE_SHEET_!F25)/BALANCE_SHEET_!F25</f>
        <v>-6.8903803131991057E-2</v>
      </c>
      <c r="H38" s="73">
        <f>(BALANCE_SHEET_!H25-BALANCE_SHEET_!G25)/BALANCE_SHEET_!G25</f>
        <v>0.19061348710555823</v>
      </c>
      <c r="J38" s="285"/>
    </row>
    <row r="39" spans="3:10">
      <c r="C39" t="s">
        <v>67</v>
      </c>
      <c r="D39" s="73">
        <f>(BALANCE_SHEET_!D26-5365)/5365</f>
        <v>0.34464119291705497</v>
      </c>
      <c r="E39" s="73">
        <f>(BALANCE_SHEET_!E26-BALANCE_SHEET_!D26)/BALANCE_SHEET_!D26</f>
        <v>0.45273080121985027</v>
      </c>
      <c r="F39" s="73">
        <f>(BALANCE_SHEET_!F26-BALANCE_SHEET_!E26)/BALANCE_SHEET_!E26</f>
        <v>0.10744274809160305</v>
      </c>
      <c r="G39" s="73">
        <f>(BALANCE_SHEET_!G26-BALANCE_SHEET_!F26)/BALANCE_SHEET_!F26</f>
        <v>4.3167327244528694E-2</v>
      </c>
      <c r="H39" s="73">
        <f>(BALANCE_SHEET_!H26-BALANCE_SHEET_!G26)/BALANCE_SHEET_!G26</f>
        <v>0.17023209713388948</v>
      </c>
      <c r="J39" s="285"/>
    </row>
    <row r="40" spans="3:10">
      <c r="C40" s="53" t="s">
        <v>68</v>
      </c>
      <c r="D40" s="88">
        <f>(BALANCE_SHEET_!D27-15220)/15220</f>
        <v>0.1578186596583443</v>
      </c>
      <c r="E40" s="88">
        <f>(BALANCE_SHEET_!E27-BALANCE_SHEET_!D27)/BALANCE_SHEET_!D27</f>
        <v>0.4173192600158892</v>
      </c>
      <c r="F40" s="88">
        <f>(BALANCE_SHEET_!F27-BALANCE_SHEET_!E27)/BALANCE_SHEET_!E27</f>
        <v>9.8734785393978217E-2</v>
      </c>
      <c r="G40" s="88">
        <f>(BALANCE_SHEET_!G27-BALANCE_SHEET_!F27)/BALANCE_SHEET_!F27</f>
        <v>-1.2972815392464107E-2</v>
      </c>
      <c r="H40" s="88">
        <f>(BALANCE_SHEET_!H27-BALANCE_SHEET_!G27)/BALANCE_SHEET_!G27</f>
        <v>0.17263530975411651</v>
      </c>
      <c r="J40" s="286"/>
    </row>
    <row r="41" spans="3:10">
      <c r="D41" s="88"/>
      <c r="E41" s="88"/>
      <c r="F41" s="88"/>
      <c r="G41" s="88"/>
      <c r="H41" s="88"/>
      <c r="J41" s="285"/>
    </row>
    <row r="42" spans="3:10">
      <c r="C42" t="s">
        <v>69</v>
      </c>
      <c r="D42" s="73">
        <f>(BALANCE_SHEET_!D29-2824)/2824</f>
        <v>0.28399433427762039</v>
      </c>
      <c r="E42" s="73">
        <f>(BALANCE_SHEET_!E29-BALANCE_SHEET_!D29)/BALANCE_SHEET_!D29</f>
        <v>7.6668505239933807E-2</v>
      </c>
      <c r="F42" s="73">
        <f>(BALANCE_SHEET_!F29-BALANCE_SHEET_!E29)/BALANCE_SHEET_!E29</f>
        <v>0.24743852459016394</v>
      </c>
      <c r="G42" s="73">
        <f>(BALANCE_SHEET_!G29-BALANCE_SHEET_!F29)/BALANCE_SHEET_!F29</f>
        <v>3.2648870636550309E-2</v>
      </c>
      <c r="H42" s="73">
        <f>(BALANCE_SHEET_!H29-BALANCE_SHEET_!G29)/BALANCE_SHEET_!G29</f>
        <v>-6.8403261085702924E-2</v>
      </c>
      <c r="J42" s="285"/>
    </row>
    <row r="43" spans="3:10">
      <c r="C43" t="s">
        <v>70</v>
      </c>
      <c r="D43" s="73">
        <f>(BALANCE_SHEET_!D30-763)/763</f>
        <v>0.52031454783748365</v>
      </c>
      <c r="E43" s="73">
        <f>(BALANCE_SHEET_!E30-BALANCE_SHEET_!D30)/BALANCE_SHEET_!D30</f>
        <v>3.5344827586206898E-2</v>
      </c>
      <c r="F43" s="73">
        <f>(BALANCE_SHEET_!F30-BALANCE_SHEET_!E30)/BALANCE_SHEET_!E30</f>
        <v>6.5778517901748546E-2</v>
      </c>
      <c r="G43" s="73">
        <f>(BALANCE_SHEET_!G30-BALANCE_SHEET_!F30)/BALANCE_SHEET_!F30</f>
        <v>0.29609374999999999</v>
      </c>
      <c r="H43" s="73">
        <f>(BALANCE_SHEET_!H30-BALANCE_SHEET_!G30)/BALANCE_SHEET_!G30</f>
        <v>-0.3025919228450874</v>
      </c>
      <c r="J43" s="285"/>
    </row>
    <row r="44" spans="3:10">
      <c r="C44" s="53" t="s">
        <v>71</v>
      </c>
      <c r="D44" s="88">
        <f>(BALANCE_SHEET_!D31-3587)/3587</f>
        <v>0.3342626149986061</v>
      </c>
      <c r="E44" s="88">
        <f>(BALANCE_SHEET_!E31-BALANCE_SHEET_!D31)/BALANCE_SHEET_!D31</f>
        <v>6.6652737150020888E-2</v>
      </c>
      <c r="F44" s="88">
        <f>(BALANCE_SHEET_!F31-BALANCE_SHEET_!E31)/BALANCE_SHEET_!E31</f>
        <v>0.20470127326150833</v>
      </c>
      <c r="G44" s="88">
        <f>(BALANCE_SHEET_!G31-BALANCE_SHEET_!F31)/BALANCE_SHEET_!F31</f>
        <v>8.7479674796747967E-2</v>
      </c>
      <c r="H44" s="88">
        <f>(BALANCE_SHEET_!H31-BALANCE_SHEET_!G31)/BALANCE_SHEET_!G31</f>
        <v>-0.12649521531100477</v>
      </c>
      <c r="J44" s="286"/>
    </row>
    <row r="45" spans="3:10">
      <c r="D45" s="88"/>
      <c r="E45" s="88"/>
      <c r="F45" s="88"/>
      <c r="G45" s="88"/>
      <c r="H45" s="88"/>
      <c r="J45" s="285"/>
    </row>
    <row r="46" spans="3:10">
      <c r="C46" s="53" t="s">
        <v>72</v>
      </c>
      <c r="D46" s="88">
        <f>(BALANCE_SHEET_!D33-18807)/18807</f>
        <v>0.19147126070080289</v>
      </c>
      <c r="E46" s="88">
        <f>(BALANCE_SHEET_!E33-BALANCE_SHEET_!D33)/BALANCE_SHEET_!D33</f>
        <v>0.34242234916101394</v>
      </c>
      <c r="F46" s="88">
        <f>(BALANCE_SHEET_!F33-BALANCE_SHEET_!E33)/BALANCE_SHEET_!E33</f>
        <v>0.11671819420896912</v>
      </c>
      <c r="G46" s="88">
        <f>(BALANCE_SHEET_!G33-BALANCE_SHEET_!F33)/BALANCE_SHEET_!F33</f>
        <v>5.4179566563467493E-3</v>
      </c>
      <c r="H46" s="88">
        <f>(BALANCE_SHEET_!H33-BALANCE_SHEET_!G33)/BALANCE_SHEET_!G33</f>
        <v>0.11340084088351987</v>
      </c>
      <c r="J46" s="286"/>
    </row>
    <row r="47" spans="3:10">
      <c r="D47" s="88"/>
      <c r="E47" s="88"/>
      <c r="F47" s="88"/>
      <c r="G47" s="88"/>
      <c r="H47" s="88"/>
      <c r="J47" s="285"/>
    </row>
    <row r="48" spans="3:10">
      <c r="C48" t="s">
        <v>74</v>
      </c>
      <c r="D48" s="73">
        <f>(BALANCE_SHEET_!D35-2129)/2129</f>
        <v>4.6970408642555192E-4</v>
      </c>
      <c r="E48" s="73">
        <f>(BALANCE_SHEET_!E35-BALANCE_SHEET_!D35)/BALANCE_SHEET_!D35</f>
        <v>-1.2676056338028169E-2</v>
      </c>
      <c r="F48" s="73">
        <f>(BALANCE_SHEET_!F35-BALANCE_SHEET_!E35)/BALANCE_SHEET_!E35</f>
        <v>-1.378982406086543E-2</v>
      </c>
      <c r="G48" s="73">
        <f>(BALANCE_SHEET_!G35-BALANCE_SHEET_!F35)/BALANCE_SHEET_!F35</f>
        <v>4.8216007714561236E-4</v>
      </c>
      <c r="H48" s="73">
        <f>(BALANCE_SHEET_!H35-BALANCE_SHEET_!G35)/BALANCE_SHEET_!G35</f>
        <v>4.8192771084337347E-4</v>
      </c>
      <c r="J48" s="287"/>
    </row>
    <row r="49" spans="3:10">
      <c r="C49" t="s">
        <v>75</v>
      </c>
      <c r="D49" s="73">
        <f>(BALANCE_SHEET_!D36-60105)/60105</f>
        <v>0.15466267365443806</v>
      </c>
      <c r="E49" s="73">
        <f>(BALANCE_SHEET_!E36-BALANCE_SHEET_!D36)/BALANCE_SHEET_!D36</f>
        <v>-3.1671013385974264E-2</v>
      </c>
      <c r="F49" s="73">
        <f>(BALANCE_SHEET_!F36-BALANCE_SHEET_!E36)/BALANCE_SHEET_!E36</f>
        <v>-2.2796601342201985E-2</v>
      </c>
      <c r="G49" s="73">
        <f>(BALANCE_SHEET_!G36-BALANCE_SHEET_!F36)/BALANCE_SHEET_!F36</f>
        <v>0.20450427129174217</v>
      </c>
      <c r="H49" s="73">
        <f>(BALANCE_SHEET_!H36-BALANCE_SHEET_!G36)/BALANCE_SHEET_!G36</f>
        <v>7.7811911353838761E-2</v>
      </c>
      <c r="J49" s="287"/>
    </row>
    <row r="50" spans="3:10">
      <c r="C50" s="53" t="s">
        <v>76</v>
      </c>
      <c r="D50" s="88">
        <f>(BALANCE_SHEET_!D37-62234)/62234</f>
        <v>0.14938779445319278</v>
      </c>
      <c r="E50" s="88">
        <f>(BALANCE_SHEET_!E37-BALANCE_SHEET_!D37)/BALANCE_SHEET_!D37</f>
        <v>-3.1105394863765359E-2</v>
      </c>
      <c r="F50" s="88">
        <f>(BALANCE_SHEET_!F37-BALANCE_SHEET_!E37)/BALANCE_SHEET_!E37</f>
        <v>-2.2523302455775836E-2</v>
      </c>
      <c r="G50" s="88">
        <f>(BALANCE_SHEET_!G37-BALANCE_SHEET_!F37)/BALANCE_SHEET_!F37</f>
        <v>0.19825817403498414</v>
      </c>
      <c r="H50" s="88">
        <f>(BALANCE_SHEET_!H37-BALANCE_SHEET_!G37)/BALANCE_SHEET_!G37</f>
        <v>7.5835222233172364E-2</v>
      </c>
      <c r="J50" s="288"/>
    </row>
    <row r="51" spans="3:10">
      <c r="D51" s="88"/>
      <c r="E51" s="88"/>
      <c r="F51" s="88"/>
      <c r="G51" s="88"/>
      <c r="H51" s="88"/>
      <c r="J51" s="285"/>
    </row>
    <row r="52" spans="3:10">
      <c r="C52" s="65" t="s">
        <v>77</v>
      </c>
      <c r="D52" s="90">
        <f>(BALANCE_SHEET_!D39-81041)/84041</f>
        <v>0.15347270974881308</v>
      </c>
      <c r="E52" s="90">
        <f>(BALANCE_SHEET_!E39-BALANCE_SHEET_!D39)/BALANCE_SHEET_!D39</f>
        <v>5.7995081914859643E-2</v>
      </c>
      <c r="F52" s="90">
        <f>(BALANCE_SHEET_!F39-BALANCE_SHEET_!E39)/BALANCE_SHEET_!E39</f>
        <v>1.9620272269009024E-2</v>
      </c>
      <c r="G52" s="90">
        <f>(BALANCE_SHEET_!G39-BALANCE_SHEET_!F39)/BALANCE_SHEET_!F39</f>
        <v>0.13433395502136436</v>
      </c>
      <c r="H52" s="90">
        <f>(BALANCE_SHEET_!H39-BALANCE_SHEET_!G39)/BALANCE_SHEET_!G39</f>
        <v>8.6872553284036536E-2</v>
      </c>
      <c r="J52" s="286"/>
    </row>
  </sheetData>
  <mergeCells count="1">
    <mergeCell ref="A1:C2"/>
  </mergeCells>
  <pageMargins left="0.70000000000000007" right="0.70000000000000007" top="0.75" bottom="0.75" header="0.30000000000000004" footer="0.30000000000000004"/>
  <pageSetup paperSize="0" orientation="landscape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EFAE-44F3-4CBC-BD9C-788CF6FC6B13}">
  <sheetPr>
    <pageSetUpPr fitToPage="1"/>
  </sheetPr>
  <dimension ref="A1:H82"/>
  <sheetViews>
    <sheetView topLeftCell="A31" zoomScale="72" workbookViewId="0">
      <selection activeCell="D1" sqref="D1:D1048576"/>
    </sheetView>
  </sheetViews>
  <sheetFormatPr defaultRowHeight="15" customHeight="1"/>
  <cols>
    <col min="1" max="2" width="8.85546875" customWidth="1"/>
    <col min="3" max="3" width="46.28515625" customWidth="1"/>
    <col min="4" max="8" width="10.42578125" bestFit="1" customWidth="1"/>
  </cols>
  <sheetData>
    <row r="1" spans="1:8" ht="14.45">
      <c r="A1" s="301" t="s">
        <v>158</v>
      </c>
      <c r="B1" s="301"/>
      <c r="C1" s="301"/>
    </row>
    <row r="2" spans="1:8" ht="14.45">
      <c r="A2" s="301"/>
      <c r="B2" s="301"/>
      <c r="C2" s="301"/>
    </row>
    <row r="3" spans="1:8" ht="14.45">
      <c r="A3" s="301"/>
      <c r="B3" s="301"/>
      <c r="C3" s="301"/>
    </row>
    <row r="4" spans="1:8" ht="14.45">
      <c r="D4" s="74" t="s">
        <v>34</v>
      </c>
      <c r="E4" s="74" t="s">
        <v>34</v>
      </c>
      <c r="F4" s="74" t="s">
        <v>34</v>
      </c>
      <c r="G4" s="74" t="s">
        <v>34</v>
      </c>
      <c r="H4" s="56" t="s">
        <v>34</v>
      </c>
    </row>
    <row r="5" spans="1:8" ht="14.45">
      <c r="A5" s="302" t="s">
        <v>159</v>
      </c>
      <c r="C5" s="75" t="s">
        <v>35</v>
      </c>
      <c r="D5" s="76">
        <v>2021</v>
      </c>
      <c r="E5" s="76">
        <v>2022</v>
      </c>
      <c r="F5" s="76">
        <v>2023</v>
      </c>
      <c r="G5" s="76">
        <v>2024</v>
      </c>
      <c r="H5" s="58">
        <v>2025</v>
      </c>
    </row>
    <row r="6" spans="1:8" ht="14.45">
      <c r="A6" s="302"/>
    </row>
    <row r="7" spans="1:8" ht="14.45">
      <c r="A7" s="302"/>
      <c r="C7" s="59" t="s">
        <v>51</v>
      </c>
    </row>
    <row r="8" spans="1:8" ht="14.45">
      <c r="A8" s="302"/>
      <c r="C8" t="s">
        <v>52</v>
      </c>
      <c r="D8" s="73">
        <f>BALANCE_SHEET_!D8/BALANCE_SHEET_!D$21</f>
        <v>0.18748336686573203</v>
      </c>
      <c r="E8" s="73">
        <f>BALANCE_SHEET_!E8/BALANCE_SHEET_!E$21</f>
        <v>0.12345679012345678</v>
      </c>
      <c r="F8" s="73">
        <f>BALANCE_SHEET_!F8/BALANCE_SHEET_!F$21</f>
        <v>6.4477930074898604E-2</v>
      </c>
      <c r="G8" s="73">
        <f>BALANCE_SHEET_!G8/BALANCE_SHEET_!G$21</f>
        <v>7.125706829056111E-2</v>
      </c>
      <c r="H8" s="73">
        <f>BALANCE_SHEET_!H8/BALANCE_SHEET_!H$21</f>
        <v>0.11417845937119805</v>
      </c>
    </row>
    <row r="9" spans="1:8" ht="14.45">
      <c r="A9" s="302"/>
      <c r="C9" t="s">
        <v>53</v>
      </c>
      <c r="D9" s="73">
        <f>BALANCE_SHEET_!D9/BALANCE_SHEET_!D$21</f>
        <v>0.17451750604115437</v>
      </c>
      <c r="E9" s="73">
        <f>BALANCE_SHEET_!E9/BALANCE_SHEET_!E$21</f>
        <v>0.19082978659180777</v>
      </c>
      <c r="F9" s="73">
        <f>BALANCE_SHEET_!F9/BALANCE_SHEET_!F$21</f>
        <v>0.20498929315057679</v>
      </c>
      <c r="G9" s="73">
        <f>BALANCE_SHEET_!G9/BALANCE_SHEET_!G$21</f>
        <v>0.21880817746846454</v>
      </c>
      <c r="H9" s="73">
        <f>BALANCE_SHEET_!H9/BALANCE_SHEET_!H$21</f>
        <v>0.21141224306845105</v>
      </c>
    </row>
    <row r="10" spans="1:8" ht="14.45">
      <c r="A10" s="302"/>
      <c r="C10" t="s">
        <v>54</v>
      </c>
      <c r="D10" s="73">
        <f>BALANCE_SHEET_!D10/BALANCE_SHEET_!D$21</f>
        <v>2.1684284482483315E-2</v>
      </c>
      <c r="E10" s="73">
        <f>BALANCE_SHEET_!E10/BALANCE_SHEET_!E$21</f>
        <v>5.5007194099831971E-2</v>
      </c>
      <c r="F10" s="73">
        <f>BALANCE_SHEET_!F10/BALANCE_SHEET_!F$21</f>
        <v>4.4169454394742298E-2</v>
      </c>
      <c r="G10" s="73">
        <f>BALANCE_SHEET_!G10/BALANCE_SHEET_!G$21</f>
        <v>9.8364506307090038E-2</v>
      </c>
      <c r="H10" s="73">
        <f>BALANCE_SHEET_!H10/BALANCE_SHEET_!H$21</f>
        <v>8.9221681500928476E-2</v>
      </c>
    </row>
    <row r="11" spans="1:8" ht="14.45">
      <c r="A11" s="302"/>
      <c r="C11" t="s">
        <v>55</v>
      </c>
      <c r="D11" s="73">
        <f>BALANCE_SHEET_!D11/BALANCE_SHEET_!D$21</f>
        <v>5.8069598356380203E-2</v>
      </c>
      <c r="E11" s="73">
        <f>BALANCE_SHEET_!E11/BALANCE_SHEET_!E$21</f>
        <v>6.8409349311278136E-2</v>
      </c>
      <c r="F11" s="73">
        <f>BALANCE_SHEET_!F11/BALANCE_SHEET_!F$21</f>
        <v>9.2552572110877571E-2</v>
      </c>
      <c r="G11" s="73">
        <f>BALANCE_SHEET_!G11/BALANCE_SHEET_!G$21</f>
        <v>8.9926054806437575E-2</v>
      </c>
      <c r="H11" s="73">
        <f>BALANCE_SHEET_!H11/BALANCE_SHEET_!H$21</f>
        <v>0.1022603573029391</v>
      </c>
    </row>
    <row r="12" spans="1:8" ht="14.45">
      <c r="A12" s="302"/>
      <c r="C12" t="s">
        <v>56</v>
      </c>
      <c r="D12" s="73">
        <f>BALANCE_SHEET_!D12/BALANCE_SHEET_!D$21</f>
        <v>7.2217077039355329E-2</v>
      </c>
      <c r="E12" s="73">
        <f>BALANCE_SHEET_!E12/BALANCE_SHEET_!E$21</f>
        <v>8.9901093704408019E-2</v>
      </c>
      <c r="F12" s="73">
        <f>BALANCE_SHEET_!F12/BALANCE_SHEET_!F$21</f>
        <v>0.10775925871103348</v>
      </c>
      <c r="G12" s="73">
        <f>BALANCE_SHEET_!G12/BALANCE_SHEET_!G$21</f>
        <v>0.13888647237929536</v>
      </c>
      <c r="H12" s="73">
        <f>BALANCE_SHEET_!H12/BALANCE_SHEET_!H$21</f>
        <v>0.1005875008004098</v>
      </c>
    </row>
    <row r="13" spans="1:8" ht="14.45">
      <c r="A13" s="302"/>
      <c r="C13" s="53" t="s">
        <v>57</v>
      </c>
      <c r="D13" s="88">
        <f t="shared" ref="D13:H13" si="0">SUM(D8:D12)</f>
        <v>0.51397183278510528</v>
      </c>
      <c r="E13" s="88">
        <f t="shared" si="0"/>
        <v>0.5276042138307826</v>
      </c>
      <c r="F13" s="88">
        <f t="shared" si="0"/>
        <v>0.51394850844212869</v>
      </c>
      <c r="G13" s="88">
        <f t="shared" si="0"/>
        <v>0.6172422792518486</v>
      </c>
      <c r="H13" s="88">
        <f t="shared" si="0"/>
        <v>0.61766024204392644</v>
      </c>
    </row>
    <row r="14" spans="1:8" ht="14.45">
      <c r="A14" s="302"/>
      <c r="D14" s="73"/>
      <c r="E14" s="73"/>
      <c r="F14" s="73"/>
      <c r="G14" s="73"/>
      <c r="H14" s="73"/>
    </row>
    <row r="15" spans="1:8" ht="14.45">
      <c r="A15" s="302"/>
      <c r="C15" t="s">
        <v>58</v>
      </c>
      <c r="D15" s="73">
        <f>BALANCE_SHEET_!D15/BALANCE_SHEET_!D$21</f>
        <v>0.16505391796804308</v>
      </c>
      <c r="E15" s="73">
        <f>BALANCE_SHEET_!E15/BALANCE_SHEET_!E$21</f>
        <v>0.15443669695231771</v>
      </c>
      <c r="F15" s="73">
        <f>BALANCE_SHEET_!F15/BALANCE_SHEET_!F$21</f>
        <v>0.1549878129409791</v>
      </c>
      <c r="G15" s="73">
        <f>BALANCE_SHEET_!G15/BALANCE_SHEET_!G$21</f>
        <v>0.12704654197477164</v>
      </c>
      <c r="H15" s="73">
        <f>BALANCE_SHEET_!H15/BALANCE_SHEET_!H$21</f>
        <v>0.11315393481462509</v>
      </c>
    </row>
    <row r="16" spans="1:8" ht="14.45">
      <c r="A16" s="302"/>
      <c r="C16" t="s">
        <v>59</v>
      </c>
      <c r="D16" s="73">
        <f>BALANCE_SHEET_!D16/BALANCE_SHEET_!D$21</f>
        <v>0.23545066479311041</v>
      </c>
      <c r="E16" s="73">
        <f>BALANCE_SHEET_!E16/BALANCE_SHEET_!E$21</f>
        <v>0.23010051616408583</v>
      </c>
      <c r="F16" s="73">
        <f>BALANCE_SHEET_!F16/BALANCE_SHEET_!F$21</f>
        <v>0.23373496353750359</v>
      </c>
      <c r="G16" s="73">
        <f>BALANCE_SHEET_!G16/BALANCE_SHEET_!G$21</f>
        <v>0.20314919530230535</v>
      </c>
      <c r="H16" s="73">
        <f>BALANCE_SHEET_!H16/BALANCE_SHEET_!H$21</f>
        <v>0.21908016904655184</v>
      </c>
    </row>
    <row r="17" spans="1:8" ht="14.45">
      <c r="A17" s="302"/>
      <c r="C17" t="s">
        <v>55</v>
      </c>
      <c r="D17" s="73">
        <f>BALANCE_SHEET_!D17/BALANCE_SHEET_!D$21</f>
        <v>6.8448674139601233E-3</v>
      </c>
      <c r="E17" s="73">
        <f>BALANCE_SHEET_!E17/BALANCE_SHEET_!E$21</f>
        <v>7.6569370239568555E-3</v>
      </c>
      <c r="F17" s="73">
        <f>BALANCE_SHEET_!F17/BALANCE_SHEET_!F$21</f>
        <v>1.3617928298647088E-2</v>
      </c>
      <c r="G17" s="73">
        <f>BALANCE_SHEET_!G17/BALANCE_SHEET_!G$21</f>
        <v>1.5571987820791649E-2</v>
      </c>
      <c r="H17" s="73">
        <f>BALANCE_SHEET_!H17/BALANCE_SHEET_!H$21</f>
        <v>1.9017737081385669E-2</v>
      </c>
    </row>
    <row r="18" spans="1:8" ht="14.45">
      <c r="A18" s="302"/>
      <c r="C18" t="s">
        <v>60</v>
      </c>
      <c r="D18" s="73">
        <f>BALANCE_SHEET_!D18/BALANCE_SHEET_!D$21</f>
        <v>7.8678717039781132E-2</v>
      </c>
      <c r="E18" s="73">
        <f>BALANCE_SHEET_!E18/BALANCE_SHEET_!E$21</f>
        <v>8.0201636028856896E-2</v>
      </c>
      <c r="F18" s="73">
        <f>BALANCE_SHEET_!F18/BALANCE_SHEET_!F$21</f>
        <v>8.3710786780741481E-2</v>
      </c>
      <c r="G18" s="73">
        <f>BALANCE_SHEET_!G18/BALANCE_SHEET_!G$21</f>
        <v>3.6989995650282728E-2</v>
      </c>
      <c r="H18" s="73">
        <f>BALANCE_SHEET_!H18/BALANCE_SHEET_!H$21</f>
        <v>3.1087917013510918E-2</v>
      </c>
    </row>
    <row r="19" spans="1:8" ht="14.45">
      <c r="A19" s="302"/>
      <c r="C19" s="53" t="s">
        <v>61</v>
      </c>
      <c r="D19" s="88">
        <f t="shared" ref="D19:H19" si="1">SUM(D15:D18)</f>
        <v>0.48602816721489478</v>
      </c>
      <c r="E19" s="88">
        <f t="shared" si="1"/>
        <v>0.47239578616921729</v>
      </c>
      <c r="F19" s="88">
        <f t="shared" si="1"/>
        <v>0.48605149155787131</v>
      </c>
      <c r="G19" s="88">
        <f t="shared" si="1"/>
        <v>0.38275772074815134</v>
      </c>
      <c r="H19" s="88">
        <f t="shared" si="1"/>
        <v>0.3823397579560735</v>
      </c>
    </row>
    <row r="20" spans="1:8" ht="14.45">
      <c r="A20" s="302"/>
      <c r="D20" s="73"/>
      <c r="E20" s="73"/>
      <c r="F20" s="73"/>
      <c r="G20" s="73"/>
      <c r="H20" s="73"/>
    </row>
    <row r="21" spans="1:8" thickBot="1">
      <c r="A21" s="302"/>
      <c r="C21" s="65" t="s">
        <v>62</v>
      </c>
      <c r="D21" s="91">
        <f t="shared" ref="D21:H21" si="2">D13+D19</f>
        <v>1</v>
      </c>
      <c r="E21" s="91">
        <f t="shared" si="2"/>
        <v>0.99999999999999989</v>
      </c>
      <c r="F21" s="91">
        <f t="shared" si="2"/>
        <v>1</v>
      </c>
      <c r="G21" s="91">
        <f t="shared" si="2"/>
        <v>1</v>
      </c>
      <c r="H21" s="91">
        <f t="shared" si="2"/>
        <v>1</v>
      </c>
    </row>
    <row r="22" spans="1:8" ht="14.45">
      <c r="A22" s="302"/>
    </row>
    <row r="23" spans="1:8" ht="14.45">
      <c r="A23" s="302"/>
      <c r="C23" s="59" t="s">
        <v>64</v>
      </c>
    </row>
    <row r="24" spans="1:8" ht="14.45">
      <c r="A24" s="302"/>
      <c r="C24" t="s">
        <v>65</v>
      </c>
      <c r="D24" s="73">
        <f>BALANCE_SHEET_!D24/BALANCE_SHEET_!D$39</f>
        <v>1.6627811665016659E-2</v>
      </c>
      <c r="E24" s="73">
        <f>BALANCE_SHEET_!E24/BALANCE_SHEET_!E$39</f>
        <v>2.6854618813325685E-2</v>
      </c>
      <c r="F24" s="73">
        <f>BALANCE_SHEET_!F24/BALANCE_SHEET_!F$39</f>
        <v>2.3939923226462202E-2</v>
      </c>
      <c r="G24" s="73">
        <f>BALANCE_SHEET_!G24/BALANCE_SHEET_!G$39</f>
        <v>2.1687690300130492E-2</v>
      </c>
      <c r="H24" s="73">
        <f>BALANCE_SHEET_!H24/BALANCE_SHEET_!H$39</f>
        <v>2.1835179611961325E-2</v>
      </c>
    </row>
    <row r="25" spans="1:8" ht="14.45">
      <c r="A25" s="302"/>
      <c r="C25" t="s">
        <v>66</v>
      </c>
      <c r="D25" s="73">
        <f>BALANCE_SHEET_!D25/BALANCE_SHEET_!D$39</f>
        <v>9.4167491670126363E-2</v>
      </c>
      <c r="E25" s="73">
        <f>BALANCE_SHEET_!E25/BALANCE_SHEET_!E$39</f>
        <v>0.1189994667310614</v>
      </c>
      <c r="F25" s="73">
        <f>BALANCE_SHEET_!F25/BALANCE_SHEET_!F$39</f>
        <v>0.13233073803250539</v>
      </c>
      <c r="G25" s="73">
        <f>BALANCE_SHEET_!G25/BALANCE_SHEET_!G$39</f>
        <v>0.10862113962592432</v>
      </c>
      <c r="H25" s="73">
        <f>BALANCE_SHEET_!H25/BALANCE_SHEET_!H$39</f>
        <v>0.11898892232823205</v>
      </c>
    </row>
    <row r="26" spans="1:8" ht="14.45">
      <c r="A26" s="302"/>
      <c r="C26" t="s">
        <v>67</v>
      </c>
      <c r="D26" s="73">
        <f>BALANCE_SHEET_!D26/BALANCE_SHEET_!D$39</f>
        <v>7.6794515589904092E-2</v>
      </c>
      <c r="E26" s="73">
        <f>BALANCE_SHEET_!E26/BALANCE_SHEET_!E$39</f>
        <v>0.10544638634831517</v>
      </c>
      <c r="F26" s="73">
        <f>BALANCE_SHEET_!F26/BALANCE_SHEET_!F$39</f>
        <v>0.11452875060441892</v>
      </c>
      <c r="G26" s="73">
        <f>BALANCE_SHEET_!G26/BALANCE_SHEET_!G$39</f>
        <v>0.10532405393649413</v>
      </c>
      <c r="H26" s="73">
        <f>BALANCE_SHEET_!H26/BALANCE_SHEET_!H$39</f>
        <v>0.1134020618556701</v>
      </c>
    </row>
    <row r="27" spans="1:8" ht="14.45">
      <c r="A27" s="302"/>
      <c r="C27" s="53" t="s">
        <v>68</v>
      </c>
      <c r="D27" s="88">
        <f t="shared" ref="D27:H27" si="3">SUM(D24:D26)</f>
        <v>0.18758981892504711</v>
      </c>
      <c r="E27" s="88">
        <f t="shared" si="3"/>
        <v>0.25130047189270227</v>
      </c>
      <c r="F27" s="88">
        <f t="shared" si="3"/>
        <v>0.27079941186338652</v>
      </c>
      <c r="G27" s="88">
        <f t="shared" si="3"/>
        <v>0.23563288386254894</v>
      </c>
      <c r="H27" s="88">
        <f t="shared" si="3"/>
        <v>0.25422616379586349</v>
      </c>
    </row>
    <row r="28" spans="1:8" ht="14.45">
      <c r="A28" s="302"/>
      <c r="D28" s="73"/>
      <c r="E28" s="73"/>
      <c r="F28" s="73"/>
      <c r="G28" s="73"/>
      <c r="H28" s="73"/>
    </row>
    <row r="29" spans="1:8" ht="14.45">
      <c r="A29" s="302"/>
      <c r="C29" t="s">
        <v>69</v>
      </c>
      <c r="D29" s="73">
        <f>BALANCE_SHEET_!D29/BALANCE_SHEET_!D$39</f>
        <v>3.8599516707650709E-2</v>
      </c>
      <c r="E29" s="73">
        <f>BALANCE_SHEET_!E29/BALANCE_SHEET_!E$39</f>
        <v>3.9280791250364738E-2</v>
      </c>
      <c r="F29" s="73">
        <f>BALANCE_SHEET_!F29/BALANCE_SHEET_!F$39</f>
        <v>4.8057471604645886E-2</v>
      </c>
      <c r="G29" s="73">
        <f>BALANCE_SHEET_!G29/BALANCE_SHEET_!G$39</f>
        <v>4.3749456285341451E-2</v>
      </c>
      <c r="H29" s="73">
        <f>BALANCE_SHEET_!H29/BALANCE_SHEET_!H$39</f>
        <v>3.7499199590190178E-2</v>
      </c>
    </row>
    <row r="30" spans="1:8" ht="14.45">
      <c r="A30" s="302"/>
      <c r="C30" t="s">
        <v>70</v>
      </c>
      <c r="D30" s="73">
        <f>BALANCE_SHEET_!D30/BALANCE_SHEET_!D$39</f>
        <v>1.2348438880550145E-2</v>
      </c>
      <c r="E30" s="73">
        <f>BALANCE_SHEET_!E30/BALANCE_SHEET_!E$39</f>
        <v>1.2084075382092226E-2</v>
      </c>
      <c r="F30" s="73">
        <f>BALANCE_SHEET_!F30/BALANCE_SHEET_!F$39</f>
        <v>1.26311219001944E-2</v>
      </c>
      <c r="G30" s="73">
        <f>BALANCE_SHEET_!G30/BALANCE_SHEET_!G$39</f>
        <v>1.4432361896476729E-2</v>
      </c>
      <c r="H30" s="73">
        <f>BALANCE_SHEET_!H30/BALANCE_SHEET_!H$39</f>
        <v>9.2607414996478191E-3</v>
      </c>
    </row>
    <row r="31" spans="1:8" ht="14.45">
      <c r="A31" s="302"/>
      <c r="C31" s="53" t="s">
        <v>71</v>
      </c>
      <c r="D31" s="88">
        <f t="shared" ref="D31:H31" si="4">SUM(D29:D30)</f>
        <v>5.0947955588200852E-2</v>
      </c>
      <c r="E31" s="88">
        <f t="shared" si="4"/>
        <v>5.1364866632456964E-2</v>
      </c>
      <c r="F31" s="88">
        <f t="shared" si="4"/>
        <v>6.0688593504840287E-2</v>
      </c>
      <c r="G31" s="88">
        <f t="shared" si="4"/>
        <v>5.8181818181818182E-2</v>
      </c>
      <c r="H31" s="88">
        <f t="shared" si="4"/>
        <v>4.6759941089837997E-2</v>
      </c>
    </row>
    <row r="32" spans="1:8" ht="14.45">
      <c r="A32" s="302"/>
      <c r="D32" s="73"/>
      <c r="E32" s="73"/>
      <c r="F32" s="73"/>
      <c r="G32" s="73"/>
      <c r="H32" s="73"/>
    </row>
    <row r="33" spans="1:8" ht="14.45">
      <c r="A33" s="302"/>
      <c r="C33" s="53" t="s">
        <v>72</v>
      </c>
      <c r="D33" s="88">
        <f t="shared" ref="D33:H33" si="5">D27+D31</f>
        <v>0.23853777451324798</v>
      </c>
      <c r="E33" s="88">
        <f t="shared" si="5"/>
        <v>0.30266533852515926</v>
      </c>
      <c r="F33" s="88">
        <f t="shared" si="5"/>
        <v>0.33148800536822681</v>
      </c>
      <c r="G33" s="88">
        <f t="shared" si="5"/>
        <v>0.2938147020443671</v>
      </c>
      <c r="H33" s="88">
        <f t="shared" si="5"/>
        <v>0.30098610488570149</v>
      </c>
    </row>
    <row r="34" spans="1:8" ht="14.45">
      <c r="A34" s="302"/>
      <c r="D34" s="73"/>
      <c r="E34" s="73"/>
      <c r="F34" s="73"/>
      <c r="G34" s="73"/>
      <c r="H34" s="73"/>
    </row>
    <row r="35" spans="1:8" ht="14.45">
      <c r="A35" s="302"/>
      <c r="C35" t="s">
        <v>74</v>
      </c>
      <c r="D35" s="73">
        <f>BALANCE_SHEET_!D35/BALANCE_SHEET_!D$39</f>
        <v>2.2674288634113627E-2</v>
      </c>
      <c r="E35" s="73">
        <f>BALANCE_SHEET_!E35/BALANCE_SHEET_!E$39</f>
        <v>2.1159709016269734E-2</v>
      </c>
      <c r="F35" s="73">
        <f>BALANCE_SHEET_!F35/BALANCE_SHEET_!F$39</f>
        <v>2.0466364703908741E-2</v>
      </c>
      <c r="G35" s="73">
        <f>BALANCE_SHEET_!G35/BALANCE_SHEET_!G$39</f>
        <v>1.8051326663766853E-2</v>
      </c>
      <c r="H35" s="73">
        <f>BALANCE_SHEET_!H35/BALANCE_SHEET_!H$39</f>
        <v>1.6616507651917783E-2</v>
      </c>
    </row>
    <row r="36" spans="1:8" ht="14.45">
      <c r="A36" s="302"/>
      <c r="C36" t="s">
        <v>75</v>
      </c>
      <c r="D36" s="73">
        <f>BALANCE_SHEET_!D36/BALANCE_SHEET_!D$39</f>
        <v>0.73878793685263844</v>
      </c>
      <c r="E36" s="73">
        <f>BALANCE_SHEET_!E36/BALANCE_SHEET_!E$39</f>
        <v>0.67617495245857107</v>
      </c>
      <c r="F36" s="73">
        <f>BALANCE_SHEET_!F36/BALANCE_SHEET_!F$39</f>
        <v>0.64804562992786441</v>
      </c>
      <c r="G36" s="73">
        <f>BALANCE_SHEET_!G36/BALANCE_SHEET_!G$39</f>
        <v>0.68813397129186604</v>
      </c>
      <c r="H36" s="73">
        <f>BALANCE_SHEET_!H36/BALANCE_SHEET_!H$39</f>
        <v>0.68239738746238077</v>
      </c>
    </row>
    <row r="37" spans="1:8" ht="14.45">
      <c r="A37" s="302"/>
      <c r="C37" s="53" t="s">
        <v>76</v>
      </c>
      <c r="D37" s="88">
        <f t="shared" ref="D37:H37" si="6">SUM(D35:D36)</f>
        <v>0.76146222548675202</v>
      </c>
      <c r="E37" s="88">
        <f t="shared" si="6"/>
        <v>0.6973346614748408</v>
      </c>
      <c r="F37" s="88">
        <f t="shared" si="6"/>
        <v>0.66851199463177313</v>
      </c>
      <c r="G37" s="88">
        <f t="shared" si="6"/>
        <v>0.7061852979556329</v>
      </c>
      <c r="H37" s="88">
        <f t="shared" si="6"/>
        <v>0.69901389511429857</v>
      </c>
    </row>
    <row r="38" spans="1:8" ht="14.45">
      <c r="A38" s="302"/>
      <c r="D38" s="73"/>
      <c r="E38" s="73"/>
      <c r="F38" s="73"/>
      <c r="G38" s="73"/>
      <c r="H38" s="73"/>
    </row>
    <row r="39" spans="1:8" thickBot="1">
      <c r="A39" s="302"/>
      <c r="C39" s="65" t="s">
        <v>77</v>
      </c>
      <c r="D39" s="91">
        <f t="shared" ref="D39:H39" si="7">D33+D37</f>
        <v>1</v>
      </c>
      <c r="E39" s="91">
        <f t="shared" si="7"/>
        <v>1</v>
      </c>
      <c r="F39" s="91">
        <f t="shared" si="7"/>
        <v>1</v>
      </c>
      <c r="G39" s="91">
        <f t="shared" si="7"/>
        <v>1</v>
      </c>
      <c r="H39" s="91">
        <f t="shared" si="7"/>
        <v>1</v>
      </c>
    </row>
    <row r="42" spans="1:8" ht="14.45">
      <c r="A42" s="303" t="s">
        <v>160</v>
      </c>
      <c r="C42" t="s">
        <v>9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</row>
    <row r="43" spans="1:8" ht="14.45">
      <c r="A43" s="303"/>
    </row>
    <row r="44" spans="1:8" ht="14.45">
      <c r="A44" s="303"/>
      <c r="C44" t="s">
        <v>37</v>
      </c>
      <c r="D44" s="73">
        <f>(INCOME_STATEMENT!D8*-1)/INCOME_STATEMENT!D$7</f>
        <v>0.64648710308222368</v>
      </c>
      <c r="E44" s="73">
        <f>(INCOME_STATEMENT!E8*-1)/INCOME_STATEMENT!E$7</f>
        <v>0.66989609390032712</v>
      </c>
      <c r="F44" s="73">
        <f>(INCOME_STATEMENT!F8*-1)/INCOME_STATEMENT!F$7</f>
        <v>0.6915509539245569</v>
      </c>
      <c r="G44" s="73">
        <f>(INCOME_STATEMENT!G8*-1)/INCOME_STATEMENT!G$7</f>
        <v>0.69052918957908371</v>
      </c>
      <c r="H44" s="73">
        <f>(INCOME_STATEMENT!H8*-1)/INCOME_STATEMENT!H$7</f>
        <v>0.68899349888719685</v>
      </c>
    </row>
    <row r="45" spans="1:8" ht="14.45">
      <c r="A45" s="303"/>
      <c r="C45" s="92" t="s">
        <v>161</v>
      </c>
      <c r="D45" s="93">
        <f>RATIO_ANALYSIS_!D7</f>
        <v>0.35351289691777632</v>
      </c>
      <c r="E45" s="93">
        <f>RATIO_ANALYSIS_!E7</f>
        <v>0.33010390609967288</v>
      </c>
      <c r="F45" s="93">
        <f>RATIO_ANALYSIS_!F7</f>
        <v>0.3084490460754431</v>
      </c>
      <c r="G45" s="93">
        <f>RATIO_ANALYSIS_!G7</f>
        <v>0.30947081042091629</v>
      </c>
      <c r="H45" s="93">
        <f>RATIO_ANALYSIS_!H7</f>
        <v>0.31100650111280309</v>
      </c>
    </row>
    <row r="46" spans="1:8" ht="14.45">
      <c r="A46" s="303"/>
    </row>
    <row r="47" spans="1:8" ht="14.45">
      <c r="A47" s="303"/>
      <c r="C47" t="s">
        <v>14</v>
      </c>
      <c r="D47" s="73">
        <f>((INCOME_STATEMENT!D9+INCOME_STATEMENT!D19)*-1)/INCOME_STATEMENT!D$7</f>
        <v>6.8837880622031847E-2</v>
      </c>
      <c r="E47" s="73">
        <f>((INCOME_STATEMENT!E9+INCOME_STATEMENT!E19)*-1)/INCOME_STATEMENT!E$7</f>
        <v>6.2372522609197616E-2</v>
      </c>
      <c r="F47" s="73">
        <f>((INCOME_STATEMENT!F9+INCOME_STATEMENT!F19)*-1)/INCOME_STATEMENT!F$7</f>
        <v>6.0944732046381858E-2</v>
      </c>
      <c r="G47" s="73">
        <f>((INCOME_STATEMENT!G9+INCOME_STATEMENT!G19)*-1)/INCOME_STATEMENT!G$7</f>
        <v>6.3164589360365467E-2</v>
      </c>
      <c r="H47" s="73">
        <f>((INCOME_STATEMENT!H9+INCOME_STATEMENT!H19)*-1)/INCOME_STATEMENT!H$7</f>
        <v>6.5765198547499126E-2</v>
      </c>
    </row>
    <row r="48" spans="1:8" ht="14.45">
      <c r="A48" s="303"/>
      <c r="C48" t="s">
        <v>162</v>
      </c>
      <c r="D48" s="73">
        <f>INCOME_STATEMENT!D19/INCOME_STATEMENT!D7</f>
        <v>2.7016016388863022E-2</v>
      </c>
      <c r="E48" s="73">
        <f>INCOME_STATEMENT!E19/INCOME_STATEMENT!E7</f>
        <v>2.3369251491244948E-2</v>
      </c>
      <c r="F48" s="73">
        <f>INCOME_STATEMENT!F19/INCOME_STATEMENT!F7</f>
        <v>2.2199106552486008E-2</v>
      </c>
      <c r="G48" s="73">
        <f>INCOME_STATEMENT!G19/INCOME_STATEMENT!G7</f>
        <v>2.2833564719660599E-2</v>
      </c>
      <c r="H48" s="73">
        <f>INCOME_STATEMENT!H19/INCOME_STATEMENT!H7</f>
        <v>1.9166569052360315E-2</v>
      </c>
    </row>
    <row r="49" spans="1:8" ht="14.45">
      <c r="A49" s="303"/>
    </row>
    <row r="50" spans="1:8" ht="14.45">
      <c r="A50" s="303"/>
      <c r="C50" t="s">
        <v>23</v>
      </c>
      <c r="D50" s="73">
        <f>(INCOME_STATEMENT!D14*-1)/INCOME_STATEMENT!D7</f>
        <v>1.466617003445386E-3</v>
      </c>
      <c r="E50" s="73">
        <f>(INCOME_STATEMENT!E14*-1)/INCOME_STATEMENT!E7</f>
        <v>1.2314796998268232E-3</v>
      </c>
      <c r="F50" s="73">
        <f>(INCOME_STATEMENT!F14*-1)/INCOME_STATEMENT!F7</f>
        <v>1.2659860983437355E-3</v>
      </c>
      <c r="G50" s="73">
        <f>(INCOME_STATEMENT!G14*-1)/INCOME_STATEMENT!G7</f>
        <v>2.14840265874524E-3</v>
      </c>
      <c r="H50" s="73">
        <f>(INCOME_STATEMENT!H14*-1)/INCOME_STATEMENT!H7</f>
        <v>1.6179571277966499E-3</v>
      </c>
    </row>
    <row r="51" spans="1:8" ht="14.45">
      <c r="A51" s="303"/>
      <c r="C51" s="284" t="s">
        <v>163</v>
      </c>
      <c r="D51" s="94">
        <f>(INCOME_STATEMENT!D15*-1)/INCOME_STATEMENT!D7</f>
        <v>7.4832386628177663E-2</v>
      </c>
      <c r="E51" s="94">
        <f>(INCOME_STATEMENT!E15*-1)/INCOME_STATEMENT!E7</f>
        <v>6.9847989224552626E-2</v>
      </c>
      <c r="F51" s="94">
        <f>(INCOME_STATEMENT!F15*-1)/INCOME_STATEMENT!F7</f>
        <v>6.753269792120245E-2</v>
      </c>
      <c r="G51" s="94">
        <f>(INCOME_STATEMENT!G15*-1)/INCOME_STATEMENT!G7</f>
        <v>6.7624269969674175E-2</v>
      </c>
      <c r="H51" s="94">
        <f>(INCOME_STATEMENT!H15*-1)/INCOME_STATEMENT!H7</f>
        <v>7.2280953496544453E-2</v>
      </c>
    </row>
    <row r="52" spans="1:8" ht="14.45">
      <c r="A52" s="303"/>
    </row>
    <row r="53" spans="1:8" thickBot="1">
      <c r="A53" s="303"/>
      <c r="C53" s="95" t="s">
        <v>164</v>
      </c>
      <c r="D53" s="96">
        <f>INCOME_STATEMENT!D16/INCOME_STATEMENT!D7</f>
        <v>0.21007542601732004</v>
      </c>
      <c r="E53" s="96">
        <f>INCOME_STATEMENT!E16/INCOME_STATEMENT!E7</f>
        <v>0.20430055801423899</v>
      </c>
      <c r="F53" s="96">
        <f>INCOME_STATEMENT!F16/INCOME_STATEMENT!F7</f>
        <v>0.18762397793797475</v>
      </c>
      <c r="G53" s="96">
        <f>INCOME_STATEMENT!G16/INCOME_STATEMENT!G7</f>
        <v>0.21122598558941466</v>
      </c>
      <c r="H53" s="96">
        <f>INCOME_STATEMENT!H16/INCOME_STATEMENT!H7</f>
        <v>0.18718519386201241</v>
      </c>
    </row>
    <row r="56" spans="1:8" ht="14.45">
      <c r="A56" s="302" t="s">
        <v>165</v>
      </c>
      <c r="C56" s="21" t="s">
        <v>166</v>
      </c>
      <c r="D56" s="73">
        <f>BALANCE_SHEET_!D9/INCOME_STATEMENT!D7</f>
        <v>0.19082316789272744</v>
      </c>
      <c r="E56" s="73">
        <f>BALANCE_SHEET_!E9/INCOME_STATEMENT!E7</f>
        <v>0.18247065614777758</v>
      </c>
      <c r="F56" s="73">
        <f>BALANCE_SHEET_!F9/INCOME_STATEMENT!F7</f>
        <v>0.16750528166174786</v>
      </c>
      <c r="G56" s="73">
        <f>BALANCE_SHEET_!G9/INCOME_STATEMENT!G7</f>
        <v>0.1950780638005786</v>
      </c>
      <c r="H56" s="73">
        <f>BALANCE_SHEET_!H9/INCOME_STATEMENT!H7</f>
        <v>0.19337150052711724</v>
      </c>
    </row>
    <row r="57" spans="1:8" ht="14.45">
      <c r="A57" s="302"/>
      <c r="C57" s="21" t="s">
        <v>167</v>
      </c>
      <c r="D57" s="73">
        <f>BALANCE_SHEET_!D26/INCOME_STATEMENT!D7</f>
        <v>8.3969643355992177E-2</v>
      </c>
      <c r="E57" s="73">
        <f>BALANCE_SHEET_!E26/INCOME_STATEMENT!E7</f>
        <v>0.10082740042332115</v>
      </c>
      <c r="F57" s="73">
        <f>BALANCE_SHEET_!F26/INCOME_STATEMENT!F7</f>
        <v>9.3586208008773208E-2</v>
      </c>
      <c r="G57" s="73">
        <f>BALANCE_SHEET_!G26/INCOME_STATEMENT!G7</f>
        <v>9.3901483716348808E-2</v>
      </c>
      <c r="H57" s="73">
        <f>BALANCE_SHEET_!H26/INCOME_STATEMENT!H7</f>
        <v>0.10372496193042052</v>
      </c>
    </row>
    <row r="58" spans="1:8" ht="14.45">
      <c r="A58" s="302"/>
      <c r="C58" s="21" t="s">
        <v>168</v>
      </c>
      <c r="D58" s="72">
        <f>(BALANCE_SHEET_!D12/INCOME_STATEMENT!D7)*365</f>
        <v>28.822050470248627</v>
      </c>
      <c r="E58" s="72">
        <f>(BALANCE_SHEET_!E12/INCOME_STATEMENT!E7)*365</f>
        <v>31.376515297286893</v>
      </c>
      <c r="F58" s="72">
        <f>(BALANCE_SHEET_!F12/INCOME_STATEMENT!F7)*365</f>
        <v>32.139919686487005</v>
      </c>
      <c r="G58" s="72">
        <f>(BALANCE_SHEET_!G12/INCOME_STATEMENT!G7)*365</f>
        <v>45.195760588832961</v>
      </c>
      <c r="H58" s="72">
        <f>(BALANCE_SHEET_!H12/INCOME_STATEMENT!H7)*365</f>
        <v>33.581432294717111</v>
      </c>
    </row>
    <row r="59" spans="1:8" ht="14.45">
      <c r="A59" s="302"/>
      <c r="C59" s="21" t="s">
        <v>169</v>
      </c>
      <c r="D59" s="73">
        <f>BALANCE_SHEET_!D13/INCOME_STATEMENT!D7</f>
        <v>0.56199366793928673</v>
      </c>
      <c r="E59" s="73">
        <f>BALANCE_SHEET_!E13/INCOME_STATEMENT!E7</f>
        <v>0.50449297671733695</v>
      </c>
      <c r="F59" s="73">
        <f>BALANCE_SHEET_!F13/INCOME_STATEMENT!F7</f>
        <v>0.41996871320979889</v>
      </c>
      <c r="G59" s="73">
        <f>BALANCE_SHEET_!G13/INCOME_STATEMENT!G7</f>
        <v>0.5503013192898637</v>
      </c>
      <c r="H59" s="73">
        <f>BALANCE_SHEET_!H13/INCOME_STATEMENT!H7</f>
        <v>0.56495255944711253</v>
      </c>
    </row>
    <row r="60" spans="1:8" ht="14.45">
      <c r="A60" s="302"/>
    </row>
    <row r="61" spans="1:8" ht="14.45">
      <c r="A61" s="302"/>
      <c r="C61" s="21" t="s">
        <v>170</v>
      </c>
      <c r="D61" s="73">
        <f>BALANCE_SHEET_!D24/INCOME_STATEMENT!D8*-1</f>
        <v>2.8123368322500494E-2</v>
      </c>
      <c r="E61" s="73">
        <f>BALANCE_SHEET_!E24/INCOME_STATEMENT!E8*-1</f>
        <v>3.8331729595427196E-2</v>
      </c>
      <c r="F61" s="73">
        <f>BALANCE_SHEET_!F24/INCOME_STATEMENT!F8*-1</f>
        <v>2.8287586576805579E-2</v>
      </c>
      <c r="G61" s="73">
        <f>BALANCE_SHEET_!G24/INCOME_STATEMENT!G8*-1</f>
        <v>2.8001168119327881E-2</v>
      </c>
      <c r="H61" s="73">
        <f>BALANCE_SHEET_!H24/INCOME_STATEMENT!H8*-1</f>
        <v>2.898704721020922E-2</v>
      </c>
    </row>
    <row r="62" spans="1:8" ht="14.45">
      <c r="A62" s="302"/>
      <c r="C62" s="21" t="s">
        <v>171</v>
      </c>
      <c r="D62" s="73">
        <f>BALANCE_SHEET_!D25/(INCOME_STATEMENT!D9+INCOME_STATEMENT!D8)*-1</f>
        <v>0.13870421475163069</v>
      </c>
      <c r="E62" s="73">
        <f>BALANCE_SHEET_!E25/(INCOME_STATEMENT!E9+INCOME_STATEMENT!E8)*-1</f>
        <v>0.15058377153333927</v>
      </c>
      <c r="F62" s="73">
        <f>BALANCE_SHEET_!F25/(INCOME_STATEMENT!F9+INCOME_STATEMENT!F8)*-1</f>
        <v>0.1395813600074943</v>
      </c>
      <c r="G62" s="73">
        <f>BALANCE_SHEET_!G25/(INCOME_STATEMENT!G9+INCOME_STATEMENT!G8)*-1</f>
        <v>0.12471034758290052</v>
      </c>
      <c r="H62" s="73">
        <f>BALANCE_SHEET_!H25/(INCOME_STATEMENT!H9+INCOME_STATEMENT!H8)*-1</f>
        <v>0.14062736491599817</v>
      </c>
    </row>
    <row r="63" spans="1:8" ht="14.25" customHeight="1">
      <c r="A63" s="302"/>
      <c r="C63" s="97" t="s">
        <v>172</v>
      </c>
      <c r="D63" s="72">
        <f>(BALANCE_SHEET_!D26/((INCOME_STATEMENT!D9+INCOME_STATEMENT!D8)*-1))*365</f>
        <v>41.286847717009536</v>
      </c>
      <c r="E63" s="72">
        <f>(BALANCE_SHEET_!E26/((INCOME_STATEMENT!E9+INCOME_STATEMENT!E8)*-1))*365</f>
        <v>48.703225067162371</v>
      </c>
      <c r="F63" s="72">
        <f>(BALANCE_SHEET_!F26/((INCOME_STATEMENT!F9+INCOME_STATEMENT!F8)*-1))*365</f>
        <v>44.093449772568775</v>
      </c>
      <c r="G63" s="72">
        <f>(BALANCE_SHEET_!G26/((INCOME_STATEMENT!G9+INCOME_STATEMENT!G8)*-1))*365</f>
        <v>44.137584898122256</v>
      </c>
      <c r="H63" s="72">
        <f>(BALANCE_SHEET_!H26/((INCOME_STATEMENT!H9+INCOME_STATEMENT!H8)*-1))*365</f>
        <v>48.918949598910253</v>
      </c>
    </row>
    <row r="64" spans="1:8" ht="14.45">
      <c r="A64" s="302"/>
      <c r="C64" s="21" t="s">
        <v>173</v>
      </c>
      <c r="D64" s="73">
        <f>BALANCE_SHEET_!D27/INCOME_STATEMENT!D8*-1</f>
        <v>0.3172791271313084</v>
      </c>
      <c r="E64" s="73">
        <f>BALANCE_SHEET_!E27/INCOME_STATEMENT!E8*-1</f>
        <v>0.35870111591434606</v>
      </c>
      <c r="F64" s="73">
        <f>BALANCE_SHEET_!F27/INCOME_STATEMENT!F8*-1</f>
        <v>0.31997854527646274</v>
      </c>
      <c r="G64" s="73">
        <f>BALANCE_SHEET_!G27/INCOME_STATEMENT!G8*-1</f>
        <v>0.30422769341360412</v>
      </c>
      <c r="H64" s="73">
        <f>BALANCE_SHEET_!H27/INCOME_STATEMENT!H8*-1</f>
        <v>0.3374950855904198</v>
      </c>
    </row>
    <row r="67" spans="1:8" ht="18.75" customHeight="1">
      <c r="A67" s="302" t="s">
        <v>174</v>
      </c>
      <c r="C67" s="86" t="s">
        <v>175</v>
      </c>
      <c r="D67" s="73">
        <f>(INCOME_STATEMENT!D14*-1)/BALANCE_SHEET_!D29</f>
        <v>3.4749034749034749E-2</v>
      </c>
      <c r="E67" s="73">
        <f>(INCOME_STATEMENT!E14*-1)/BALANCE_SHEET_!E29</f>
        <v>3.2786885245901641E-2</v>
      </c>
      <c r="F67" s="73">
        <f>(INCOME_STATEMENT!F14*-1)/BALANCE_SHEET_!F29</f>
        <v>3.2238193018480493E-2</v>
      </c>
      <c r="G67" s="73">
        <f>(INCOME_STATEMENT!G14*-1)/BALANCE_SHEET_!G29</f>
        <v>5.508053290912706E-2</v>
      </c>
      <c r="H67" s="73">
        <f>(INCOME_STATEMENT!H14*-1)/BALANCE_SHEET_!H29</f>
        <v>4.7171824973319107E-2</v>
      </c>
    </row>
    <row r="68" spans="1:8" ht="14.45">
      <c r="A68" s="302"/>
      <c r="C68" s="86" t="s">
        <v>176</v>
      </c>
      <c r="D68" s="73">
        <f>(CASH_FLOW_STATEMENT_!D19*-1)/INCOME_STATEMENT!D7</f>
        <v>2.0020486078778283E-2</v>
      </c>
      <c r="E68" s="73">
        <f>(CASH_FLOW_STATEMENT_!E19*-1)/INCOME_STATEMENT!E7</f>
        <v>1.7192611121801038E-2</v>
      </c>
      <c r="F68" s="73">
        <f>(CASH_FLOW_STATEMENT_!F19*-1)/INCOME_STATEMENT!F7</f>
        <v>1.7175480187720742E-2</v>
      </c>
      <c r="G68" s="73">
        <f>(CASH_FLOW_STATEMENT_!G19*-1)/INCOME_STATEMENT!G7</f>
        <v>1.4208930219571406E-2</v>
      </c>
      <c r="H68" s="73">
        <f>(CASH_FLOW_STATEMENT_!H19*-1)/INCOME_STATEMENT!H7</f>
        <v>1.1618542813634766E-2</v>
      </c>
    </row>
    <row r="69" spans="1:8" ht="14.45">
      <c r="A69" s="302"/>
      <c r="C69" s="86" t="s">
        <v>177</v>
      </c>
      <c r="D69" s="73">
        <f>INCOME_STATEMENT!D19/BALANCE_SHEET_!D15</f>
        <v>0.14969364721057724</v>
      </c>
      <c r="E69" s="73">
        <f>INCOME_STATEMENT!E19/BALANCE_SHEET_!E15</f>
        <v>0.15825135187960127</v>
      </c>
      <c r="F69" s="73">
        <f>INCOME_STATEMENT!F19/BALANCE_SHEET_!F15</f>
        <v>0.17528333121100217</v>
      </c>
      <c r="G69" s="73">
        <f>INCOME_STATEMENT!G19/BALANCE_SHEET_!G15</f>
        <v>0.20158860586140784</v>
      </c>
      <c r="H69" s="73">
        <f>INCOME_STATEMENT!H19/BALANCE_SHEET_!H15</f>
        <v>0.1851878050505765</v>
      </c>
    </row>
    <row r="70" spans="1:8" ht="14.45">
      <c r="A70" s="302"/>
      <c r="C70" s="86" t="s">
        <v>178</v>
      </c>
      <c r="D70" s="73">
        <f>INCOME_STATEMENT!D12/INCOME_STATEMENT!D7</f>
        <v>2.8715429742061645E-2</v>
      </c>
      <c r="E70" s="73">
        <f>INCOME_STATEMENT!E12/INCOME_STATEMENT!E7</f>
        <v>3.101789493938811E-2</v>
      </c>
      <c r="F70" s="73">
        <f>INCOME_STATEMENT!F12/INCOME_STATEMENT!F7</f>
        <v>3.1117454480945699E-2</v>
      </c>
      <c r="G70" s="73">
        <f>INCOME_STATEMENT!G12/INCOME_STATEMENT!G7</f>
        <v>5.7526001876943837E-2</v>
      </c>
      <c r="H70" s="73">
        <f>INCOME_STATEMENT!H12/INCOME_STATEMENT!H7</f>
        <v>3.5009370973409865E-2</v>
      </c>
    </row>
    <row r="71" spans="1:8" ht="14.45">
      <c r="A71" s="302"/>
      <c r="C71" s="86"/>
      <c r="D71" s="89"/>
      <c r="E71" s="89"/>
      <c r="F71" s="89"/>
      <c r="G71" s="89"/>
      <c r="H71" s="89"/>
    </row>
    <row r="72" spans="1:8" ht="14.45">
      <c r="A72" s="302"/>
      <c r="C72" t="s">
        <v>179</v>
      </c>
      <c r="D72" s="73">
        <f>BALANCE_SHEET_!D17/INCOME_STATEMENT!D7</f>
        <v>7.4844026445665332E-3</v>
      </c>
      <c r="E72" s="73">
        <f>BALANCE_SHEET_!E17/INCOME_STATEMENT!E7</f>
        <v>7.3215316528766599E-3</v>
      </c>
      <c r="F72" s="73">
        <f>BALANCE_SHEET_!F17/INCOME_STATEMENT!F7</f>
        <v>1.1127775896269777E-2</v>
      </c>
      <c r="G72" s="73">
        <f>BALANCE_SHEET_!G17/INCOME_STATEMENT!G7</f>
        <v>1.3883179635934943E-2</v>
      </c>
      <c r="H72" s="73">
        <f>BALANCE_SHEET_!H17/INCOME_STATEMENT!H7</f>
        <v>1.7394869392058102E-2</v>
      </c>
    </row>
    <row r="73" spans="1:8" ht="14.45">
      <c r="A73" s="302"/>
      <c r="C73" t="s">
        <v>180</v>
      </c>
      <c r="D73" s="73">
        <f>BALANCE_SHEET_!D18/INCOME_STATEMENT!D7</f>
        <v>8.6029891051308316E-2</v>
      </c>
      <c r="E73" s="73">
        <f>BALANCE_SHEET_!E18/INCOME_STATEMENT!E7</f>
        <v>7.6688474119684436E-2</v>
      </c>
      <c r="F73" s="73">
        <f>BALANCE_SHEET_!F18/INCOME_STATEMENT!F7</f>
        <v>6.8403567339171384E-2</v>
      </c>
      <c r="G73" s="73">
        <f>BALANCE_SHEET_!G18/INCOME_STATEMENT!G7</f>
        <v>3.2978368610053287E-2</v>
      </c>
      <c r="H73" s="73">
        <f>BALANCE_SHEET_!H18/INCOME_STATEMENT!H7</f>
        <v>2.8435047440552887E-2</v>
      </c>
    </row>
    <row r="74" spans="1:8" ht="15.75" customHeight="1">
      <c r="A74" s="302"/>
      <c r="C74" s="86"/>
    </row>
    <row r="75" spans="1:8" ht="14.45">
      <c r="A75" s="302"/>
      <c r="C75" t="s">
        <v>181</v>
      </c>
      <c r="D75" s="73">
        <f>BALANCE_SHEET_!D29/(INCOME_STATEMENT!D8+INCOME_STATEMENT!D9)*-1</f>
        <v>5.6855243351731061E-2</v>
      </c>
      <c r="E75" s="73">
        <f>BALANCE_SHEET_!E29/(INCOME_STATEMENT!E8+INCOME_STATEMENT!E9)*-1</f>
        <v>4.9706522707885052E-2</v>
      </c>
      <c r="F75" s="73">
        <f>BALANCE_SHEET_!F29/(INCOME_STATEMENT!F8+INCOME_STATEMENT!F9)*-1</f>
        <v>5.0690620673862583E-2</v>
      </c>
      <c r="G75" s="73">
        <f>BALANCE_SHEET_!G29/(INCOME_STATEMENT!G8+INCOME_STATEMENT!G9)*-1</f>
        <v>5.0229724330803034E-2</v>
      </c>
      <c r="H75" s="73">
        <f>BALANCE_SHEET_!H29/(INCOME_STATEMENT!H8+INCOME_STATEMENT!H9)*-1</f>
        <v>4.431852580596337E-2</v>
      </c>
    </row>
    <row r="76" spans="1:8" ht="14.45">
      <c r="A76" s="302"/>
      <c r="C76" t="s">
        <v>182</v>
      </c>
      <c r="D76" s="73">
        <f>BALANCE_SHEET_!D30/(INCOME_STATEMENT!D8+INCOME_STATEMENT!D9)*-1</f>
        <v>1.818866031108881E-2</v>
      </c>
      <c r="E76" s="73">
        <f>BALANCE_SHEET_!E30/(INCOME_STATEMENT!E8+INCOME_STATEMENT!E9)*-1</f>
        <v>1.5291376478527139E-2</v>
      </c>
      <c r="F76" s="73">
        <f>BALANCE_SHEET_!F30/(INCOME_STATEMENT!F8+INCOME_STATEMENT!F9)*-1</f>
        <v>1.3323202148366346E-2</v>
      </c>
      <c r="G76" s="73">
        <f>BALANCE_SHEET_!G30/(INCOME_STATEMENT!G8+INCOME_STATEMENT!G9)*-1</f>
        <v>1.6570115860966839E-2</v>
      </c>
      <c r="H76" s="73">
        <f>BALANCE_SHEET_!H30/(INCOME_STATEMENT!H8+INCOME_STATEMENT!H9)*-1</f>
        <v>1.0944831239594369E-2</v>
      </c>
    </row>
    <row r="77" spans="1:8" ht="14.45">
      <c r="A77" s="302"/>
    </row>
    <row r="78" spans="1:8" ht="14.45">
      <c r="A78" s="302"/>
      <c r="C78" s="53" t="s">
        <v>183</v>
      </c>
    </row>
    <row r="79" spans="1:8" ht="14.45">
      <c r="A79" s="302"/>
      <c r="C79" t="s">
        <v>184</v>
      </c>
      <c r="D79" s="63">
        <f>BALANCE_SHEET_!D10+BALANCE_SHEET_!D16</f>
        <v>24155</v>
      </c>
      <c r="E79" s="63">
        <f>BALANCE_SHEET_!E10+BALANCE_SHEET_!E16</f>
        <v>28336</v>
      </c>
      <c r="F79" s="63">
        <f>BALANCE_SHEET_!F10+BALANCE_SHEET_!F16</f>
        <v>28162</v>
      </c>
      <c r="G79" s="63">
        <f>BALANCE_SHEET_!G10+BALANCE_SHEET_!G16</f>
        <v>34659</v>
      </c>
      <c r="H79" s="63">
        <f>BALANCE_SHEET_!H10+BALANCE_SHEET_!H16</f>
        <v>38518</v>
      </c>
    </row>
    <row r="80" spans="1:8" ht="14.45">
      <c r="A80" s="302"/>
      <c r="C80" t="s">
        <v>185</v>
      </c>
      <c r="D80" s="68">
        <f>CASH_FLOW_STATEMENT_!D22/VERTICAL_ANALYSIS!D79</f>
        <v>1.5998758021113642</v>
      </c>
      <c r="E80" s="68">
        <f>CASH_FLOW_STATEMENT_!E22/VERTICAL_ANALYSIS!E79</f>
        <v>1.8906691134952005</v>
      </c>
      <c r="F80" s="68">
        <f>CASH_FLOW_STATEMENT_!F22/VERTICAL_ANALYSIS!F79</f>
        <v>2.7853490519139266</v>
      </c>
      <c r="G80" s="68">
        <f>CASH_FLOW_STATEMENT_!G22/VERTICAL_ANALYSIS!G79</f>
        <v>2.0258230185521797</v>
      </c>
      <c r="H80" s="68">
        <f>CASH_FLOW_STATEMENT_!H22/VERTICAL_ANALYSIS!H79</f>
        <v>2.184095747442754</v>
      </c>
    </row>
    <row r="81" spans="1:8" ht="14.45">
      <c r="A81" s="302"/>
      <c r="C81" t="s">
        <v>186</v>
      </c>
      <c r="D81" s="73">
        <f>INCOME_STATEMENT!D12/((17922+VERTICAL_ANALYSIS!D79)/2)</f>
        <v>0.11726121158827864</v>
      </c>
      <c r="E81" s="73">
        <f>INCOME_STATEMENT!E12/((VERTICAL_ANALYSIS!D79+VERTICAL_ANALYSIS!E79)/2)</f>
        <v>0.12284010592292012</v>
      </c>
      <c r="F81" s="73">
        <f>INCOME_STATEMENT!F12/((VERTICAL_ANALYSIS!E79+VERTICAL_ANALYSIS!F79)/2)</f>
        <v>0.13660660554355905</v>
      </c>
      <c r="G81" s="73">
        <f>INCOME_STATEMENT!G12/((VERTICAL_ANALYSIS!F79+VERTICAL_ANALYSIS!G79)/2)</f>
        <v>0.23613123000270611</v>
      </c>
      <c r="H81" s="73">
        <f>INCOME_STATEMENT!H12/((VERTICAL_ANALYSIS!G79+VERTICAL_ANALYSIS!H79)/2)</f>
        <v>0.13069680364048814</v>
      </c>
    </row>
    <row r="82" spans="1:8" ht="14.45">
      <c r="A82" s="302"/>
      <c r="C82" t="s">
        <v>187</v>
      </c>
      <c r="D82" s="73">
        <f>(CASH_FLOW_STATEMENT_!D21*-1)/INCOME_STATEMENT!D7</f>
        <v>0.51702905298444923</v>
      </c>
      <c r="E82" s="73">
        <f>(CASH_FLOW_STATEMENT_!E21*-1)/INCOME_STATEMENT!E7</f>
        <v>0.54915335770636908</v>
      </c>
      <c r="F82" s="73">
        <f>(CASH_FLOW_STATEMENT_!F21*-1)/INCOME_STATEMENT!F7</f>
        <v>0.62625187478833033</v>
      </c>
      <c r="G82" s="73">
        <f>(CASH_FLOW_STATEMENT_!G21*-1)/INCOME_STATEMENT!G7</f>
        <v>0.58645187810723398</v>
      </c>
      <c r="H82" s="73">
        <f>(CASH_FLOW_STATEMENT_!H21*-1)/INCOME_STATEMENT!H7</f>
        <v>0.63431972589902774</v>
      </c>
    </row>
  </sheetData>
  <mergeCells count="5">
    <mergeCell ref="A1:C3"/>
    <mergeCell ref="A5:A39"/>
    <mergeCell ref="A42:A53"/>
    <mergeCell ref="A56:A64"/>
    <mergeCell ref="A67:A82"/>
  </mergeCells>
  <pageMargins left="0.70000000000000007" right="0.70000000000000007" top="0.75" bottom="0.75" header="0.30000000000000004" footer="0.30000000000000004"/>
  <pageSetup paperSize="0" orientation="landscape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64AE-43EF-48C3-A8E4-F5A4FCC13922}">
  <sheetPr>
    <tabColor rgb="FF0070C0"/>
    <pageSetUpPr fitToPage="1"/>
  </sheetPr>
  <dimension ref="B2:P53"/>
  <sheetViews>
    <sheetView showGridLines="0" topLeftCell="A4" zoomScale="77" workbookViewId="0">
      <selection activeCell="K6" sqref="K6"/>
    </sheetView>
  </sheetViews>
  <sheetFormatPr defaultRowHeight="14.45" outlineLevelCol="1"/>
  <cols>
    <col min="1" max="1" width="5.7109375" customWidth="1"/>
    <col min="2" max="2" width="36.5703125" bestFit="1" customWidth="1"/>
    <col min="3" max="3" width="17.7109375" customWidth="1"/>
    <col min="4" max="4" width="8.85546875" customWidth="1"/>
    <col min="5" max="5" width="32.28515625" bestFit="1" customWidth="1"/>
    <col min="6" max="6" width="17" bestFit="1" customWidth="1"/>
    <col min="7" max="9" width="14.7109375" hidden="1" customWidth="1" outlineLevel="1"/>
    <col min="10" max="10" width="9.140625" customWidth="1" collapsed="1"/>
    <col min="11" max="11" width="22.5703125" customWidth="1"/>
    <col min="12" max="13" width="10.42578125" bestFit="1" customWidth="1"/>
    <col min="14" max="14" width="11" bestFit="1" customWidth="1"/>
    <col min="15" max="15" width="12" bestFit="1" customWidth="1"/>
    <col min="16" max="16" width="12.7109375" bestFit="1" customWidth="1"/>
    <col min="17" max="17" width="8.85546875" customWidth="1"/>
  </cols>
  <sheetData>
    <row r="2" spans="2:16" s="98" customFormat="1" ht="24" customHeight="1">
      <c r="B2" s="99" t="s">
        <v>188</v>
      </c>
      <c r="C2" s="99"/>
    </row>
    <row r="3" spans="2:16" ht="14.25" customHeight="1">
      <c r="B3" s="100" t="s">
        <v>189</v>
      </c>
      <c r="C3" s="86"/>
    </row>
    <row r="5" spans="2:16" ht="27.6">
      <c r="B5" s="101" t="s">
        <v>190</v>
      </c>
      <c r="C5" s="102"/>
      <c r="E5" s="103" t="s">
        <v>191</v>
      </c>
      <c r="F5" s="104"/>
      <c r="G5" s="105" t="s">
        <v>192</v>
      </c>
      <c r="H5" s="105" t="s">
        <v>193</v>
      </c>
      <c r="I5" s="105" t="s">
        <v>194</v>
      </c>
      <c r="K5" s="103" t="s">
        <v>195</v>
      </c>
      <c r="L5" s="4" t="s">
        <v>3</v>
      </c>
      <c r="M5" s="4" t="s">
        <v>4</v>
      </c>
      <c r="N5" s="4" t="s">
        <v>5</v>
      </c>
      <c r="O5" s="4" t="s">
        <v>6</v>
      </c>
      <c r="P5" s="5" t="s">
        <v>7</v>
      </c>
    </row>
    <row r="6" spans="2:16">
      <c r="B6" s="106"/>
      <c r="C6" s="107"/>
      <c r="E6" s="108" t="s">
        <v>192</v>
      </c>
      <c r="F6" s="9"/>
      <c r="G6" s="8"/>
      <c r="H6" s="8"/>
      <c r="I6" s="8"/>
      <c r="K6" s="108"/>
      <c r="L6" s="8"/>
      <c r="M6" s="8"/>
      <c r="N6" s="8"/>
      <c r="O6" s="8"/>
      <c r="P6" s="9"/>
    </row>
    <row r="7" spans="2:16">
      <c r="B7" s="109" t="s">
        <v>196</v>
      </c>
      <c r="C7" s="110"/>
      <c r="E7" s="108" t="s">
        <v>197</v>
      </c>
      <c r="F7" s="111">
        <f>IF($E$6="Base",G7,IF($E$6="Best",H7,IF($E$6="Worst",I7,0)))</f>
        <v>0.11777763397979005</v>
      </c>
      <c r="G7" s="112">
        <f>AVERAGE(HORIZONTAL_ANALYSIS_!D7:H7)</f>
        <v>0.11777763397979005</v>
      </c>
      <c r="H7" s="112">
        <v>0.156</v>
      </c>
      <c r="I7" s="112">
        <v>6.6600000000000006E-2</v>
      </c>
      <c r="K7" s="108" t="s">
        <v>100</v>
      </c>
      <c r="L7" s="15">
        <f>FINANCIALS!F7*(ASSUMPTION_!L12*-1)</f>
        <v>-1984.8332735473771</v>
      </c>
      <c r="M7" s="15">
        <f>FINANCIALS!G7*(ASSUMPTION_!M12*-1)</f>
        <v>-2047.9405295539834</v>
      </c>
      <c r="N7" s="15">
        <f>FINANCIALS!H7*(ASSUMPTION_!N12*-1)</f>
        <v>-2193.7611980038291</v>
      </c>
      <c r="O7" s="15">
        <f>FINANCIALS!I7*(ASSUMPTION_!O12*-1)</f>
        <v>-2345.5225404900252</v>
      </c>
      <c r="P7" s="16">
        <f>FINANCIALS!J7*(ASSUMPTION_!P12*-1)</f>
        <v>-2502.6011523117882</v>
      </c>
    </row>
    <row r="8" spans="2:16">
      <c r="B8" s="113" t="s">
        <v>73</v>
      </c>
      <c r="C8" s="114">
        <v>1</v>
      </c>
      <c r="E8" s="108" t="s">
        <v>37</v>
      </c>
      <c r="F8" s="111">
        <f>IF($E$6="Base",G8,IF($E$6="Best",H8,IF($E$6="Worst",I8,0)))</f>
        <v>0.67749136787467767</v>
      </c>
      <c r="G8" s="112">
        <f>AVERAGE(VERTICAL_ANALYSIS!D44:H44)</f>
        <v>0.67749136787467767</v>
      </c>
      <c r="H8" s="112">
        <v>0.58699999999999997</v>
      </c>
      <c r="I8" s="112">
        <v>0.74760000000000004</v>
      </c>
      <c r="K8" s="115" t="s">
        <v>198</v>
      </c>
      <c r="L8" s="15">
        <f>(BALANCE_SHEET_!G15+(ASSUMPTION_!L7*-1))</f>
        <v>16588.833273547378</v>
      </c>
      <c r="M8" s="15">
        <f>ASSUMPTION_!L8+(ASSUMPTION_!M7*-1)</f>
        <v>18636.773803101361</v>
      </c>
      <c r="N8" s="15">
        <f>ASSUMPTION_!M8+(ASSUMPTION_!N7*-1)</f>
        <v>20830.535001105192</v>
      </c>
      <c r="O8" s="15">
        <f>ASSUMPTION_!N8+(ASSUMPTION_!O7*-1)</f>
        <v>23176.057541595219</v>
      </c>
      <c r="P8" s="16">
        <f>ASSUMPTION_!O8+(ASSUMPTION_!P7*-1)</f>
        <v>25678.658693907008</v>
      </c>
    </row>
    <row r="9" spans="2:16">
      <c r="B9" s="113" t="s">
        <v>199</v>
      </c>
      <c r="C9" s="116">
        <v>0</v>
      </c>
      <c r="E9" s="108" t="s">
        <v>14</v>
      </c>
      <c r="F9" s="111">
        <f>IF($E$6="Base",G9,IF($E$6="Best",H9,IF($E$6="Worst",I9,0)))</f>
        <v>6.4216984637095173E-2</v>
      </c>
      <c r="G9" s="112">
        <f>AVERAGE(VERTICAL_ANALYSIS!D47:H47)</f>
        <v>6.4216984637095173E-2</v>
      </c>
      <c r="H9" s="112">
        <v>5.8000000000000003E-2</v>
      </c>
      <c r="I9" s="112">
        <v>7.9200000000000007E-2</v>
      </c>
      <c r="K9" s="108" t="s">
        <v>200</v>
      </c>
      <c r="L9" s="15">
        <f>L8*L13</f>
        <v>3566.5991538126864</v>
      </c>
      <c r="M9" s="15">
        <f>M8*M13</f>
        <v>4286.457974713313</v>
      </c>
      <c r="N9" s="15">
        <f>N8*N13</f>
        <v>5103.4810752707717</v>
      </c>
      <c r="O9" s="15">
        <f>O8*O13</f>
        <v>6025.7749608147569</v>
      </c>
      <c r="P9" s="16">
        <f>P8*P13</f>
        <v>7061.6311408244273</v>
      </c>
    </row>
    <row r="10" spans="2:16">
      <c r="B10" s="117" t="s">
        <v>201</v>
      </c>
      <c r="C10" s="118">
        <f>SUM(C8:C9)</f>
        <v>1</v>
      </c>
      <c r="E10" s="108" t="s">
        <v>92</v>
      </c>
      <c r="F10" s="111">
        <v>4.4999999999999998E-2</v>
      </c>
      <c r="G10" s="112"/>
      <c r="H10" s="112"/>
      <c r="I10" s="112"/>
      <c r="K10" s="108"/>
      <c r="L10" s="8"/>
      <c r="M10" s="8"/>
      <c r="N10" s="8"/>
      <c r="O10" s="8"/>
      <c r="P10" s="9"/>
    </row>
    <row r="11" spans="2:16">
      <c r="B11" s="106"/>
      <c r="C11" s="107"/>
      <c r="E11" s="119" t="s">
        <v>202</v>
      </c>
      <c r="F11" s="120">
        <v>0.26</v>
      </c>
      <c r="G11" s="121"/>
      <c r="H11" s="121"/>
      <c r="I11" s="121"/>
      <c r="K11" s="108" t="s">
        <v>203</v>
      </c>
      <c r="L11" s="15">
        <f>L8-L9</f>
        <v>13022.23411973469</v>
      </c>
      <c r="M11" s="15">
        <f>M8-M9</f>
        <v>14350.315828388048</v>
      </c>
      <c r="N11" s="15">
        <f>N8-N9</f>
        <v>15727.053925834422</v>
      </c>
      <c r="O11" s="15">
        <f>O8-O9</f>
        <v>17150.282580780462</v>
      </c>
      <c r="P11" s="16">
        <f>P8-P9</f>
        <v>18617.027553082582</v>
      </c>
    </row>
    <row r="12" spans="2:16">
      <c r="B12" s="109" t="s">
        <v>204</v>
      </c>
      <c r="C12" s="110"/>
      <c r="E12" s="8"/>
      <c r="F12" s="8"/>
      <c r="G12" s="8"/>
      <c r="H12" s="8"/>
      <c r="I12" s="8"/>
      <c r="K12" s="122" t="s">
        <v>205</v>
      </c>
      <c r="L12" s="123">
        <v>1.2999999999999999E-2</v>
      </c>
      <c r="M12" s="124">
        <v>1.2E-2</v>
      </c>
      <c r="N12" s="124">
        <v>1.15E-2</v>
      </c>
      <c r="O12" s="124">
        <v>1.0999999999999999E-2</v>
      </c>
      <c r="P12" s="125">
        <v>1.0500000000000001E-2</v>
      </c>
    </row>
    <row r="13" spans="2:16" ht="15" customHeight="1">
      <c r="B13" s="113" t="s">
        <v>206</v>
      </c>
      <c r="C13" s="114">
        <v>6.2199999999999998E-2</v>
      </c>
      <c r="E13" s="304" t="s">
        <v>207</v>
      </c>
      <c r="F13" s="126"/>
      <c r="G13" s="127"/>
      <c r="H13" s="127"/>
      <c r="I13" s="127"/>
      <c r="K13" s="119" t="s">
        <v>208</v>
      </c>
      <c r="L13" s="128">
        <v>0.215</v>
      </c>
      <c r="M13" s="128">
        <v>0.23</v>
      </c>
      <c r="N13" s="128">
        <v>0.245</v>
      </c>
      <c r="O13" s="128">
        <v>0.26</v>
      </c>
      <c r="P13" s="129">
        <v>0.27500000000000002</v>
      </c>
    </row>
    <row r="14" spans="2:16">
      <c r="B14" s="113" t="s">
        <v>209</v>
      </c>
      <c r="C14" s="130">
        <v>0.87</v>
      </c>
      <c r="E14" s="304"/>
      <c r="F14" s="131"/>
      <c r="G14" s="127"/>
      <c r="H14" s="127"/>
      <c r="I14" s="127"/>
      <c r="K14" s="8"/>
      <c r="L14" s="8"/>
      <c r="M14" s="8"/>
      <c r="N14" s="8"/>
      <c r="O14" s="8"/>
      <c r="P14" s="8"/>
    </row>
    <row r="15" spans="2:16" ht="15" customHeight="1">
      <c r="B15" s="113" t="s">
        <v>210</v>
      </c>
      <c r="C15" s="114">
        <v>6.7500000000000004E-2</v>
      </c>
      <c r="E15" s="108"/>
      <c r="F15" s="9"/>
      <c r="G15" s="8"/>
      <c r="H15" s="8"/>
      <c r="I15" s="8"/>
      <c r="K15" s="305" t="s">
        <v>211</v>
      </c>
      <c r="L15" s="4"/>
      <c r="M15" s="4"/>
      <c r="N15" s="4"/>
      <c r="O15" s="4"/>
      <c r="P15" s="4"/>
    </row>
    <row r="16" spans="2:16" ht="15" customHeight="1">
      <c r="B16" s="113" t="s">
        <v>212</v>
      </c>
      <c r="C16" s="114">
        <f>C14*C15</f>
        <v>5.8725000000000006E-2</v>
      </c>
      <c r="E16" s="108" t="s">
        <v>213</v>
      </c>
      <c r="F16" s="34">
        <f>AVERAGE(RATIO_ANALYSIS_!D31:G31)</f>
        <v>63.308873710984727</v>
      </c>
      <c r="G16" s="33"/>
      <c r="H16" s="33"/>
      <c r="I16" s="33"/>
      <c r="K16" s="305"/>
      <c r="L16" s="4" t="s">
        <v>3</v>
      </c>
      <c r="M16" s="4" t="s">
        <v>4</v>
      </c>
      <c r="N16" s="4" t="s">
        <v>5</v>
      </c>
      <c r="O16" s="4" t="s">
        <v>6</v>
      </c>
      <c r="P16" s="5" t="s">
        <v>7</v>
      </c>
    </row>
    <row r="17" spans="2:16">
      <c r="B17" s="117" t="s">
        <v>204</v>
      </c>
      <c r="C17" s="118">
        <f>C13+C16</f>
        <v>0.120925</v>
      </c>
      <c r="E17" s="108" t="s">
        <v>214</v>
      </c>
      <c r="F17" s="111">
        <f>AVERAGE(VERTICAL_ANALYSIS!D57:G57)</f>
        <v>9.307118387610884E-2</v>
      </c>
      <c r="G17" s="112"/>
      <c r="H17" s="112"/>
      <c r="I17" s="112"/>
      <c r="K17" s="132"/>
      <c r="L17" s="8"/>
      <c r="M17" s="8"/>
      <c r="N17" s="8"/>
      <c r="O17" s="8"/>
      <c r="P17" s="9"/>
    </row>
    <row r="18" spans="2:16">
      <c r="B18" s="106"/>
      <c r="C18" s="107"/>
      <c r="E18" s="108" t="s">
        <v>215</v>
      </c>
      <c r="F18" s="34">
        <f>AVERAGE(VERTICAL_ANALYSIS!D58:G58)</f>
        <v>34.383561510713875</v>
      </c>
      <c r="G18" s="33"/>
      <c r="H18" s="33"/>
      <c r="I18" s="33"/>
      <c r="K18" s="108" t="s">
        <v>216</v>
      </c>
      <c r="L18" s="33">
        <f>AVERAGE(VERTICAL_ANALYSIS!D80:G80)</f>
        <v>2.0754292465181678</v>
      </c>
      <c r="M18" s="8"/>
      <c r="N18" s="8"/>
      <c r="O18" s="8"/>
      <c r="P18" s="9"/>
    </row>
    <row r="19" spans="2:16">
      <c r="B19" s="109" t="s">
        <v>217</v>
      </c>
      <c r="C19" s="110"/>
      <c r="E19" s="108" t="s">
        <v>218</v>
      </c>
      <c r="F19" s="111">
        <v>0.54800000000000004</v>
      </c>
      <c r="G19" s="112"/>
      <c r="H19" s="112"/>
      <c r="I19" s="112"/>
      <c r="K19" s="108" t="s">
        <v>219</v>
      </c>
      <c r="L19" s="112">
        <f>AVERAGE(VERTICAL_ANALYSIS!D82:G82)</f>
        <v>0.56972154089659566</v>
      </c>
      <c r="M19" s="8"/>
      <c r="N19" s="8"/>
      <c r="O19" s="8"/>
      <c r="P19" s="9"/>
    </row>
    <row r="20" spans="2:16">
      <c r="B20" s="113" t="s">
        <v>206</v>
      </c>
      <c r="C20" s="114">
        <v>0</v>
      </c>
      <c r="E20" s="108"/>
      <c r="F20" s="9"/>
      <c r="G20" s="8"/>
      <c r="H20" s="8"/>
      <c r="I20" s="8"/>
      <c r="K20" s="8" t="s">
        <v>220</v>
      </c>
      <c r="L20" s="112">
        <f>AVERAGE(VERTICAL_ANALYSIS!D81:G81)</f>
        <v>0.15320978826436599</v>
      </c>
      <c r="M20" s="8"/>
      <c r="N20" s="8"/>
      <c r="O20" s="8"/>
      <c r="P20" s="9"/>
    </row>
    <row r="21" spans="2:16">
      <c r="B21" s="113" t="s">
        <v>221</v>
      </c>
      <c r="C21" s="130">
        <v>0</v>
      </c>
      <c r="E21" s="108" t="s">
        <v>222</v>
      </c>
      <c r="F21" s="111">
        <f>AVERAGE(VERTICAL_ANALYSIS!D68:G68)</f>
        <v>1.7149376901967866E-2</v>
      </c>
      <c r="G21" s="112"/>
      <c r="H21" s="112"/>
      <c r="I21" s="112"/>
      <c r="K21" s="108" t="s">
        <v>223</v>
      </c>
      <c r="L21" s="15">
        <f>VERTICAL_ANALYSIS!G79*ASSUMPTION_!$L$18</f>
        <v>71932.302255073184</v>
      </c>
      <c r="M21" s="15">
        <f>L25*$L$18</f>
        <v>103172.67571790841</v>
      </c>
      <c r="N21" s="15">
        <f>M25*$L$18</f>
        <v>90838.352238567619</v>
      </c>
      <c r="O21" s="15">
        <f>N25*$L$18</f>
        <v>127869.77776635312</v>
      </c>
      <c r="P21" s="16">
        <f>O25*$L$18</f>
        <v>114611.02265370381</v>
      </c>
    </row>
    <row r="22" spans="2:16">
      <c r="B22" s="113" t="s">
        <v>224</v>
      </c>
      <c r="C22" s="114">
        <f>C20+C21</f>
        <v>0</v>
      </c>
      <c r="E22" s="108" t="s">
        <v>225</v>
      </c>
      <c r="F22" s="133" t="s">
        <v>226</v>
      </c>
      <c r="G22" s="8"/>
      <c r="H22" s="8"/>
      <c r="I22" s="8"/>
      <c r="K22" s="108" t="s">
        <v>227</v>
      </c>
      <c r="L22" s="15">
        <f>FINANCIALS!F7*ASSUMPTION_!$L$19</f>
        <v>86984.790079095837</v>
      </c>
      <c r="M22" s="15">
        <f>FINANCIALS!G7*ASSUMPTION_!$L$19</f>
        <v>97229.652846840458</v>
      </c>
      <c r="N22" s="15">
        <f>FINANCIALS!H7*ASSUMPTION_!$L$19</f>
        <v>108681.13131181768</v>
      </c>
      <c r="O22" s="15">
        <f>FINANCIALS!I7*ASSUMPTION_!$L$19</f>
        <v>121481.33781597043</v>
      </c>
      <c r="P22" s="16">
        <f>FINANCIALS!J7*ASSUMPTION_!$L$19</f>
        <v>135789.12235663502</v>
      </c>
    </row>
    <row r="23" spans="2:16">
      <c r="B23" s="113" t="s">
        <v>48</v>
      </c>
      <c r="C23" s="134">
        <v>0.26</v>
      </c>
      <c r="E23" s="108" t="s">
        <v>228</v>
      </c>
      <c r="F23" s="111">
        <f>AVERAGE(VERTICAL_ANALYSIS!D72:G72)</f>
        <v>9.9542224574119785E-3</v>
      </c>
      <c r="G23" s="112"/>
      <c r="H23" s="112"/>
      <c r="I23" s="112"/>
      <c r="K23" s="122" t="s">
        <v>229</v>
      </c>
      <c r="L23" s="135">
        <f>L21-L22</f>
        <v>-15052.487824022654</v>
      </c>
      <c r="M23" s="135">
        <f>M21-M22</f>
        <v>5943.0228710679512</v>
      </c>
      <c r="N23" s="135">
        <f>N21-N22</f>
        <v>-17842.779073250058</v>
      </c>
      <c r="O23" s="135">
        <f>O21-O22</f>
        <v>6388.4399503826862</v>
      </c>
      <c r="P23" s="136">
        <f>P21-P22</f>
        <v>-21178.099702931213</v>
      </c>
    </row>
    <row r="24" spans="2:16">
      <c r="B24" s="137" t="s">
        <v>230</v>
      </c>
      <c r="C24" s="138">
        <v>0</v>
      </c>
      <c r="E24" s="108" t="s">
        <v>231</v>
      </c>
      <c r="F24" s="111">
        <f>AVERAGE(VERTICAL_ANALYSIS!D73:G73)</f>
        <v>6.6025075280054357E-2</v>
      </c>
      <c r="G24" s="112"/>
      <c r="H24" s="112"/>
      <c r="I24" s="112"/>
      <c r="K24" s="108"/>
      <c r="L24" s="8"/>
      <c r="M24" s="8"/>
      <c r="N24" s="8"/>
      <c r="O24" s="8"/>
      <c r="P24" s="9"/>
    </row>
    <row r="25" spans="2:16">
      <c r="B25" s="106"/>
      <c r="C25" s="107"/>
      <c r="E25" s="108"/>
      <c r="F25" s="9"/>
      <c r="G25" s="8"/>
      <c r="H25" s="8"/>
      <c r="I25" s="8"/>
      <c r="K25" s="108" t="s">
        <v>184</v>
      </c>
      <c r="L25" s="15">
        <f>VERTICAL_ANALYSIS!G79-ASSUMPTION_!L23</f>
        <v>49711.487824022654</v>
      </c>
      <c r="M25" s="15">
        <f>L25-ASSUMPTION_!M23</f>
        <v>43768.464952954702</v>
      </c>
      <c r="N25" s="15">
        <f>M25-ASSUMPTION_!N23</f>
        <v>61611.24402620476</v>
      </c>
      <c r="O25" s="15">
        <f>N25-ASSUMPTION_!O23</f>
        <v>55222.804075822074</v>
      </c>
      <c r="P25" s="16">
        <f>O25-ASSUMPTION_!P23</f>
        <v>76400.903778753287</v>
      </c>
    </row>
    <row r="26" spans="2:16">
      <c r="B26" s="139" t="s">
        <v>232</v>
      </c>
      <c r="C26" s="140">
        <f>C17*C8+C24*C9</f>
        <v>0.120925</v>
      </c>
      <c r="E26" s="108" t="s">
        <v>233</v>
      </c>
      <c r="F26" s="34">
        <f>AVERAGE(RATIO_ANALYSIS_!D37:G37)</f>
        <v>10.542837292153159</v>
      </c>
      <c r="G26" s="33"/>
      <c r="H26" s="33"/>
      <c r="I26" s="33"/>
      <c r="K26" s="108"/>
      <c r="L26" s="8"/>
      <c r="M26" s="8"/>
      <c r="N26" s="8"/>
      <c r="O26" s="8"/>
      <c r="P26" s="9"/>
    </row>
    <row r="27" spans="2:16">
      <c r="B27" s="141"/>
      <c r="C27" s="142"/>
      <c r="E27" s="108" t="s">
        <v>234</v>
      </c>
      <c r="F27" s="111">
        <f>AVERAGE(VERTICAL_ANALYSIS!D62:G62)</f>
        <v>0.13839492346884122</v>
      </c>
      <c r="G27" s="112"/>
      <c r="H27" s="112"/>
      <c r="I27" s="112"/>
      <c r="K27" s="108" t="s">
        <v>235</v>
      </c>
      <c r="L27" s="15">
        <f>L25*0.25</f>
        <v>12427.871956005663</v>
      </c>
      <c r="M27" s="15">
        <f>M25*0.25</f>
        <v>10942.116238238676</v>
      </c>
      <c r="N27" s="15">
        <f>N25*0.25</f>
        <v>15402.81100655119</v>
      </c>
      <c r="O27" s="15">
        <f>O25*0.25</f>
        <v>13805.701018955519</v>
      </c>
      <c r="P27" s="16">
        <f>P25*0.25</f>
        <v>19100.225944688322</v>
      </c>
    </row>
    <row r="28" spans="2:16">
      <c r="E28" s="108" t="s">
        <v>236</v>
      </c>
      <c r="F28" s="16">
        <f>AVERAGE(VERTICAL_ANALYSIS!D63:G63)</f>
        <v>44.555276863715733</v>
      </c>
      <c r="G28" s="15"/>
      <c r="H28" s="15"/>
      <c r="I28" s="15"/>
      <c r="K28" s="119" t="s">
        <v>237</v>
      </c>
      <c r="L28" s="25">
        <f>L25*0.75</f>
        <v>37283.61586801699</v>
      </c>
      <c r="M28" s="25">
        <f>M25*0.75</f>
        <v>32826.348714716027</v>
      </c>
      <c r="N28" s="25">
        <f>N25*0.75</f>
        <v>46208.433019653574</v>
      </c>
      <c r="O28" s="25">
        <f>O25*0.75</f>
        <v>41417.103056866559</v>
      </c>
      <c r="P28" s="26">
        <f>P25*0.75</f>
        <v>57300.677834064962</v>
      </c>
    </row>
    <row r="29" spans="2:16">
      <c r="E29" s="108"/>
      <c r="F29" s="9"/>
      <c r="G29" s="8"/>
      <c r="H29" s="8"/>
      <c r="I29" s="8"/>
      <c r="L29" s="73"/>
    </row>
    <row r="30" spans="2:16">
      <c r="E30" s="108" t="s">
        <v>238</v>
      </c>
      <c r="F30" s="111">
        <f>AVERAGE(VERTICAL_ANALYSIS!D75:G75)</f>
        <v>5.1870527766070429E-2</v>
      </c>
      <c r="G30" s="112"/>
      <c r="H30" s="112"/>
      <c r="I30" s="112"/>
    </row>
    <row r="31" spans="2:16">
      <c r="E31" s="108" t="s">
        <v>182</v>
      </c>
      <c r="F31" s="111">
        <f>AVERAGE(VERTICAL_ANALYSIS!D76:G76)</f>
        <v>1.5843338699737284E-2</v>
      </c>
      <c r="G31" s="112"/>
      <c r="H31" s="112"/>
      <c r="I31" s="112"/>
    </row>
    <row r="32" spans="2:16">
      <c r="E32" s="119"/>
      <c r="F32" s="143"/>
      <c r="G32" s="8"/>
      <c r="H32" s="8"/>
      <c r="I32" s="8"/>
    </row>
    <row r="53" spans="6:9">
      <c r="F53" s="72"/>
      <c r="G53" s="72"/>
      <c r="H53" s="72"/>
      <c r="I53" s="72"/>
    </row>
  </sheetData>
  <mergeCells count="2">
    <mergeCell ref="E13:E14"/>
    <mergeCell ref="K15:K16"/>
  </mergeCells>
  <dataValidations count="1">
    <dataValidation type="list" allowBlank="1" showInputMessage="1" showErrorMessage="1" sqref="E6" xr:uid="{6E72E360-8124-4FF8-9DFC-BCC9AA8E8BB8}">
      <formula1>$G$5:$I$5</formula1>
    </dataValidation>
  </dataValidations>
  <pageMargins left="0.70000000000000007" right="0.70000000000000007" top="0.75" bottom="0.75" header="0.30000000000000004" footer="0.30000000000000004"/>
  <pageSetup paperSize="0" orientation="portrait" horizontalDpi="0" verticalDpi="0" copie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EC76-FBBE-47D2-9855-2BA5F8D6AF81}">
  <sheetPr>
    <tabColor rgb="FFC00000"/>
    <pageSetUpPr fitToPage="1"/>
  </sheetPr>
  <dimension ref="B2:J162"/>
  <sheetViews>
    <sheetView showGridLines="0" topLeftCell="A70" workbookViewId="0">
      <selection activeCell="D64" sqref="D64:E64"/>
    </sheetView>
  </sheetViews>
  <sheetFormatPr defaultRowHeight="14.45"/>
  <cols>
    <col min="1" max="2" width="8.85546875" customWidth="1"/>
    <col min="3" max="3" width="36.5703125" bestFit="1" customWidth="1"/>
    <col min="4" max="4" width="13.140625" customWidth="1"/>
    <col min="5" max="5" width="13.28515625" customWidth="1"/>
    <col min="6" max="8" width="11.7109375" bestFit="1" customWidth="1"/>
    <col min="9" max="10" width="12.7109375" bestFit="1" customWidth="1"/>
    <col min="11" max="11" width="8.85546875" customWidth="1"/>
  </cols>
  <sheetData>
    <row r="2" spans="2:10" ht="21">
      <c r="B2" s="21"/>
      <c r="C2" s="144" t="s">
        <v>239</v>
      </c>
      <c r="D2" s="21"/>
      <c r="E2" s="21"/>
    </row>
    <row r="3" spans="2:10">
      <c r="B3" s="2"/>
      <c r="C3" s="3" t="s">
        <v>240</v>
      </c>
      <c r="D3" s="2"/>
      <c r="E3" s="2"/>
    </row>
    <row r="4" spans="2:10">
      <c r="B4" s="2"/>
      <c r="C4" s="3"/>
      <c r="D4" s="306" t="s">
        <v>241</v>
      </c>
      <c r="E4" s="306"/>
      <c r="F4" s="307" t="s">
        <v>242</v>
      </c>
      <c r="G4" s="307"/>
      <c r="H4" s="307"/>
      <c r="I4" s="307"/>
      <c r="J4" s="307"/>
    </row>
    <row r="5" spans="2:10">
      <c r="B5" s="145"/>
      <c r="C5" s="146" t="s">
        <v>243</v>
      </c>
      <c r="D5" s="222">
        <v>2024</v>
      </c>
      <c r="E5" s="223">
        <v>2025</v>
      </c>
      <c r="F5" s="4" t="s">
        <v>3</v>
      </c>
      <c r="G5" s="4" t="s">
        <v>4</v>
      </c>
      <c r="H5" s="4" t="s">
        <v>5</v>
      </c>
      <c r="I5" s="4" t="s">
        <v>6</v>
      </c>
      <c r="J5" s="5" t="s">
        <v>7</v>
      </c>
    </row>
    <row r="6" spans="2:10">
      <c r="B6" s="6"/>
      <c r="C6" s="2"/>
      <c r="D6" s="2"/>
      <c r="E6" s="7"/>
      <c r="F6" s="8"/>
      <c r="G6" s="8"/>
      <c r="H6" s="8"/>
      <c r="I6" s="8"/>
      <c r="J6" s="9"/>
    </row>
    <row r="7" spans="2:10">
      <c r="B7" s="12"/>
      <c r="C7" s="13" t="s">
        <v>9</v>
      </c>
      <c r="D7" s="147">
        <f>INCOME_STATEMENT!G7</f>
        <v>128933</v>
      </c>
      <c r="E7" s="147">
        <f>INCOME_STATEMENT!H7</f>
        <v>136592</v>
      </c>
      <c r="F7" s="15">
        <f>E7*(1+F8)</f>
        <v>152679.48258056748</v>
      </c>
      <c r="G7" s="15">
        <f>F7*(1+G8)</f>
        <v>170661.71079616528</v>
      </c>
      <c r="H7" s="15">
        <f>G7*(1+H8)</f>
        <v>190761.84330468081</v>
      </c>
      <c r="I7" s="15">
        <f>H7*(1+I8)</f>
        <v>213229.32186272956</v>
      </c>
      <c r="J7" s="16">
        <f>I7*(1+J8)</f>
        <v>238342.96688683695</v>
      </c>
    </row>
    <row r="8" spans="2:10">
      <c r="B8" s="12"/>
      <c r="C8" s="17" t="s">
        <v>244</v>
      </c>
      <c r="D8" s="148">
        <v>0.19313065229940352</v>
      </c>
      <c r="E8" s="149">
        <v>3.9664876546196395E-2</v>
      </c>
      <c r="F8" s="19">
        <f>ASSUMPTION_!F7</f>
        <v>0.11777763397979005</v>
      </c>
      <c r="G8" s="19">
        <f>ASSUMPTION_!$G$7</f>
        <v>0.11777763397979005</v>
      </c>
      <c r="H8" s="19">
        <f>ASSUMPTION_!$G$7</f>
        <v>0.11777763397979005</v>
      </c>
      <c r="I8" s="19">
        <f>ASSUMPTION_!$G$7</f>
        <v>0.11777763397979005</v>
      </c>
      <c r="J8" s="20">
        <f>ASSUMPTION_!$G$7</f>
        <v>0.11777763397979005</v>
      </c>
    </row>
    <row r="9" spans="2:10">
      <c r="B9" s="12"/>
      <c r="C9" s="21"/>
      <c r="D9" s="8"/>
      <c r="E9" s="9"/>
      <c r="F9" s="33"/>
      <c r="G9" s="33"/>
      <c r="H9" s="33"/>
      <c r="I9" s="33"/>
      <c r="J9" s="34"/>
    </row>
    <row r="10" spans="2:10">
      <c r="B10" s="12"/>
      <c r="C10" s="23" t="s">
        <v>245</v>
      </c>
      <c r="D10" s="150">
        <f>INCOME_STATEMENT!G8</f>
        <v>-89032</v>
      </c>
      <c r="E10" s="150">
        <f>INCOME_STATEMENT!H8</f>
        <v>-94111</v>
      </c>
      <c r="F10" s="25">
        <f>F7*(ASSUMPTION_!$F$8*-1)</f>
        <v>-103439.03149990668</v>
      </c>
      <c r="G10" s="25">
        <f>G7*(ASSUMPTION_!$F$8*-1)</f>
        <v>-115621.83589112666</v>
      </c>
      <c r="H10" s="25">
        <f>H7*(ASSUMPTION_!$F$8*-1)</f>
        <v>-129239.50215878313</v>
      </c>
      <c r="I10" s="25">
        <f>I7*(ASSUMPTION_!$F$8*-1)</f>
        <v>-144461.02493977055</v>
      </c>
      <c r="J10" s="26">
        <f>J7*(ASSUMPTION_!$F$8*-1)</f>
        <v>-161475.30265947216</v>
      </c>
    </row>
    <row r="11" spans="2:10">
      <c r="B11" s="12"/>
      <c r="C11" s="27" t="s">
        <v>246</v>
      </c>
      <c r="D11" s="151">
        <f t="shared" ref="D11:J11" si="0">SUM(D7,D10)</f>
        <v>39901</v>
      </c>
      <c r="E11" s="152">
        <f t="shared" si="0"/>
        <v>42481</v>
      </c>
      <c r="F11" s="29">
        <f t="shared" si="0"/>
        <v>49240.451080660801</v>
      </c>
      <c r="G11" s="29">
        <f t="shared" si="0"/>
        <v>55039.874905038625</v>
      </c>
      <c r="H11" s="29">
        <f t="shared" si="0"/>
        <v>61522.341145897677</v>
      </c>
      <c r="I11" s="29">
        <f t="shared" si="0"/>
        <v>68768.296922959009</v>
      </c>
      <c r="J11" s="30">
        <f t="shared" si="0"/>
        <v>76867.664227364789</v>
      </c>
    </row>
    <row r="12" spans="2:10">
      <c r="B12" s="12"/>
      <c r="C12" s="17" t="s">
        <v>247</v>
      </c>
      <c r="D12" s="31">
        <f t="shared" ref="D12:J12" si="1">D11/D7</f>
        <v>0.30947081042091629</v>
      </c>
      <c r="E12" s="32">
        <f t="shared" si="1"/>
        <v>0.31100650111280309</v>
      </c>
      <c r="F12" s="31">
        <f t="shared" si="1"/>
        <v>0.32250863212532238</v>
      </c>
      <c r="G12" s="31">
        <f t="shared" si="1"/>
        <v>0.32250863212532238</v>
      </c>
      <c r="H12" s="31">
        <f t="shared" si="1"/>
        <v>0.32250863212532227</v>
      </c>
      <c r="I12" s="31">
        <f t="shared" si="1"/>
        <v>0.32250863212532238</v>
      </c>
      <c r="J12" s="32">
        <f t="shared" si="1"/>
        <v>0.32250863212532238</v>
      </c>
    </row>
    <row r="13" spans="2:10">
      <c r="B13" s="12"/>
      <c r="C13" s="21"/>
      <c r="D13" s="21"/>
      <c r="E13" s="22"/>
      <c r="F13" s="33"/>
      <c r="G13" s="33"/>
      <c r="H13" s="33"/>
      <c r="I13" s="33"/>
      <c r="J13" s="34"/>
    </row>
    <row r="14" spans="2:10">
      <c r="B14" s="12"/>
      <c r="C14" s="23" t="s">
        <v>14</v>
      </c>
      <c r="D14" s="153">
        <f>INCOME_STATEMENT!G9</f>
        <v>-11088</v>
      </c>
      <c r="E14" s="153">
        <f>INCOME_STATEMENT!H9</f>
        <v>-11601</v>
      </c>
      <c r="F14" s="25">
        <f>F7*(ASSUMPTION_!$F$9*-1)</f>
        <v>-9804.6159872759417</v>
      </c>
      <c r="G14" s="25">
        <f>G7*(ASSUMPTION_!$F$9*-1)</f>
        <v>-10959.380460337725</v>
      </c>
      <c r="H14" s="25">
        <f>H7*(ASSUMPTION_!$F$9*-1)</f>
        <v>-12250.150360840644</v>
      </c>
      <c r="I14" s="25">
        <f>I7*(ASSUMPTION_!$F$9*-1)</f>
        <v>-13692.944086237127</v>
      </c>
      <c r="J14" s="26">
        <f>J7*(ASSUMPTION_!$F$9*-1)</f>
        <v>-15305.666642931692</v>
      </c>
    </row>
    <row r="15" spans="2:10">
      <c r="B15" s="12"/>
      <c r="C15" s="27" t="s">
        <v>15</v>
      </c>
      <c r="D15" s="151">
        <f t="shared" ref="D15:J15" si="2">SUM(D11,D14)</f>
        <v>28813</v>
      </c>
      <c r="E15" s="152">
        <f t="shared" si="2"/>
        <v>30880</v>
      </c>
      <c r="F15" s="29">
        <f t="shared" si="2"/>
        <v>39435.835093384856</v>
      </c>
      <c r="G15" s="29">
        <f t="shared" si="2"/>
        <v>44080.494444700904</v>
      </c>
      <c r="H15" s="29">
        <f t="shared" si="2"/>
        <v>49272.190785057035</v>
      </c>
      <c r="I15" s="29">
        <f t="shared" si="2"/>
        <v>55075.352836721882</v>
      </c>
      <c r="J15" s="30">
        <f t="shared" si="2"/>
        <v>61561.997584433098</v>
      </c>
    </row>
    <row r="16" spans="2:10">
      <c r="B16" s="12"/>
      <c r="C16" s="17" t="s">
        <v>248</v>
      </c>
      <c r="D16" s="31">
        <f t="shared" ref="D16:J16" si="3">D15/D7</f>
        <v>0.22347265634089022</v>
      </c>
      <c r="E16" s="32">
        <f t="shared" si="3"/>
        <v>0.22607473351294366</v>
      </c>
      <c r="F16" s="31">
        <f t="shared" si="3"/>
        <v>0.25829164748822719</v>
      </c>
      <c r="G16" s="31">
        <f t="shared" si="3"/>
        <v>0.25829164748822719</v>
      </c>
      <c r="H16" s="31">
        <f t="shared" si="3"/>
        <v>0.25829164748822714</v>
      </c>
      <c r="I16" s="31">
        <f t="shared" si="3"/>
        <v>0.25829164748822719</v>
      </c>
      <c r="J16" s="32">
        <f t="shared" si="3"/>
        <v>0.25829164748822719</v>
      </c>
    </row>
    <row r="17" spans="2:10">
      <c r="B17" s="12"/>
      <c r="C17" s="21"/>
      <c r="D17" s="21"/>
      <c r="E17" s="22"/>
      <c r="F17" s="33"/>
      <c r="G17" s="33"/>
      <c r="H17" s="33"/>
      <c r="I17" s="33"/>
      <c r="J17" s="34"/>
    </row>
    <row r="18" spans="2:10">
      <c r="B18" s="12"/>
      <c r="C18" s="23" t="s">
        <v>249</v>
      </c>
      <c r="D18" s="25">
        <f>INCOME_STATEMENT!G19</f>
        <v>2944</v>
      </c>
      <c r="E18" s="25">
        <f>INCOME_STATEMENT!H19</f>
        <v>2618</v>
      </c>
      <c r="F18" s="25">
        <v>-3543.4718631999999</v>
      </c>
      <c r="G18" s="25">
        <v>-4237.0754427519996</v>
      </c>
      <c r="H18" s="25">
        <v>-5014.6591708415999</v>
      </c>
      <c r="I18" s="25">
        <v>-5876.2861235553301</v>
      </c>
      <c r="J18" s="26">
        <v>-6814.4381772298002</v>
      </c>
    </row>
    <row r="19" spans="2:10">
      <c r="B19" s="12"/>
      <c r="C19" s="27" t="s">
        <v>18</v>
      </c>
      <c r="D19" s="151">
        <f t="shared" ref="D19:J19" si="4">D15+D18</f>
        <v>31757</v>
      </c>
      <c r="E19" s="152">
        <f t="shared" si="4"/>
        <v>33498</v>
      </c>
      <c r="F19" s="29">
        <f t="shared" si="4"/>
        <v>35892.363230184856</v>
      </c>
      <c r="G19" s="29">
        <f t="shared" si="4"/>
        <v>39843.419001948903</v>
      </c>
      <c r="H19" s="29">
        <f t="shared" si="4"/>
        <v>44257.531614215433</v>
      </c>
      <c r="I19" s="29">
        <f t="shared" si="4"/>
        <v>49199.066713166554</v>
      </c>
      <c r="J19" s="30">
        <f t="shared" si="4"/>
        <v>54747.559407203298</v>
      </c>
    </row>
    <row r="20" spans="2:10">
      <c r="B20" s="12"/>
      <c r="C20" s="17" t="s">
        <v>250</v>
      </c>
      <c r="D20" s="31">
        <f t="shared" ref="D20:J20" si="5">D19/D7</f>
        <v>0.24630622106055083</v>
      </c>
      <c r="E20" s="32">
        <f t="shared" si="5"/>
        <v>0.24524130256530396</v>
      </c>
      <c r="F20" s="31">
        <f t="shared" si="5"/>
        <v>0.23508308139074813</v>
      </c>
      <c r="G20" s="31">
        <f t="shared" si="5"/>
        <v>0.23346431262216183</v>
      </c>
      <c r="H20" s="31">
        <f t="shared" si="5"/>
        <v>0.23200410966635626</v>
      </c>
      <c r="I20" s="31">
        <f t="shared" si="5"/>
        <v>0.23073312002014146</v>
      </c>
      <c r="J20" s="32">
        <f t="shared" si="5"/>
        <v>0.22970075485045438</v>
      </c>
    </row>
    <row r="21" spans="2:10">
      <c r="B21" s="12"/>
      <c r="C21" s="21"/>
      <c r="D21" s="21"/>
      <c r="E21" s="22"/>
      <c r="F21" s="33"/>
      <c r="G21" s="33"/>
      <c r="H21" s="33"/>
      <c r="I21" s="33"/>
      <c r="J21" s="34"/>
    </row>
    <row r="22" spans="2:10">
      <c r="B22" s="12"/>
      <c r="C22" s="21" t="s">
        <v>20</v>
      </c>
      <c r="D22" s="147">
        <f>INCOME_STATEMENT!G12</f>
        <v>7417</v>
      </c>
      <c r="E22" s="147">
        <f>INCOME_STATEMENT!H12</f>
        <v>4782</v>
      </c>
      <c r="F22" s="15">
        <f>((E37+E43)+(F37+F43)/2)*ASSUMPTION_!$L$20</f>
        <v>9709.4778862794083</v>
      </c>
      <c r="G22" s="15">
        <f>((F37+F43)+(G37+G43)/2)*ASSUMPTION_!$L$20</f>
        <v>10969.165147874375</v>
      </c>
      <c r="H22" s="15">
        <f>((G37+G43)+(H37+H43)/2)*ASSUMPTION_!$L$20</f>
        <v>11425.480074078019</v>
      </c>
      <c r="I22" s="15">
        <f>((H37+H43)+(I37+I43)/2)*ASSUMPTION_!$L$20</f>
        <v>13669.78271186965</v>
      </c>
      <c r="J22" s="16">
        <f>((I37+I43)+(J37+J43)/2)*ASSUMPTION_!$L$20</f>
        <v>14313.357265395762</v>
      </c>
    </row>
    <row r="23" spans="2:10">
      <c r="B23" s="12"/>
      <c r="C23" s="38" t="s">
        <v>251</v>
      </c>
      <c r="D23" s="154" t="s">
        <v>22</v>
      </c>
      <c r="E23" s="155" t="s">
        <v>22</v>
      </c>
      <c r="F23" s="40" t="s">
        <v>22</v>
      </c>
      <c r="G23" s="40" t="s">
        <v>22</v>
      </c>
      <c r="H23" s="40" t="s">
        <v>22</v>
      </c>
      <c r="I23" s="40" t="s">
        <v>22</v>
      </c>
      <c r="J23" s="41" t="s">
        <v>22</v>
      </c>
    </row>
    <row r="24" spans="2:10">
      <c r="B24" s="12"/>
      <c r="C24" s="23" t="s">
        <v>252</v>
      </c>
      <c r="D24" s="150">
        <f>INCOME_STATEMENT!G14</f>
        <v>-277</v>
      </c>
      <c r="E24" s="150">
        <f>INCOME_STATEMENT!H14</f>
        <v>-221</v>
      </c>
      <c r="F24" s="25">
        <f>F56*ASSUMPTION_!$F$10*-1</f>
        <v>-272.60142826425312</v>
      </c>
      <c r="G24" s="25">
        <f>G56*ASSUMPTION_!$F$10*-1</f>
        <v>-305.35262265698117</v>
      </c>
      <c r="H24" s="25">
        <f>H56*ASSUMPTION_!$F$10*-1</f>
        <v>-341.96651853251944</v>
      </c>
      <c r="I24" s="25">
        <f>I56*ASSUMPTION_!$F$10*-1</f>
        <v>-382.87511568949617</v>
      </c>
      <c r="J24" s="26">
        <f>J56*ASSUMPTION_!$F$10*-1</f>
        <v>-428.54358066279082</v>
      </c>
    </row>
    <row r="25" spans="2:10">
      <c r="B25" s="12"/>
      <c r="C25" s="27" t="s">
        <v>24</v>
      </c>
      <c r="D25" s="151">
        <f t="shared" ref="D25:J25" si="6">SUM(D19,D22:D24)</f>
        <v>38897</v>
      </c>
      <c r="E25" s="152">
        <f t="shared" si="6"/>
        <v>38059</v>
      </c>
      <c r="F25" s="29">
        <f t="shared" si="6"/>
        <v>45329.23968820001</v>
      </c>
      <c r="G25" s="29">
        <f t="shared" si="6"/>
        <v>50507.231527166296</v>
      </c>
      <c r="H25" s="29">
        <f t="shared" si="6"/>
        <v>55341.045169760931</v>
      </c>
      <c r="I25" s="29">
        <f t="shared" si="6"/>
        <v>62485.974309346711</v>
      </c>
      <c r="J25" s="30">
        <f t="shared" si="6"/>
        <v>68632.373091936272</v>
      </c>
    </row>
    <row r="26" spans="2:10">
      <c r="B26" s="12"/>
      <c r="C26" s="17" t="s">
        <v>253</v>
      </c>
      <c r="D26" s="31">
        <f t="shared" ref="D26:J26" si="7">D25/D7</f>
        <v>0.3016838202787494</v>
      </c>
      <c r="E26" s="32">
        <f t="shared" si="7"/>
        <v>0.27863271641091719</v>
      </c>
      <c r="F26" s="31">
        <f t="shared" si="7"/>
        <v>0.29689149401118919</v>
      </c>
      <c r="G26" s="31">
        <f t="shared" si="7"/>
        <v>0.29594940359815719</v>
      </c>
      <c r="H26" s="31">
        <f t="shared" si="7"/>
        <v>0.29010542260996808</v>
      </c>
      <c r="I26" s="31">
        <f t="shared" si="7"/>
        <v>0.29304588019828365</v>
      </c>
      <c r="J26" s="32">
        <f t="shared" si="7"/>
        <v>0.28795635964589755</v>
      </c>
    </row>
    <row r="27" spans="2:10">
      <c r="B27" s="12"/>
      <c r="C27" s="21"/>
      <c r="D27" s="21"/>
      <c r="E27" s="22"/>
      <c r="F27" s="33"/>
      <c r="G27" s="33"/>
      <c r="H27" s="33"/>
      <c r="I27" s="33"/>
      <c r="J27" s="34"/>
    </row>
    <row r="28" spans="2:10">
      <c r="B28" s="12"/>
      <c r="C28" s="23" t="s">
        <v>254</v>
      </c>
      <c r="D28" s="150">
        <f>INCOME_STATEMENT!G15</f>
        <v>-8719</v>
      </c>
      <c r="E28" s="150">
        <f>INCOME_STATEMENT!H15</f>
        <v>-9873</v>
      </c>
      <c r="F28" s="25">
        <f>F25*ASSUMPTION_!$F$11*-1</f>
        <v>-11785.602318932004</v>
      </c>
      <c r="G28" s="25">
        <f>G25*ASSUMPTION_!$F$11*-1</f>
        <v>-13131.880197063238</v>
      </c>
      <c r="H28" s="25">
        <f>H25*ASSUMPTION_!$F$11*-1</f>
        <v>-14388.671744137842</v>
      </c>
      <c r="I28" s="25">
        <f>I25*ASSUMPTION_!$F$11*-1</f>
        <v>-16246.353320430146</v>
      </c>
      <c r="J28" s="26">
        <f>J25*ASSUMPTION_!$F$11*-1</f>
        <v>-17844.417003903432</v>
      </c>
    </row>
    <row r="29" spans="2:10">
      <c r="B29" s="12"/>
      <c r="C29" s="43" t="s">
        <v>255</v>
      </c>
      <c r="D29" s="45">
        <f t="shared" ref="D29:J29" si="8">SUM(D25,D28)</f>
        <v>30178</v>
      </c>
      <c r="E29" s="46">
        <f t="shared" si="8"/>
        <v>28186</v>
      </c>
      <c r="F29" s="45">
        <f t="shared" si="8"/>
        <v>33543.637369268006</v>
      </c>
      <c r="G29" s="45">
        <f t="shared" si="8"/>
        <v>37375.351330103062</v>
      </c>
      <c r="H29" s="45">
        <f t="shared" si="8"/>
        <v>40952.373425623089</v>
      </c>
      <c r="I29" s="45">
        <f t="shared" si="8"/>
        <v>46239.620988916562</v>
      </c>
      <c r="J29" s="46">
        <f t="shared" si="8"/>
        <v>50787.956088032835</v>
      </c>
    </row>
    <row r="30" spans="2:10">
      <c r="B30" s="12"/>
      <c r="C30" s="17" t="s">
        <v>256</v>
      </c>
      <c r="D30" s="31">
        <f t="shared" ref="D30:J30" si="9">D29/D7</f>
        <v>0.23405955030907524</v>
      </c>
      <c r="E30" s="32">
        <f t="shared" si="9"/>
        <v>0.20635176291437274</v>
      </c>
      <c r="F30" s="31">
        <f t="shared" si="9"/>
        <v>0.21969970556827997</v>
      </c>
      <c r="G30" s="31">
        <f t="shared" si="9"/>
        <v>0.21900255866263632</v>
      </c>
      <c r="H30" s="31">
        <f t="shared" si="9"/>
        <v>0.21467801273137638</v>
      </c>
      <c r="I30" s="31">
        <f t="shared" si="9"/>
        <v>0.21685395134672988</v>
      </c>
      <c r="J30" s="32">
        <f t="shared" si="9"/>
        <v>0.21308770613796416</v>
      </c>
    </row>
    <row r="31" spans="2:10">
      <c r="B31" s="47"/>
      <c r="C31" s="48"/>
      <c r="D31" s="48"/>
      <c r="E31" s="49"/>
      <c r="F31" s="282"/>
      <c r="G31" s="282"/>
      <c r="H31" s="282"/>
      <c r="I31" s="282"/>
      <c r="J31" s="50"/>
    </row>
    <row r="33" spans="2:10">
      <c r="B33" s="156"/>
      <c r="C33" s="157" t="s">
        <v>257</v>
      </c>
      <c r="D33" s="222">
        <v>2024</v>
      </c>
      <c r="E33" s="223">
        <v>2025</v>
      </c>
      <c r="F33" s="4" t="s">
        <v>3</v>
      </c>
      <c r="G33" s="4" t="s">
        <v>4</v>
      </c>
      <c r="H33" s="4" t="s">
        <v>5</v>
      </c>
      <c r="I33" s="4" t="s">
        <v>6</v>
      </c>
      <c r="J33" s="5" t="s">
        <v>7</v>
      </c>
    </row>
    <row r="34" spans="2:10">
      <c r="B34" s="6"/>
      <c r="C34" s="2"/>
      <c r="D34" s="2"/>
      <c r="E34" s="2"/>
      <c r="F34" s="6"/>
      <c r="G34" s="2"/>
      <c r="H34" s="2"/>
      <c r="I34" s="2"/>
      <c r="J34" s="7"/>
    </row>
    <row r="35" spans="2:10">
      <c r="B35" s="6"/>
      <c r="C35" s="158" t="s">
        <v>258</v>
      </c>
      <c r="D35" s="159">
        <f>BALANCE_SHEET_!G8</f>
        <v>8191</v>
      </c>
      <c r="E35" s="159">
        <f>BALANCE_SHEET_!H8</f>
        <v>14265</v>
      </c>
      <c r="F35" s="160">
        <f>F98</f>
        <v>4549.2397212330216</v>
      </c>
      <c r="G35" s="161">
        <f>G98</f>
        <v>16125.823179555231</v>
      </c>
      <c r="H35" s="161">
        <f>H98</f>
        <v>5417.3665196383226</v>
      </c>
      <c r="I35" s="161">
        <f>I98</f>
        <v>19467.135427153273</v>
      </c>
      <c r="J35" s="162">
        <f>J98</f>
        <v>7772.105052281815</v>
      </c>
    </row>
    <row r="36" spans="2:10">
      <c r="B36" s="6"/>
      <c r="C36" s="158" t="s">
        <v>259</v>
      </c>
      <c r="D36" s="159">
        <f>BALANCE_SHEET_!G9</f>
        <v>25152</v>
      </c>
      <c r="E36" s="159">
        <f>BALANCE_SHEET_!H9</f>
        <v>26413</v>
      </c>
      <c r="F36" s="160">
        <f>(ASSUMPTION_!$F$16/365)*FINANCIALS!F7</f>
        <v>26482.098851922299</v>
      </c>
      <c r="G36" s="161">
        <f>(ASSUMPTION_!$F$16/365)*FINANCIALS!G7</f>
        <v>29601.097797520619</v>
      </c>
      <c r="H36" s="161">
        <f>(ASSUMPTION_!$F$16/365)*FINANCIALS!H7</f>
        <v>33087.445059316975</v>
      </c>
      <c r="I36" s="161">
        <f>(ASSUMPTION_!$F$16/365)*FINANCIALS!I7</f>
        <v>36984.406052839615</v>
      </c>
      <c r="J36" s="162">
        <f>(ASSUMPTION_!$F$16/365)*FINANCIALS!J7</f>
        <v>41340.341891890894</v>
      </c>
    </row>
    <row r="37" spans="2:10">
      <c r="B37" s="6"/>
      <c r="C37" s="158" t="s">
        <v>54</v>
      </c>
      <c r="D37" s="159">
        <f>BALANCE_SHEET_!G10</f>
        <v>11307</v>
      </c>
      <c r="E37" s="159">
        <f>BALANCE_SHEET_!H10</f>
        <v>11147</v>
      </c>
      <c r="F37" s="164">
        <f>ASSUMPTION_!L27</f>
        <v>12427.871956005663</v>
      </c>
      <c r="G37" s="163">
        <f>ASSUMPTION_!M27</f>
        <v>10942.116238238676</v>
      </c>
      <c r="H37" s="163">
        <f>ASSUMPTION_!N27</f>
        <v>15402.81100655119</v>
      </c>
      <c r="I37" s="163">
        <f>ASSUMPTION_!O27</f>
        <v>13805.701018955519</v>
      </c>
      <c r="J37" s="165">
        <f>ASSUMPTION_!P27</f>
        <v>19100.225944688322</v>
      </c>
    </row>
    <row r="38" spans="2:10">
      <c r="B38" s="6"/>
      <c r="C38" s="158" t="s">
        <v>228</v>
      </c>
      <c r="D38" s="159">
        <f>BALANCE_SHEET_!G11</f>
        <v>10337</v>
      </c>
      <c r="E38" s="159">
        <f>BALANCE_SHEET_!H11</f>
        <v>12776</v>
      </c>
      <c r="F38" s="164">
        <f>F7*ASSUMPTION_!$F$17</f>
        <v>14210.060197365152</v>
      </c>
      <c r="G38" s="163">
        <f>G7*ASSUMPTION_!$F$17</f>
        <v>15883.687466121208</v>
      </c>
      <c r="H38" s="163">
        <f>H7*ASSUMPTION_!$F$17</f>
        <v>17754.430594755409</v>
      </c>
      <c r="I38" s="163">
        <f>I7*ASSUMPTION_!$F$17</f>
        <v>19845.505422864098</v>
      </c>
      <c r="J38" s="166">
        <f>J7*ASSUMPTION_!$F$17</f>
        <v>22182.862096702123</v>
      </c>
    </row>
    <row r="39" spans="2:10">
      <c r="B39" s="6"/>
      <c r="C39" s="158" t="s">
        <v>260</v>
      </c>
      <c r="D39" s="289">
        <f>BALANCE_SHEET_!G12</f>
        <v>15965</v>
      </c>
      <c r="E39" s="159">
        <f>BALANCE_SHEET_!H12</f>
        <v>12567</v>
      </c>
      <c r="F39" s="164">
        <f>(ASSUMPTION_!$F$18/365)*F7</f>
        <v>14382.642138994273</v>
      </c>
      <c r="G39" s="163">
        <f>(ASSUMPTION_!$F$18/365)*G7</f>
        <v>16076.595700503045</v>
      </c>
      <c r="H39" s="163">
        <f>(ASSUMPTION_!$F$18/365)*H7</f>
        <v>17970.059104557957</v>
      </c>
      <c r="I39" s="163">
        <f>(ASSUMPTION_!$F$18/365)*I7</f>
        <v>20086.530148369777</v>
      </c>
      <c r="J39" s="166">
        <f>(ASSUMPTION_!$F$18/365)*J7</f>
        <v>22452.274144108491</v>
      </c>
    </row>
    <row r="40" spans="2:10">
      <c r="B40" s="6"/>
      <c r="C40" s="167" t="s">
        <v>261</v>
      </c>
      <c r="D40" s="294">
        <f>SUM(D35:D39)</f>
        <v>70952</v>
      </c>
      <c r="E40" s="295">
        <f>SUM(E35:E39)</f>
        <v>77168</v>
      </c>
      <c r="F40" s="169">
        <f t="shared" ref="D40:J40" si="10">SUM(F35:F39)</f>
        <v>72051.912865520411</v>
      </c>
      <c r="G40" s="168">
        <f t="shared" si="10"/>
        <v>88629.320381938785</v>
      </c>
      <c r="H40" s="168">
        <f t="shared" si="10"/>
        <v>89632.112284819857</v>
      </c>
      <c r="I40" s="168">
        <f t="shared" si="10"/>
        <v>110189.27807018228</v>
      </c>
      <c r="J40" s="170">
        <f t="shared" si="10"/>
        <v>112847.80912967166</v>
      </c>
    </row>
    <row r="41" spans="2:10">
      <c r="B41" s="6"/>
      <c r="C41" s="13"/>
      <c r="D41" s="159"/>
      <c r="E41" s="159"/>
      <c r="F41" s="171"/>
      <c r="G41" s="172"/>
      <c r="H41" s="172"/>
      <c r="I41" s="173"/>
      <c r="J41" s="174"/>
    </row>
    <row r="42" spans="2:10">
      <c r="B42" s="12"/>
      <c r="C42" s="2" t="s">
        <v>262</v>
      </c>
      <c r="D42" s="159">
        <f>BALANCE_SHEET_!G15</f>
        <v>14604</v>
      </c>
      <c r="E42" s="159">
        <f>BALANCE_SHEET_!H15</f>
        <v>14137</v>
      </c>
      <c r="F42" s="164">
        <f>ASSUMPTION_!L11</f>
        <v>13022.23411973469</v>
      </c>
      <c r="G42" s="163">
        <f>ASSUMPTION_!M11</f>
        <v>14350.315828388048</v>
      </c>
      <c r="H42" s="163">
        <f>ASSUMPTION_!N11</f>
        <v>15727.053925834422</v>
      </c>
      <c r="I42" s="163">
        <f>ASSUMPTION_!O11</f>
        <v>17150.282580780462</v>
      </c>
      <c r="J42" s="166">
        <f>ASSUMPTION_!P11</f>
        <v>18617.027553082582</v>
      </c>
    </row>
    <row r="43" spans="2:10">
      <c r="B43" s="12"/>
      <c r="C43" s="2" t="s">
        <v>225</v>
      </c>
      <c r="D43" s="159">
        <f>BALANCE_SHEET_!G16</f>
        <v>23352</v>
      </c>
      <c r="E43" s="159">
        <f>BALANCE_SHEET_!H16</f>
        <v>27371</v>
      </c>
      <c r="F43" s="164">
        <f>ASSUMPTION_!L28</f>
        <v>37283.61586801699</v>
      </c>
      <c r="G43" s="163">
        <f>ASSUMPTION_!M28</f>
        <v>32826.348714716027</v>
      </c>
      <c r="H43" s="163">
        <f>ASSUMPTION_!N28</f>
        <v>46208.433019653574</v>
      </c>
      <c r="I43" s="163">
        <f>ASSUMPTION_!O28</f>
        <v>41417.103056866559</v>
      </c>
      <c r="J43" s="165">
        <f>ASSUMPTION_!P28</f>
        <v>57300.677834064962</v>
      </c>
    </row>
    <row r="44" spans="2:10">
      <c r="B44" s="12"/>
      <c r="C44" s="2" t="s">
        <v>263</v>
      </c>
      <c r="D44" s="159">
        <f>BALANCE_SHEET_!G17</f>
        <v>1790</v>
      </c>
      <c r="E44" s="159">
        <f>BALANCE_SHEET_!H17</f>
        <v>2376</v>
      </c>
      <c r="F44" s="164">
        <f>F7*ASSUMPTION_!$F$23</f>
        <v>1519.8055342895257</v>
      </c>
      <c r="G44" s="163">
        <f>G7*ASSUMPTION_!$F$23</f>
        <v>1698.8046342275368</v>
      </c>
      <c r="H44" s="163">
        <f>H7*ASSUMPTION_!$F$23</f>
        <v>1898.8858246407585</v>
      </c>
      <c r="I44" s="163">
        <f>I7*ASSUMPTION_!$F$23</f>
        <v>2122.5321042647097</v>
      </c>
      <c r="J44" s="166">
        <f>J7*ASSUMPTION_!$F$23</f>
        <v>2372.5189135511519</v>
      </c>
    </row>
    <row r="45" spans="2:10">
      <c r="B45" s="12"/>
      <c r="C45" s="2" t="s">
        <v>264</v>
      </c>
      <c r="D45" s="289">
        <f>BALANCE_SHEET_!G18</f>
        <v>4252</v>
      </c>
      <c r="E45" s="159">
        <f>BALANCE_SHEET_!H18</f>
        <v>3884</v>
      </c>
      <c r="F45" s="176">
        <f>ASSUMPTION_!$F$24*FINANCIALS!F7</f>
        <v>10080.674331101716</v>
      </c>
      <c r="G45" s="175">
        <f>ASSUMPTION_!$F$24*FINANCIALS!G7</f>
        <v>11267.952302739677</v>
      </c>
      <c r="H45" s="175">
        <f>ASSUMPTION_!$F$24*FINANCIALS!H7</f>
        <v>12595.065064753484</v>
      </c>
      <c r="I45" s="175">
        <f>ASSUMPTION_!$F$24*FINANCIALS!I7</f>
        <v>14078.482027901659</v>
      </c>
      <c r="J45" s="177">
        <f>ASSUMPTION_!$F$24*FINANCIALS!J7</f>
        <v>15736.612331174912</v>
      </c>
    </row>
    <row r="46" spans="2:10">
      <c r="B46" s="12"/>
      <c r="C46" s="167" t="s">
        <v>265</v>
      </c>
      <c r="D46" s="294">
        <f>SUM(D42:D45)</f>
        <v>43998</v>
      </c>
      <c r="E46" s="295">
        <f>SUM(E42:E45)</f>
        <v>47768</v>
      </c>
      <c r="F46" s="179">
        <f t="shared" ref="D46:J46" si="11">SUM(F42:F45)</f>
        <v>61906.329853142917</v>
      </c>
      <c r="G46" s="178">
        <f t="shared" si="11"/>
        <v>60143.421480071287</v>
      </c>
      <c r="H46" s="178">
        <f t="shared" si="11"/>
        <v>76429.437834882236</v>
      </c>
      <c r="I46" s="178">
        <f t="shared" si="11"/>
        <v>74768.39976981339</v>
      </c>
      <c r="J46" s="180">
        <f t="shared" si="11"/>
        <v>94026.836631873608</v>
      </c>
    </row>
    <row r="47" spans="2:10">
      <c r="B47" s="12"/>
      <c r="C47" s="181"/>
      <c r="D47" s="289"/>
      <c r="E47" s="291"/>
      <c r="F47" s="182"/>
      <c r="G47" s="183"/>
      <c r="H47" s="183"/>
      <c r="I47" s="183"/>
      <c r="J47" s="184"/>
    </row>
    <row r="48" spans="2:10">
      <c r="B48" s="12"/>
      <c r="C48" s="185" t="s">
        <v>266</v>
      </c>
      <c r="D48" s="294">
        <f>SUM(D40,D46)</f>
        <v>114950</v>
      </c>
      <c r="E48" s="294">
        <f>SUM(E40,E46)</f>
        <v>124936</v>
      </c>
      <c r="F48" s="187">
        <f t="shared" ref="D48:J48" si="12">SUM(F40,F46)</f>
        <v>133958.24271866333</v>
      </c>
      <c r="G48" s="186">
        <f t="shared" si="12"/>
        <v>148772.74186201007</v>
      </c>
      <c r="H48" s="186">
        <f t="shared" si="12"/>
        <v>166061.55011970209</v>
      </c>
      <c r="I48" s="186">
        <f t="shared" si="12"/>
        <v>184957.67783999565</v>
      </c>
      <c r="J48" s="188">
        <f t="shared" si="12"/>
        <v>206874.64576154528</v>
      </c>
    </row>
    <row r="49" spans="2:10">
      <c r="B49" s="12"/>
      <c r="C49" s="21"/>
      <c r="D49" s="292"/>
      <c r="E49" s="290"/>
      <c r="F49" s="171"/>
      <c r="G49" s="172"/>
      <c r="H49" s="172"/>
      <c r="I49" s="172"/>
      <c r="J49" s="133"/>
    </row>
    <row r="50" spans="2:10">
      <c r="B50" s="12"/>
      <c r="C50" s="21"/>
      <c r="D50" s="159"/>
      <c r="E50" s="159"/>
      <c r="F50" s="171"/>
      <c r="G50" s="172"/>
      <c r="H50" s="172"/>
      <c r="I50" s="172"/>
      <c r="J50" s="133"/>
    </row>
    <row r="51" spans="2:10">
      <c r="B51" s="6"/>
      <c r="C51" s="158" t="s">
        <v>267</v>
      </c>
      <c r="D51" s="159">
        <f>BALANCE_SHEET_!G24</f>
        <v>2493</v>
      </c>
      <c r="E51" s="159">
        <f>BALANCE_SHEET_!H24</f>
        <v>2728</v>
      </c>
      <c r="F51" s="164">
        <f>(ASSUMPTION_!$F$26/365)*(F10*-1)</f>
        <v>2987.7832294833461</v>
      </c>
      <c r="G51" s="163">
        <f>(ASSUMPTION_!$F$26/365)*(G10*-1)</f>
        <v>3339.6772690963908</v>
      </c>
      <c r="H51" s="163">
        <f>(ASSUMPTION_!$F$26/365)*(H10*-1)</f>
        <v>3733.0165561066506</v>
      </c>
      <c r="I51" s="163">
        <f>(ASSUMPTION_!$F$26/365)*(I10*-1)</f>
        <v>4172.6824136922751</v>
      </c>
      <c r="J51" s="166">
        <f>(ASSUMPTION_!$F$26/365)*(J10*-1)</f>
        <v>4664.1310757260308</v>
      </c>
    </row>
    <row r="52" spans="2:10">
      <c r="B52" s="6"/>
      <c r="C52" s="158" t="s">
        <v>234</v>
      </c>
      <c r="D52" s="159">
        <f>BALANCE_SHEET_!G25</f>
        <v>12486</v>
      </c>
      <c r="E52" s="159">
        <f>BALANCE_SHEET_!H25</f>
        <v>14866</v>
      </c>
      <c r="F52" s="164">
        <f>(SUM(F10,F14,F18)*-1)*ASSUMPTION_!$F$27</f>
        <v>16162.744444642629</v>
      </c>
      <c r="G52" s="163">
        <f>(SUM(G10,G14,G18)*-1)*ASSUMPTION_!$F$27</f>
        <v>18104.587481185114</v>
      </c>
      <c r="H52" s="163">
        <f>(SUM(H10,H14,H18)*-1)*ASSUMPTION_!$F$27</f>
        <v>20275.453004257215</v>
      </c>
      <c r="I52" s="163">
        <f>(SUM(I10,I14,I18)*-1)*ASSUMPTION_!$F$27</f>
        <v>22700.954607998272</v>
      </c>
      <c r="J52" s="166">
        <f>(SUM(J10,J14,J18)*-1)*ASSUMPTION_!$F$27</f>
        <v>25408.67236737462</v>
      </c>
    </row>
    <row r="53" spans="2:10">
      <c r="B53" s="6"/>
      <c r="C53" s="190" t="s">
        <v>268</v>
      </c>
      <c r="D53" s="159">
        <f>BALANCE_SHEET_!G26</f>
        <v>12107</v>
      </c>
      <c r="E53" s="159">
        <f>BALANCE_SHEET_!H26</f>
        <v>14168</v>
      </c>
      <c r="F53" s="176">
        <f>(ASSUMPTION_!$F$28/365)*(SUM(FINANCIALS!F10,FINANCIALS!F14,FINANCIALS!F18)*-1)</f>
        <v>14256.116265129071</v>
      </c>
      <c r="G53" s="175">
        <f>(ASSUMPTION_!$F$28/365)*(SUM(FINANCIALS!G10,FINANCIALS!G14,FINANCIALS!G18)*-1)</f>
        <v>15968.89098556072</v>
      </c>
      <c r="H53" s="175">
        <f>(ASSUMPTION_!$F$28/365)*(SUM(FINANCIALS!H10,FINANCIALS!H14,FINANCIALS!H18)*-1)</f>
        <v>17883.67169615559</v>
      </c>
      <c r="I53" s="175">
        <f>(ASSUMPTION_!$F$28/365)*(SUM(FINANCIALS!I10,FINANCIALS!I14,FINANCIALS!I18)*-1)</f>
        <v>20023.050499218392</v>
      </c>
      <c r="J53" s="177">
        <f>(ASSUMPTION_!$F$28/365)*(SUM(FINANCIALS!J10,FINANCIALS!J14,FINANCIALS!J18)*-1)</f>
        <v>22411.354003182973</v>
      </c>
    </row>
    <row r="54" spans="2:10">
      <c r="B54" s="12"/>
      <c r="C54" s="13" t="s">
        <v>269</v>
      </c>
      <c r="D54" s="296">
        <f>SUM(D51:D53)</f>
        <v>27086</v>
      </c>
      <c r="E54" s="295">
        <f>SUM(E51:E53)</f>
        <v>31762</v>
      </c>
      <c r="F54" s="179">
        <f t="shared" ref="D54:J54" si="13">SUM(F51:F53)</f>
        <v>33406.643939255046</v>
      </c>
      <c r="G54" s="178">
        <f t="shared" si="13"/>
        <v>37413.155735842229</v>
      </c>
      <c r="H54" s="178">
        <f t="shared" si="13"/>
        <v>41892.141256519455</v>
      </c>
      <c r="I54" s="178">
        <f t="shared" si="13"/>
        <v>46896.687520908941</v>
      </c>
      <c r="J54" s="180">
        <f t="shared" si="13"/>
        <v>52484.157446283629</v>
      </c>
    </row>
    <row r="55" spans="2:10">
      <c r="B55" s="12"/>
      <c r="C55" s="2"/>
      <c r="D55" s="159"/>
      <c r="E55" s="159"/>
      <c r="F55" s="171"/>
      <c r="G55" s="172"/>
      <c r="H55" s="172"/>
      <c r="I55" s="172"/>
      <c r="J55" s="133"/>
    </row>
    <row r="56" spans="2:10">
      <c r="B56" s="12"/>
      <c r="C56" s="158" t="s">
        <v>270</v>
      </c>
      <c r="D56" s="159">
        <f>BALANCE_SHEET_!G29</f>
        <v>5029</v>
      </c>
      <c r="E56" s="159">
        <f>BALANCE_SHEET_!H29</f>
        <v>4685</v>
      </c>
      <c r="F56" s="164">
        <f>ASSUMPTION_!$F$30*(SUM(FINANCIALS!F10,FINANCIALS!F14,FINANCIALS!F18)*-1)</f>
        <v>6057.8095169834032</v>
      </c>
      <c r="G56" s="163">
        <f>ASSUMPTION_!$F$30*(SUM(FINANCIALS!G10,FINANCIALS!G14,FINANCIALS!G18)*-1)</f>
        <v>6785.6138368218035</v>
      </c>
      <c r="H56" s="163">
        <f>ASSUMPTION_!$F$30*(SUM(FINANCIALS!H10,FINANCIALS!H14,FINANCIALS!H18)*-1)</f>
        <v>7599.2559673893211</v>
      </c>
      <c r="I56" s="163">
        <f>ASSUMPTION_!$F$30*(SUM(FINANCIALS!I10,FINANCIALS!I14,FINANCIALS!I18)*-1)</f>
        <v>8508.335904211026</v>
      </c>
      <c r="J56" s="166">
        <f>ASSUMPTION_!$F$30*(SUM(FINANCIALS!J10,FINANCIALS!J14,FINANCIALS!J18)*-1)</f>
        <v>9523.1906813953519</v>
      </c>
    </row>
    <row r="57" spans="2:10">
      <c r="B57" s="12"/>
      <c r="C57" s="190" t="s">
        <v>271</v>
      </c>
      <c r="D57" s="159">
        <f>BALANCE_SHEET_!G30</f>
        <v>1659</v>
      </c>
      <c r="E57" s="159">
        <f>BALANCE_SHEET_!H30</f>
        <v>1157</v>
      </c>
      <c r="F57" s="176">
        <f>ASSUMPTION_!$F$31*(SUM(FINANCIALS!F10,FINANCIALS!F14,FINANCIALS!F18)*-1)</f>
        <v>1850.297887634754</v>
      </c>
      <c r="G57" s="175">
        <f>ASSUMPTION_!$F$31*(SUM(FINANCIALS!G10,FINANCIALS!G14,FINANCIALS!G18)*-1)</f>
        <v>2072.5985050168329</v>
      </c>
      <c r="H57" s="175">
        <f>ASSUMPTION_!$F$31*(SUM(FINANCIALS!H10,FINANCIALS!H14,FINANCIALS!H18)*-1)</f>
        <v>2321.1174310839233</v>
      </c>
      <c r="I57" s="175">
        <f>ASSUMPTION_!$F$31*(SUM(FINANCIALS!I10,FINANCIALS!I14,FINANCIALS!I18)*-1)</f>
        <v>2598.7868893388527</v>
      </c>
      <c r="J57" s="177">
        <f>ASSUMPTION_!$F$31*(SUM(FINANCIALS!J10,FINANCIALS!J14,FINANCIALS!J18)*-1)</f>
        <v>2908.7642244161161</v>
      </c>
    </row>
    <row r="58" spans="2:10">
      <c r="B58" s="12"/>
      <c r="C58" s="13" t="s">
        <v>272</v>
      </c>
      <c r="D58" s="296">
        <f>SUM(D56:D57)</f>
        <v>6688</v>
      </c>
      <c r="E58" s="295">
        <f>SUM(E56:E57)</f>
        <v>5842</v>
      </c>
      <c r="F58" s="179">
        <f t="shared" ref="D58:J58" si="14">SUM(F56:F57)</f>
        <v>7908.1074046181575</v>
      </c>
      <c r="G58" s="178">
        <f t="shared" si="14"/>
        <v>8858.2123418386363</v>
      </c>
      <c r="H58" s="178">
        <f t="shared" si="14"/>
        <v>9920.3733984732444</v>
      </c>
      <c r="I58" s="178">
        <f t="shared" si="14"/>
        <v>11107.122793549879</v>
      </c>
      <c r="J58" s="180">
        <f t="shared" si="14"/>
        <v>12431.954905811468</v>
      </c>
    </row>
    <row r="59" spans="2:10">
      <c r="B59" s="12"/>
      <c r="C59" s="2"/>
      <c r="D59" s="159"/>
      <c r="E59" s="159"/>
      <c r="F59" s="191"/>
      <c r="G59" s="173"/>
      <c r="H59" s="189"/>
      <c r="I59" s="172"/>
      <c r="J59" s="133"/>
    </row>
    <row r="60" spans="2:10">
      <c r="B60" s="12"/>
      <c r="C60" s="2" t="s">
        <v>273</v>
      </c>
      <c r="D60" s="159">
        <f>BALANCE_SHEET_!G35</f>
        <v>2075</v>
      </c>
      <c r="E60" s="159">
        <f>BALANCE_SHEET_!H35</f>
        <v>2076</v>
      </c>
      <c r="F60" s="191">
        <v>2075</v>
      </c>
      <c r="G60" s="173">
        <v>2075</v>
      </c>
      <c r="H60" s="173">
        <v>2075</v>
      </c>
      <c r="I60" s="173">
        <v>2075</v>
      </c>
      <c r="J60" s="174">
        <v>2075</v>
      </c>
    </row>
    <row r="61" spans="2:10">
      <c r="B61" s="12"/>
      <c r="C61" s="2" t="s">
        <v>274</v>
      </c>
      <c r="D61" s="159">
        <f>BALANCE_SHEET_!G36</f>
        <v>79101</v>
      </c>
      <c r="E61" s="159">
        <f>BALANCE_SHEET_!H36</f>
        <v>85256</v>
      </c>
      <c r="F61" s="160">
        <f>F48-(F54+F58+F60)</f>
        <v>90568.491374790116</v>
      </c>
      <c r="G61" s="161">
        <f>G48-(G54+G58+G60)</f>
        <v>100426.3737843292</v>
      </c>
      <c r="H61" s="161">
        <f>H48-(H54+H58+H60)</f>
        <v>112174.03546470939</v>
      </c>
      <c r="I61" s="161">
        <f>I48-(I54+I58+I60)</f>
        <v>124878.86752553683</v>
      </c>
      <c r="J61" s="162">
        <f>J48-(J54+J58+J60)</f>
        <v>139883.5334094502</v>
      </c>
    </row>
    <row r="62" spans="2:10">
      <c r="B62" s="12"/>
      <c r="C62" s="167" t="s">
        <v>275</v>
      </c>
      <c r="D62" s="292">
        <f>SUM(D60:D61)</f>
        <v>81176</v>
      </c>
      <c r="E62" s="290">
        <f>SUM(E60:E61)</f>
        <v>87332</v>
      </c>
      <c r="F62" s="192">
        <f t="shared" ref="D62:J62" si="15">SUM(F60:F61)</f>
        <v>92643.491374790116</v>
      </c>
      <c r="G62" s="193">
        <f t="shared" si="15"/>
        <v>102501.3737843292</v>
      </c>
      <c r="H62" s="193">
        <f t="shared" si="15"/>
        <v>114249.03546470939</v>
      </c>
      <c r="I62" s="193">
        <f t="shared" si="15"/>
        <v>126953.86752553683</v>
      </c>
      <c r="J62" s="194">
        <f t="shared" si="15"/>
        <v>141958.5334094502</v>
      </c>
    </row>
    <row r="63" spans="2:10">
      <c r="B63" s="12"/>
      <c r="C63" s="181"/>
      <c r="D63" s="289"/>
      <c r="E63" s="159"/>
      <c r="F63" s="196"/>
      <c r="G63" s="173"/>
      <c r="H63" s="189"/>
      <c r="I63" s="172"/>
      <c r="J63" s="133"/>
    </row>
    <row r="64" spans="2:10">
      <c r="B64" s="12"/>
      <c r="C64" s="185" t="s">
        <v>276</v>
      </c>
      <c r="D64" s="197">
        <f t="shared" ref="D64:J64" si="16">SUM(D54,D58,D62)</f>
        <v>114950</v>
      </c>
      <c r="E64" s="197">
        <f t="shared" si="16"/>
        <v>124936</v>
      </c>
      <c r="F64" s="197">
        <f t="shared" si="16"/>
        <v>133958.24271866333</v>
      </c>
      <c r="G64" s="198">
        <f t="shared" si="16"/>
        <v>148772.74186201007</v>
      </c>
      <c r="H64" s="198">
        <f t="shared" si="16"/>
        <v>166061.55011970209</v>
      </c>
      <c r="I64" s="198">
        <f t="shared" si="16"/>
        <v>184957.67783999565</v>
      </c>
      <c r="J64" s="199">
        <f t="shared" si="16"/>
        <v>206874.64576154528</v>
      </c>
    </row>
    <row r="65" spans="2:10">
      <c r="B65" s="47"/>
      <c r="C65" s="48"/>
      <c r="D65" s="293"/>
      <c r="E65" s="200"/>
      <c r="F65" s="195"/>
      <c r="G65" s="195"/>
      <c r="H65" s="195"/>
      <c r="I65" s="195"/>
      <c r="J65" s="200"/>
    </row>
    <row r="66" spans="2:10">
      <c r="B66" s="21"/>
      <c r="C66" s="21"/>
      <c r="D66" s="189"/>
      <c r="E66" s="189"/>
      <c r="F66" s="189"/>
      <c r="G66" s="189"/>
      <c r="H66" s="189"/>
      <c r="I66" s="189"/>
      <c r="J66" s="189"/>
    </row>
    <row r="67" spans="2:10">
      <c r="D67" s="201"/>
      <c r="E67" s="201"/>
      <c r="F67" s="201"/>
      <c r="G67" s="201"/>
      <c r="H67" s="201"/>
      <c r="I67" s="201"/>
      <c r="J67" s="201"/>
    </row>
    <row r="68" spans="2:10">
      <c r="B68" s="156"/>
      <c r="C68" s="157" t="s">
        <v>277</v>
      </c>
      <c r="D68" s="222">
        <v>2024</v>
      </c>
      <c r="E68" s="223">
        <v>2025</v>
      </c>
      <c r="F68" s="4" t="s">
        <v>3</v>
      </c>
      <c r="G68" s="4" t="s">
        <v>4</v>
      </c>
      <c r="H68" s="4" t="s">
        <v>5</v>
      </c>
      <c r="I68" s="4" t="s">
        <v>6</v>
      </c>
      <c r="J68" s="5" t="s">
        <v>7</v>
      </c>
    </row>
    <row r="69" spans="2:10">
      <c r="B69" s="6"/>
      <c r="C69" s="2"/>
      <c r="D69" s="173"/>
      <c r="E69" s="174"/>
      <c r="F69" s="172"/>
      <c r="G69" s="172"/>
      <c r="H69" s="172"/>
      <c r="I69" s="172"/>
      <c r="J69" s="133"/>
    </row>
    <row r="70" spans="2:10">
      <c r="B70" s="51"/>
      <c r="C70" s="202" t="s">
        <v>278</v>
      </c>
      <c r="D70" s="172"/>
      <c r="E70" s="133"/>
      <c r="F70" s="172"/>
      <c r="G70" s="172"/>
      <c r="H70" s="172"/>
      <c r="I70" s="172"/>
      <c r="J70" s="133"/>
    </row>
    <row r="71" spans="2:10">
      <c r="B71" s="51"/>
      <c r="C71" s="8" t="s">
        <v>279</v>
      </c>
      <c r="D71" s="172"/>
      <c r="E71" s="133"/>
      <c r="F71" s="163">
        <f>F29</f>
        <v>33543.637369268006</v>
      </c>
      <c r="G71" s="163">
        <f>G29</f>
        <v>37375.351330103062</v>
      </c>
      <c r="H71" s="163">
        <f>H29</f>
        <v>40952.373425623089</v>
      </c>
      <c r="I71" s="163">
        <f>I29</f>
        <v>46239.620988916562</v>
      </c>
      <c r="J71" s="166">
        <f>J29</f>
        <v>50787.956088032835</v>
      </c>
    </row>
    <row r="72" spans="2:10">
      <c r="B72" s="51"/>
      <c r="C72" s="8" t="s">
        <v>280</v>
      </c>
      <c r="D72" s="172"/>
      <c r="E72" s="133"/>
      <c r="F72" s="163">
        <f>F18*-1</f>
        <v>3543.4718631999999</v>
      </c>
      <c r="G72" s="163">
        <f>G18*-1</f>
        <v>4237.0754427519996</v>
      </c>
      <c r="H72" s="163">
        <f>H18*-1</f>
        <v>5014.6591708415999</v>
      </c>
      <c r="I72" s="163">
        <f>I18*-1</f>
        <v>5876.2861235553301</v>
      </c>
      <c r="J72" s="166">
        <f>J18*-1</f>
        <v>6814.4381772298002</v>
      </c>
    </row>
    <row r="73" spans="2:10">
      <c r="B73" s="51"/>
      <c r="C73" s="8" t="s">
        <v>20</v>
      </c>
      <c r="D73" s="172"/>
      <c r="E73" s="133"/>
      <c r="F73" s="163">
        <f>F22*-1</f>
        <v>-9709.4778862794083</v>
      </c>
      <c r="G73" s="163">
        <f>G22*-1</f>
        <v>-10969.165147874375</v>
      </c>
      <c r="H73" s="163">
        <f>H22*-1</f>
        <v>-11425.480074078019</v>
      </c>
      <c r="I73" s="163">
        <f>I22*-1</f>
        <v>-13669.78271186965</v>
      </c>
      <c r="J73" s="166">
        <f>J22*-1</f>
        <v>-14313.357265395762</v>
      </c>
    </row>
    <row r="74" spans="2:10">
      <c r="B74" s="51"/>
      <c r="C74" s="8" t="s">
        <v>281</v>
      </c>
      <c r="D74" s="172"/>
      <c r="E74" s="133"/>
      <c r="F74" s="163">
        <f>F24*-1</f>
        <v>272.60142826425312</v>
      </c>
      <c r="G74" s="163">
        <f>G24*-1</f>
        <v>305.35262265698117</v>
      </c>
      <c r="H74" s="163">
        <f>H24*-1</f>
        <v>341.96651853251944</v>
      </c>
      <c r="I74" s="163">
        <f>I24*-1</f>
        <v>382.87511568949617</v>
      </c>
      <c r="J74" s="166">
        <f>J24*-1</f>
        <v>428.54358066279082</v>
      </c>
    </row>
    <row r="75" spans="2:10">
      <c r="B75" s="51"/>
      <c r="C75" s="8" t="s">
        <v>282</v>
      </c>
      <c r="D75" s="172"/>
      <c r="E75" s="133"/>
      <c r="F75" s="163">
        <f>E36-F36</f>
        <v>-69.098851922299218</v>
      </c>
      <c r="G75" s="163">
        <f>F36-G36</f>
        <v>-3118.9989455983196</v>
      </c>
      <c r="H75" s="163">
        <f>G36-H36</f>
        <v>-3486.3472617963562</v>
      </c>
      <c r="I75" s="163">
        <f>H36-I36</f>
        <v>-3896.9609935226399</v>
      </c>
      <c r="J75" s="166">
        <f>I36-J36</f>
        <v>-4355.9358390512789</v>
      </c>
    </row>
    <row r="76" spans="2:10">
      <c r="B76" s="51"/>
      <c r="C76" s="8" t="s">
        <v>283</v>
      </c>
      <c r="D76" s="172"/>
      <c r="E76" s="133"/>
      <c r="F76" s="163">
        <f t="shared" ref="F76:J77" si="17">E38-F38</f>
        <v>-1434.0601973651519</v>
      </c>
      <c r="G76" s="163">
        <f t="shared" si="17"/>
        <v>-1673.6272687560559</v>
      </c>
      <c r="H76" s="163">
        <f t="shared" si="17"/>
        <v>-1870.7431286342016</v>
      </c>
      <c r="I76" s="163">
        <f t="shared" si="17"/>
        <v>-2091.074828108689</v>
      </c>
      <c r="J76" s="166">
        <f t="shared" si="17"/>
        <v>-2337.356673838025</v>
      </c>
    </row>
    <row r="77" spans="2:10">
      <c r="B77" s="51"/>
      <c r="C77" s="8" t="s">
        <v>284</v>
      </c>
      <c r="D77" s="172"/>
      <c r="E77" s="133"/>
      <c r="F77" s="163">
        <f t="shared" si="17"/>
        <v>-1815.6421389942734</v>
      </c>
      <c r="G77" s="163">
        <f t="shared" si="17"/>
        <v>-1693.9535615087716</v>
      </c>
      <c r="H77" s="163">
        <f t="shared" si="17"/>
        <v>-1893.4634040549117</v>
      </c>
      <c r="I77" s="163">
        <f t="shared" si="17"/>
        <v>-2116.47104381182</v>
      </c>
      <c r="J77" s="166">
        <f t="shared" si="17"/>
        <v>-2365.7439957387141</v>
      </c>
    </row>
    <row r="78" spans="2:10">
      <c r="B78" s="51"/>
      <c r="C78" s="8" t="s">
        <v>285</v>
      </c>
      <c r="D78" s="172"/>
      <c r="E78" s="133"/>
      <c r="F78" s="163">
        <f t="shared" ref="F78:J80" si="18">F51-E51</f>
        <v>259.78322948334608</v>
      </c>
      <c r="G78" s="163">
        <f t="shared" si="18"/>
        <v>351.8940396130447</v>
      </c>
      <c r="H78" s="163">
        <f t="shared" si="18"/>
        <v>393.3392870102598</v>
      </c>
      <c r="I78" s="163">
        <f t="shared" si="18"/>
        <v>439.66585758562451</v>
      </c>
      <c r="J78" s="166">
        <f t="shared" si="18"/>
        <v>491.44866203375568</v>
      </c>
    </row>
    <row r="79" spans="2:10">
      <c r="B79" s="51"/>
      <c r="C79" s="8" t="s">
        <v>286</v>
      </c>
      <c r="D79" s="172"/>
      <c r="E79" s="133"/>
      <c r="F79" s="163">
        <f t="shared" si="18"/>
        <v>1296.7444446426289</v>
      </c>
      <c r="G79" s="163">
        <f t="shared" si="18"/>
        <v>1941.8430365424847</v>
      </c>
      <c r="H79" s="163">
        <f t="shared" si="18"/>
        <v>2170.8655230721015</v>
      </c>
      <c r="I79" s="163">
        <f t="shared" si="18"/>
        <v>2425.5016037410569</v>
      </c>
      <c r="J79" s="166">
        <f t="shared" si="18"/>
        <v>2707.7177593763481</v>
      </c>
    </row>
    <row r="80" spans="2:10">
      <c r="B80" s="51"/>
      <c r="C80" s="8" t="s">
        <v>287</v>
      </c>
      <c r="D80" s="172"/>
      <c r="E80" s="133"/>
      <c r="F80" s="163">
        <f t="shared" si="18"/>
        <v>88.116265129070598</v>
      </c>
      <c r="G80" s="163">
        <f t="shared" si="18"/>
        <v>1712.7747204316493</v>
      </c>
      <c r="H80" s="163">
        <f t="shared" si="18"/>
        <v>1914.7807105948705</v>
      </c>
      <c r="I80" s="163">
        <f t="shared" si="18"/>
        <v>2139.378803062802</v>
      </c>
      <c r="J80" s="166">
        <f t="shared" si="18"/>
        <v>2388.3035039645802</v>
      </c>
    </row>
    <row r="81" spans="2:10" ht="15.75" customHeight="1">
      <c r="B81" s="51"/>
      <c r="C81" s="203" t="s">
        <v>288</v>
      </c>
      <c r="D81" s="204"/>
      <c r="E81" s="205"/>
      <c r="F81" s="206">
        <f>SUM(F71:F80)</f>
        <v>25976.075525426175</v>
      </c>
      <c r="G81" s="206">
        <f>SUM(G71:G80)</f>
        <v>28468.546268361701</v>
      </c>
      <c r="H81" s="206">
        <f>SUM(H71:H80)</f>
        <v>32111.950767110953</v>
      </c>
      <c r="I81" s="206">
        <f>SUM(I71:I80)</f>
        <v>35729.038915238067</v>
      </c>
      <c r="J81" s="207">
        <f>SUM(J71:J80)</f>
        <v>40246.013997276328</v>
      </c>
    </row>
    <row r="82" spans="2:10">
      <c r="B82" s="51"/>
      <c r="C82" s="8"/>
      <c r="D82" s="8"/>
      <c r="E82" s="9"/>
      <c r="F82" s="8"/>
      <c r="G82" s="8"/>
      <c r="H82" s="8"/>
      <c r="I82" s="8"/>
      <c r="J82" s="9"/>
    </row>
    <row r="83" spans="2:10">
      <c r="B83" s="51"/>
      <c r="C83" s="208" t="s">
        <v>289</v>
      </c>
      <c r="D83" s="8"/>
      <c r="E83" s="9"/>
      <c r="F83" s="8"/>
      <c r="G83" s="8"/>
      <c r="H83" s="8"/>
      <c r="I83" s="8"/>
      <c r="J83" s="9"/>
    </row>
    <row r="84" spans="2:10">
      <c r="B84" s="51"/>
      <c r="C84" s="8" t="s">
        <v>102</v>
      </c>
      <c r="D84" s="8"/>
      <c r="E84" s="9"/>
      <c r="F84" s="15">
        <f>ASSUMPTION_!L22*-1</f>
        <v>-86984.790079095837</v>
      </c>
      <c r="G84" s="15">
        <f>ASSUMPTION_!M22*-1</f>
        <v>-97229.652846840458</v>
      </c>
      <c r="H84" s="15">
        <f>ASSUMPTION_!N22*-1</f>
        <v>-108681.13131181768</v>
      </c>
      <c r="I84" s="15">
        <f>ASSUMPTION_!O22*-1</f>
        <v>-121481.33781597043</v>
      </c>
      <c r="J84" s="16">
        <f>ASSUMPTION_!P22*-1</f>
        <v>-135789.12235663502</v>
      </c>
    </row>
    <row r="85" spans="2:10">
      <c r="B85" s="51"/>
      <c r="C85" s="8" t="s">
        <v>290</v>
      </c>
      <c r="D85" s="8"/>
      <c r="E85" s="9"/>
      <c r="F85" s="15">
        <f>ASSUMPTION_!L21</f>
        <v>71932.302255073184</v>
      </c>
      <c r="G85" s="15">
        <f>ASSUMPTION_!M21</f>
        <v>103172.67571790841</v>
      </c>
      <c r="H85" s="15">
        <f>ASSUMPTION_!N21</f>
        <v>90838.352238567619</v>
      </c>
      <c r="I85" s="15">
        <f>ASSUMPTION_!O21</f>
        <v>127869.77776635312</v>
      </c>
      <c r="J85" s="16">
        <f>ASSUMPTION_!P21</f>
        <v>114611.02265370381</v>
      </c>
    </row>
    <row r="86" spans="2:10">
      <c r="B86" s="51"/>
      <c r="C86" s="8" t="s">
        <v>100</v>
      </c>
      <c r="D86" s="8"/>
      <c r="E86" s="9"/>
      <c r="F86" s="15">
        <f>ASSUMPTION_!L7</f>
        <v>-1984.8332735473771</v>
      </c>
      <c r="G86" s="15">
        <f>ASSUMPTION_!M7</f>
        <v>-2047.9405295539834</v>
      </c>
      <c r="H86" s="15">
        <f>ASSUMPTION_!N7</f>
        <v>-2193.7611980038291</v>
      </c>
      <c r="I86" s="15">
        <f>ASSUMPTION_!O7</f>
        <v>-2345.5225404900252</v>
      </c>
      <c r="J86" s="16">
        <f>ASSUMPTION_!P7</f>
        <v>-2502.6011523117882</v>
      </c>
    </row>
    <row r="87" spans="2:10">
      <c r="B87" s="51"/>
      <c r="C87" s="8" t="s">
        <v>291</v>
      </c>
      <c r="D87" s="8"/>
      <c r="E87" s="9"/>
      <c r="F87" s="15">
        <f>F22</f>
        <v>9709.4778862794083</v>
      </c>
      <c r="G87" s="15">
        <f>G22</f>
        <v>10969.165147874375</v>
      </c>
      <c r="H87" s="15">
        <f>H22</f>
        <v>11425.480074078019</v>
      </c>
      <c r="I87" s="15">
        <f>I22</f>
        <v>13669.78271186965</v>
      </c>
      <c r="J87" s="16">
        <f>J22</f>
        <v>14313.357265395762</v>
      </c>
    </row>
    <row r="88" spans="2:10">
      <c r="B88" s="51"/>
      <c r="C88" s="203" t="s">
        <v>292</v>
      </c>
      <c r="D88" s="204"/>
      <c r="E88" s="205"/>
      <c r="F88" s="209">
        <f>SUM(F84:F86)</f>
        <v>-17037.321097570031</v>
      </c>
      <c r="G88" s="209">
        <f>SUM(G84:G86)</f>
        <v>3895.0823415139675</v>
      </c>
      <c r="H88" s="209">
        <f>SUM(H84:H86)</f>
        <v>-20036.540271253885</v>
      </c>
      <c r="I88" s="209">
        <f>SUM(I84:I86)</f>
        <v>4042.917409892661</v>
      </c>
      <c r="J88" s="210">
        <f>SUM(J84:J86)</f>
        <v>-23680.700855243002</v>
      </c>
    </row>
    <row r="89" spans="2:10">
      <c r="B89" s="51"/>
      <c r="C89" s="8"/>
      <c r="D89" s="8"/>
      <c r="E89" s="9"/>
      <c r="F89" s="8"/>
      <c r="G89" s="8"/>
      <c r="H89" s="8"/>
      <c r="I89" s="8"/>
      <c r="J89" s="9"/>
    </row>
    <row r="90" spans="2:10">
      <c r="B90" s="51"/>
      <c r="C90" s="202" t="s">
        <v>293</v>
      </c>
      <c r="D90" s="8"/>
      <c r="E90" s="9"/>
      <c r="F90" s="8"/>
      <c r="G90" s="8"/>
      <c r="H90" s="8"/>
      <c r="I90" s="8"/>
      <c r="J90" s="9"/>
    </row>
    <row r="91" spans="2:10">
      <c r="B91" s="51"/>
      <c r="C91" s="8" t="s">
        <v>294</v>
      </c>
      <c r="D91" s="8"/>
      <c r="E91" s="9"/>
      <c r="F91" s="15">
        <f>F24</f>
        <v>-272.60142826425312</v>
      </c>
      <c r="G91" s="15">
        <f>G24</f>
        <v>-305.35262265698117</v>
      </c>
      <c r="H91" s="15">
        <f>H24</f>
        <v>-341.96651853251944</v>
      </c>
      <c r="I91" s="15">
        <f>I24</f>
        <v>-382.87511568949617</v>
      </c>
      <c r="J91" s="16">
        <f>J24</f>
        <v>-428.54358066279082</v>
      </c>
    </row>
    <row r="92" spans="2:10">
      <c r="B92" s="51"/>
      <c r="C92" s="8" t="s">
        <v>295</v>
      </c>
      <c r="D92" s="8"/>
      <c r="E92" s="9"/>
      <c r="F92" s="15">
        <f>F29*(ASSUMPTION_!$F$19*-1)</f>
        <v>-18381.913278358868</v>
      </c>
      <c r="G92" s="15">
        <f>G29*(ASSUMPTION_!$F$19*-1)</f>
        <v>-20481.692528896478</v>
      </c>
      <c r="H92" s="15">
        <f>H29*(ASSUMPTION_!$F$19*-1)</f>
        <v>-22441.900637241455</v>
      </c>
      <c r="I92" s="15">
        <f>I29*(ASSUMPTION_!$F$19*-1)</f>
        <v>-25339.312301926278</v>
      </c>
      <c r="J92" s="16">
        <f>J29*(ASSUMPTION_!$F$19*-1)</f>
        <v>-27831.799936241994</v>
      </c>
    </row>
    <row r="93" spans="2:10">
      <c r="B93" s="51"/>
      <c r="C93" s="211" t="s">
        <v>296</v>
      </c>
      <c r="D93" s="211"/>
      <c r="E93" s="212"/>
      <c r="F93" s="206">
        <f>SUM(F91:F92)</f>
        <v>-18654.514706623122</v>
      </c>
      <c r="G93" s="206">
        <f>SUM(G91:G92)</f>
        <v>-20787.045151553459</v>
      </c>
      <c r="H93" s="206">
        <f>SUM(H91:H92)</f>
        <v>-22783.867155773976</v>
      </c>
      <c r="I93" s="206">
        <f>SUM(I91:I92)</f>
        <v>-25722.187417615776</v>
      </c>
      <c r="J93" s="207">
        <f>SUM(J91:J92)</f>
        <v>-28260.343516904784</v>
      </c>
    </row>
    <row r="94" spans="2:10">
      <c r="B94" s="51"/>
      <c r="C94" s="8"/>
      <c r="D94" s="8"/>
      <c r="E94" s="9"/>
      <c r="F94" s="8"/>
      <c r="G94" s="8"/>
      <c r="H94" s="8"/>
      <c r="I94" s="8"/>
      <c r="J94" s="9"/>
    </row>
    <row r="95" spans="2:10">
      <c r="B95" s="51"/>
      <c r="C95" s="8" t="s">
        <v>297</v>
      </c>
      <c r="D95" s="8"/>
      <c r="E95" s="9"/>
      <c r="F95" s="15">
        <f>SUM(F81,F88,F93)</f>
        <v>-9715.7602787669784</v>
      </c>
      <c r="G95" s="15">
        <f>SUM(G81,G88,G93)</f>
        <v>11576.583458322209</v>
      </c>
      <c r="H95" s="15">
        <f>SUM(H81,H88,H93)</f>
        <v>-10708.456659916908</v>
      </c>
      <c r="I95" s="15">
        <f>SUM(I81,I88,I93)</f>
        <v>14049.76890751495</v>
      </c>
      <c r="J95" s="16">
        <f>SUM(J81,J88,J93)</f>
        <v>-11695.030374871458</v>
      </c>
    </row>
    <row r="96" spans="2:10">
      <c r="B96" s="51"/>
      <c r="C96" s="8"/>
      <c r="D96" s="8"/>
      <c r="E96" s="9"/>
      <c r="F96" s="8"/>
      <c r="G96" s="8"/>
      <c r="H96" s="8"/>
      <c r="I96" s="8"/>
      <c r="J96" s="9"/>
    </row>
    <row r="97" spans="2:10">
      <c r="B97" s="51"/>
      <c r="C97" s="8" t="s">
        <v>298</v>
      </c>
      <c r="D97" s="8"/>
      <c r="E97" s="9"/>
      <c r="F97" s="15">
        <f>E35</f>
        <v>14265</v>
      </c>
      <c r="G97" s="15">
        <f>F35</f>
        <v>4549.2397212330216</v>
      </c>
      <c r="H97" s="15">
        <f>G35</f>
        <v>16125.823179555231</v>
      </c>
      <c r="I97" s="15">
        <f>H35</f>
        <v>5417.3665196383226</v>
      </c>
      <c r="J97" s="16">
        <f>I35</f>
        <v>19467.135427153273</v>
      </c>
    </row>
    <row r="98" spans="2:10">
      <c r="B98" s="51"/>
      <c r="C98" s="211" t="s">
        <v>299</v>
      </c>
      <c r="D98" s="211"/>
      <c r="E98" s="212"/>
      <c r="F98" s="206">
        <f>F95+F97</f>
        <v>4549.2397212330216</v>
      </c>
      <c r="G98" s="206">
        <f>G95+G97</f>
        <v>16125.823179555231</v>
      </c>
      <c r="H98" s="206">
        <f>H95+H97</f>
        <v>5417.3665196383226</v>
      </c>
      <c r="I98" s="206">
        <f>I95+I97</f>
        <v>19467.135427153273</v>
      </c>
      <c r="J98" s="207">
        <f>J95+J97</f>
        <v>7772.105052281815</v>
      </c>
    </row>
    <row r="99" spans="2:10">
      <c r="B99" s="51"/>
      <c r="C99" s="202" t="s">
        <v>300</v>
      </c>
      <c r="D99" s="202"/>
      <c r="E99" s="213"/>
      <c r="F99" s="214">
        <f>F29+F92</f>
        <v>15161.724090909138</v>
      </c>
      <c r="G99" s="214">
        <f>G29+G92</f>
        <v>16893.658801206584</v>
      </c>
      <c r="H99" s="214">
        <f>H29+H92</f>
        <v>18510.472788381634</v>
      </c>
      <c r="I99" s="214">
        <f>I29+I92</f>
        <v>20900.308686990284</v>
      </c>
      <c r="J99" s="215">
        <f>J29+J92</f>
        <v>22956.156151790841</v>
      </c>
    </row>
    <row r="100" spans="2:10">
      <c r="B100" s="54"/>
      <c r="C100" s="282"/>
      <c r="D100" s="282"/>
      <c r="E100" s="50"/>
      <c r="F100" s="282"/>
      <c r="G100" s="282"/>
      <c r="H100" s="282"/>
      <c r="I100" s="282"/>
      <c r="J100" s="50"/>
    </row>
    <row r="104" spans="2:10">
      <c r="B104" s="216"/>
      <c r="C104" s="216"/>
      <c r="D104" s="216"/>
      <c r="E104" s="216"/>
      <c r="F104" s="216"/>
      <c r="G104" s="216"/>
    </row>
    <row r="105" spans="2:10" ht="21">
      <c r="B105" s="216"/>
      <c r="C105" s="217" t="s">
        <v>301</v>
      </c>
      <c r="D105" s="217"/>
      <c r="E105" s="217"/>
      <c r="F105" s="216"/>
      <c r="G105" s="216"/>
    </row>
    <row r="106" spans="2:10">
      <c r="B106" s="218"/>
      <c r="C106" s="219" t="s">
        <v>302</v>
      </c>
      <c r="D106" s="219"/>
      <c r="E106" s="219"/>
      <c r="F106" s="219"/>
      <c r="G106" s="219"/>
    </row>
    <row r="107" spans="2:10">
      <c r="B107" s="220"/>
      <c r="C107" s="221" t="str">
        <f>C105</f>
        <v>Financial Ratios</v>
      </c>
      <c r="D107" s="222">
        <v>2024</v>
      </c>
      <c r="E107" s="223">
        <v>2025</v>
      </c>
      <c r="F107" s="4" t="s">
        <v>3</v>
      </c>
      <c r="G107" s="4" t="s">
        <v>4</v>
      </c>
      <c r="H107" s="4" t="s">
        <v>5</v>
      </c>
      <c r="I107" s="4" t="s">
        <v>6</v>
      </c>
      <c r="J107" s="5" t="s">
        <v>7</v>
      </c>
    </row>
    <row r="108" spans="2:10">
      <c r="B108" s="224"/>
      <c r="C108" s="218"/>
      <c r="D108" s="218"/>
      <c r="E108" s="225"/>
      <c r="F108" s="218"/>
      <c r="G108" s="218"/>
      <c r="H108" s="8"/>
      <c r="I108" s="8"/>
      <c r="J108" s="9"/>
    </row>
    <row r="109" spans="2:10">
      <c r="B109" s="224"/>
      <c r="C109" s="226" t="s">
        <v>303</v>
      </c>
      <c r="D109" s="226"/>
      <c r="E109" s="227"/>
      <c r="F109" s="228"/>
      <c r="G109" s="228"/>
      <c r="H109" s="229"/>
      <c r="I109" s="229"/>
      <c r="J109" s="143"/>
    </row>
    <row r="110" spans="2:10">
      <c r="B110" s="224"/>
      <c r="C110" s="8" t="s">
        <v>304</v>
      </c>
      <c r="D110" s="230">
        <f t="shared" ref="D110:J110" si="19">D19*(1-0.265)</f>
        <v>23341.395</v>
      </c>
      <c r="E110" s="231">
        <f t="shared" si="19"/>
        <v>24621.03</v>
      </c>
      <c r="F110" s="230">
        <f t="shared" si="19"/>
        <v>26380.886974185869</v>
      </c>
      <c r="G110" s="230">
        <f t="shared" si="19"/>
        <v>29284.912966432443</v>
      </c>
      <c r="H110" s="230">
        <f t="shared" si="19"/>
        <v>32529.285736448343</v>
      </c>
      <c r="I110" s="230">
        <f t="shared" si="19"/>
        <v>36161.31403417742</v>
      </c>
      <c r="J110" s="231">
        <f t="shared" si="19"/>
        <v>40239.456164294425</v>
      </c>
    </row>
    <row r="111" spans="2:10">
      <c r="B111" s="232"/>
      <c r="C111" s="8" t="s">
        <v>305</v>
      </c>
      <c r="D111" s="233">
        <f t="shared" ref="D111:J111" si="20">D110/D64</f>
        <v>0.20305693779904307</v>
      </c>
      <c r="E111" s="234">
        <f t="shared" si="20"/>
        <v>0.19706913939937246</v>
      </c>
      <c r="F111" s="233">
        <f t="shared" si="20"/>
        <v>0.19693365961503786</v>
      </c>
      <c r="G111" s="233">
        <f t="shared" si="20"/>
        <v>0.19684326980808645</v>
      </c>
      <c r="H111" s="233">
        <f t="shared" si="20"/>
        <v>0.19588692092179236</v>
      </c>
      <c r="I111" s="233">
        <f t="shared" si="20"/>
        <v>0.1955112891580531</v>
      </c>
      <c r="J111" s="234">
        <f t="shared" si="20"/>
        <v>0.19451129942079301</v>
      </c>
    </row>
    <row r="112" spans="2:10">
      <c r="B112" s="232"/>
      <c r="C112" s="8" t="s">
        <v>306</v>
      </c>
      <c r="D112" s="233">
        <f t="shared" ref="D112:J112" si="21">(D29-D24)/D48</f>
        <v>0.2649412788168769</v>
      </c>
      <c r="E112" s="234">
        <f t="shared" si="21"/>
        <v>0.22737241467631428</v>
      </c>
      <c r="F112" s="233">
        <f t="shared" si="21"/>
        <v>0.25243865633974094</v>
      </c>
      <c r="G112" s="233">
        <f t="shared" si="21"/>
        <v>0.2532769342095591</v>
      </c>
      <c r="H112" s="233">
        <f t="shared" si="21"/>
        <v>0.24866888159474257</v>
      </c>
      <c r="I112" s="233">
        <f t="shared" si="21"/>
        <v>0.25207115838110022</v>
      </c>
      <c r="J112" s="234">
        <f t="shared" si="21"/>
        <v>0.24757262776285544</v>
      </c>
    </row>
    <row r="113" spans="2:10">
      <c r="B113" s="232"/>
      <c r="C113" s="216"/>
      <c r="D113" s="216"/>
      <c r="E113" s="235"/>
      <c r="F113" s="216"/>
      <c r="G113" s="216"/>
      <c r="H113" s="8"/>
      <c r="I113" s="8"/>
      <c r="J113" s="9"/>
    </row>
    <row r="114" spans="2:10">
      <c r="B114" s="224"/>
      <c r="C114" s="226" t="s">
        <v>307</v>
      </c>
      <c r="D114" s="226"/>
      <c r="E114" s="227"/>
      <c r="F114" s="226"/>
      <c r="G114" s="226"/>
      <c r="H114" s="236"/>
      <c r="I114" s="236"/>
      <c r="J114" s="237"/>
    </row>
    <row r="115" spans="2:10">
      <c r="B115" s="232"/>
      <c r="C115" s="8" t="s">
        <v>127</v>
      </c>
      <c r="D115" s="238">
        <f t="shared" ref="D115:J115" si="22">D40/D54</f>
        <v>2.6195082330355164</v>
      </c>
      <c r="E115" s="239">
        <f t="shared" si="22"/>
        <v>2.4295699263270576</v>
      </c>
      <c r="F115" s="238">
        <f t="shared" si="22"/>
        <v>2.1568138660242546</v>
      </c>
      <c r="G115" s="238">
        <f t="shared" si="22"/>
        <v>2.3689346337879456</v>
      </c>
      <c r="H115" s="238">
        <f t="shared" si="22"/>
        <v>2.1395925249075418</v>
      </c>
      <c r="I115" s="238">
        <f t="shared" si="22"/>
        <v>2.3496175080820851</v>
      </c>
      <c r="J115" s="239">
        <f t="shared" si="22"/>
        <v>2.1501309084587836</v>
      </c>
    </row>
    <row r="116" spans="2:10">
      <c r="B116" s="224"/>
      <c r="C116" s="8" t="s">
        <v>128</v>
      </c>
      <c r="D116" s="238">
        <f t="shared" ref="D116:J116" si="23">(D35+D36+D37)/D54</f>
        <v>1.6484530753895001</v>
      </c>
      <c r="E116" s="239">
        <f t="shared" si="23"/>
        <v>1.6316667716138782</v>
      </c>
      <c r="F116" s="238">
        <f t="shared" si="23"/>
        <v>1.3009151894510871</v>
      </c>
      <c r="G116" s="238">
        <f t="shared" si="23"/>
        <v>1.5146820978008262</v>
      </c>
      <c r="H116" s="238">
        <f t="shared" si="23"/>
        <v>1.2868194598937366</v>
      </c>
      <c r="I116" s="238">
        <f t="shared" si="23"/>
        <v>1.498128038736726</v>
      </c>
      <c r="J116" s="239">
        <f t="shared" si="23"/>
        <v>1.2996812030120746</v>
      </c>
    </row>
    <row r="117" spans="2:10">
      <c r="B117" s="232"/>
      <c r="C117" s="8" t="s">
        <v>308</v>
      </c>
      <c r="D117" s="238">
        <f t="shared" ref="D117:J117" si="24">D35/D54</f>
        <v>0.30240714760392823</v>
      </c>
      <c r="E117" s="239">
        <f t="shared" si="24"/>
        <v>0.44912159183930483</v>
      </c>
      <c r="F117" s="238">
        <f t="shared" si="24"/>
        <v>0.13617769356015316</v>
      </c>
      <c r="G117" s="238">
        <f t="shared" si="24"/>
        <v>0.43102012814456359</v>
      </c>
      <c r="H117" s="238">
        <f t="shared" si="24"/>
        <v>0.12931701166731949</v>
      </c>
      <c r="I117" s="238">
        <f t="shared" si="24"/>
        <v>0.41510683283278438</v>
      </c>
      <c r="J117" s="239">
        <f t="shared" si="24"/>
        <v>0.14808478273155842</v>
      </c>
    </row>
    <row r="118" spans="2:10">
      <c r="B118" s="232"/>
      <c r="C118" s="216"/>
      <c r="D118" s="216"/>
      <c r="E118" s="235"/>
      <c r="F118" s="216"/>
      <c r="G118" s="216"/>
      <c r="H118" s="8"/>
      <c r="I118" s="8"/>
      <c r="J118" s="9"/>
    </row>
    <row r="119" spans="2:10">
      <c r="B119" s="232"/>
      <c r="C119" s="240" t="s">
        <v>309</v>
      </c>
      <c r="D119" s="241"/>
      <c r="E119" s="242"/>
      <c r="F119" s="241"/>
      <c r="G119" s="241"/>
      <c r="H119" s="229"/>
      <c r="I119" s="229"/>
      <c r="J119" s="143"/>
    </row>
    <row r="120" spans="2:10">
      <c r="B120" s="232"/>
      <c r="C120" s="158" t="s">
        <v>259</v>
      </c>
      <c r="D120" s="243">
        <f t="shared" ref="D120:J120" si="25">D36</f>
        <v>25152</v>
      </c>
      <c r="E120" s="244">
        <f t="shared" si="25"/>
        <v>26413</v>
      </c>
      <c r="F120" s="243">
        <f t="shared" si="25"/>
        <v>26482.098851922299</v>
      </c>
      <c r="G120" s="243">
        <f t="shared" si="25"/>
        <v>29601.097797520619</v>
      </c>
      <c r="H120" s="243">
        <f t="shared" si="25"/>
        <v>33087.445059316975</v>
      </c>
      <c r="I120" s="243">
        <f t="shared" si="25"/>
        <v>36984.406052839615</v>
      </c>
      <c r="J120" s="244">
        <f t="shared" si="25"/>
        <v>41340.341891890894</v>
      </c>
    </row>
    <row r="121" spans="2:10">
      <c r="B121" s="232"/>
      <c r="C121" s="158" t="s">
        <v>260</v>
      </c>
      <c r="D121" s="243">
        <f t="shared" ref="D121:J121" si="26">D39</f>
        <v>15965</v>
      </c>
      <c r="E121" s="244">
        <f t="shared" si="26"/>
        <v>12567</v>
      </c>
      <c r="F121" s="243">
        <f t="shared" si="26"/>
        <v>14382.642138994273</v>
      </c>
      <c r="G121" s="243">
        <f t="shared" si="26"/>
        <v>16076.595700503045</v>
      </c>
      <c r="H121" s="243">
        <f t="shared" si="26"/>
        <v>17970.059104557957</v>
      </c>
      <c r="I121" s="243">
        <f t="shared" si="26"/>
        <v>20086.530148369777</v>
      </c>
      <c r="J121" s="244">
        <f t="shared" si="26"/>
        <v>22452.274144108491</v>
      </c>
    </row>
    <row r="122" spans="2:10">
      <c r="B122" s="232"/>
      <c r="C122" s="158" t="s">
        <v>267</v>
      </c>
      <c r="D122" s="243">
        <f t="shared" ref="D122:J122" si="27">D51*-1</f>
        <v>-2493</v>
      </c>
      <c r="E122" s="244">
        <f t="shared" si="27"/>
        <v>-2728</v>
      </c>
      <c r="F122" s="243">
        <f t="shared" si="27"/>
        <v>-2987.7832294833461</v>
      </c>
      <c r="G122" s="243">
        <f t="shared" si="27"/>
        <v>-3339.6772690963908</v>
      </c>
      <c r="H122" s="243">
        <f t="shared" si="27"/>
        <v>-3733.0165561066506</v>
      </c>
      <c r="I122" s="243">
        <f t="shared" si="27"/>
        <v>-4172.6824136922751</v>
      </c>
      <c r="J122" s="244">
        <f t="shared" si="27"/>
        <v>-4664.1310757260308</v>
      </c>
    </row>
    <row r="123" spans="2:10">
      <c r="B123" s="232"/>
      <c r="C123" s="190" t="s">
        <v>268</v>
      </c>
      <c r="D123" s="243">
        <f t="shared" ref="D123:J123" si="28">D53*-1</f>
        <v>-12107</v>
      </c>
      <c r="E123" s="244">
        <f t="shared" si="28"/>
        <v>-14168</v>
      </c>
      <c r="F123" s="243">
        <f t="shared" si="28"/>
        <v>-14256.116265129071</v>
      </c>
      <c r="G123" s="243">
        <f t="shared" si="28"/>
        <v>-15968.89098556072</v>
      </c>
      <c r="H123" s="243">
        <f t="shared" si="28"/>
        <v>-17883.67169615559</v>
      </c>
      <c r="I123" s="243">
        <f t="shared" si="28"/>
        <v>-20023.050499218392</v>
      </c>
      <c r="J123" s="244">
        <f t="shared" si="28"/>
        <v>-22411.354003182973</v>
      </c>
    </row>
    <row r="124" spans="2:10">
      <c r="B124" s="232"/>
      <c r="C124" s="245" t="s">
        <v>309</v>
      </c>
      <c r="D124" s="246">
        <f t="shared" ref="D124:J124" si="29">SUM(D120:D123)</f>
        <v>26517</v>
      </c>
      <c r="E124" s="247">
        <f t="shared" si="29"/>
        <v>22084</v>
      </c>
      <c r="F124" s="246">
        <f t="shared" si="29"/>
        <v>23620.84149630415</v>
      </c>
      <c r="G124" s="246">
        <f t="shared" si="29"/>
        <v>26369.12524336655</v>
      </c>
      <c r="H124" s="246">
        <f t="shared" si="29"/>
        <v>29440.815911612688</v>
      </c>
      <c r="I124" s="246">
        <f t="shared" si="29"/>
        <v>32875.203288298726</v>
      </c>
      <c r="J124" s="248">
        <f t="shared" si="29"/>
        <v>36717.130957090383</v>
      </c>
    </row>
    <row r="125" spans="2:10">
      <c r="B125" s="232"/>
      <c r="C125" s="216"/>
      <c r="D125" s="216"/>
      <c r="E125" s="235"/>
      <c r="F125" s="216"/>
      <c r="G125" s="249"/>
      <c r="H125" s="8"/>
      <c r="I125" s="8"/>
      <c r="J125" s="9"/>
    </row>
    <row r="126" spans="2:10">
      <c r="B126" s="232"/>
      <c r="C126" s="216" t="s">
        <v>310</v>
      </c>
      <c r="D126" s="243">
        <f t="shared" ref="D126:J126" si="30">D124</f>
        <v>26517</v>
      </c>
      <c r="E126" s="244">
        <f t="shared" si="30"/>
        <v>22084</v>
      </c>
      <c r="F126" s="243">
        <f t="shared" si="30"/>
        <v>23620.84149630415</v>
      </c>
      <c r="G126" s="243">
        <f t="shared" si="30"/>
        <v>26369.12524336655</v>
      </c>
      <c r="H126" s="243">
        <f t="shared" si="30"/>
        <v>29440.815911612688</v>
      </c>
      <c r="I126" s="243">
        <f t="shared" si="30"/>
        <v>32875.203288298726</v>
      </c>
      <c r="J126" s="244">
        <f t="shared" si="30"/>
        <v>36717.130957090383</v>
      </c>
    </row>
    <row r="127" spans="2:10">
      <c r="B127" s="232"/>
      <c r="C127" s="216" t="s">
        <v>222</v>
      </c>
      <c r="D127" s="243">
        <f t="shared" ref="D127:J127" si="31">D42</f>
        <v>14604</v>
      </c>
      <c r="E127" s="244">
        <f t="shared" si="31"/>
        <v>14137</v>
      </c>
      <c r="F127" s="243">
        <f t="shared" si="31"/>
        <v>13022.23411973469</v>
      </c>
      <c r="G127" s="243">
        <f t="shared" si="31"/>
        <v>14350.315828388048</v>
      </c>
      <c r="H127" s="243">
        <f t="shared" si="31"/>
        <v>15727.053925834422</v>
      </c>
      <c r="I127" s="243">
        <f t="shared" si="31"/>
        <v>17150.282580780462</v>
      </c>
      <c r="J127" s="244">
        <f t="shared" si="31"/>
        <v>18617.027553082582</v>
      </c>
    </row>
    <row r="128" spans="2:10">
      <c r="B128" s="232"/>
      <c r="C128" s="250" t="s">
        <v>311</v>
      </c>
      <c r="D128" s="246">
        <f t="shared" ref="D128:J128" si="32">SUM(D126:D127)</f>
        <v>41121</v>
      </c>
      <c r="E128" s="247">
        <f t="shared" si="32"/>
        <v>36221</v>
      </c>
      <c r="F128" s="246">
        <f t="shared" si="32"/>
        <v>36643.075616038841</v>
      </c>
      <c r="G128" s="246">
        <f t="shared" si="32"/>
        <v>40719.441071754598</v>
      </c>
      <c r="H128" s="246">
        <f t="shared" si="32"/>
        <v>45167.869837447113</v>
      </c>
      <c r="I128" s="246">
        <f t="shared" si="32"/>
        <v>50025.485869079188</v>
      </c>
      <c r="J128" s="247">
        <f t="shared" si="32"/>
        <v>55334.158510172965</v>
      </c>
    </row>
    <row r="129" spans="2:10">
      <c r="B129" s="251"/>
      <c r="C129" s="241"/>
      <c r="D129" s="241"/>
      <c r="E129" s="242"/>
      <c r="F129" s="241"/>
      <c r="G129" s="241"/>
      <c r="H129" s="282"/>
      <c r="I129" s="282"/>
      <c r="J129" s="50"/>
    </row>
    <row r="130" spans="2:10">
      <c r="B130" s="216"/>
      <c r="C130" s="216"/>
      <c r="D130" s="216"/>
      <c r="E130" s="216"/>
      <c r="F130" s="216"/>
      <c r="G130" s="216"/>
    </row>
    <row r="131" spans="2:10">
      <c r="B131" s="216"/>
      <c r="C131" s="216"/>
      <c r="D131" s="216"/>
      <c r="E131" s="216"/>
      <c r="F131" s="216"/>
      <c r="G131" s="216"/>
    </row>
    <row r="132" spans="2:10">
      <c r="B132" s="216"/>
      <c r="C132" s="216"/>
      <c r="D132" s="216"/>
      <c r="E132" s="216"/>
      <c r="F132" s="216"/>
      <c r="G132" s="216"/>
    </row>
    <row r="133" spans="2:10">
      <c r="B133" s="216"/>
      <c r="C133" s="216"/>
      <c r="D133" s="216"/>
      <c r="E133" s="216"/>
      <c r="F133" s="249"/>
      <c r="G133" s="249"/>
    </row>
    <row r="134" spans="2:10">
      <c r="B134" s="216"/>
      <c r="C134" s="245"/>
      <c r="D134" s="245"/>
      <c r="E134" s="245"/>
      <c r="F134" s="249"/>
      <c r="G134" s="249"/>
    </row>
    <row r="135" spans="2:10">
      <c r="B135" s="216"/>
      <c r="C135" s="216"/>
      <c r="D135" s="216"/>
      <c r="E135" s="216"/>
      <c r="F135" s="216"/>
      <c r="G135" s="216"/>
    </row>
    <row r="136" spans="2:10">
      <c r="B136" s="216"/>
      <c r="C136" s="216"/>
      <c r="D136" s="216"/>
      <c r="E136" s="216"/>
      <c r="F136" s="216"/>
      <c r="G136" s="216"/>
    </row>
    <row r="137" spans="2:10">
      <c r="B137" s="216"/>
      <c r="C137" s="216"/>
      <c r="D137" s="216"/>
      <c r="E137" s="216"/>
      <c r="F137" s="216"/>
      <c r="G137" s="216"/>
    </row>
    <row r="138" spans="2:10">
      <c r="B138" s="216"/>
      <c r="C138" s="216"/>
      <c r="D138" s="216"/>
      <c r="E138" s="216"/>
      <c r="F138" s="216"/>
      <c r="G138" s="216"/>
    </row>
    <row r="139" spans="2:10">
      <c r="B139" s="216"/>
      <c r="C139" s="216"/>
      <c r="D139" s="216"/>
      <c r="E139" s="216"/>
      <c r="F139" s="216"/>
      <c r="G139" s="216"/>
    </row>
    <row r="140" spans="2:10">
      <c r="B140" s="216"/>
      <c r="C140" s="216"/>
      <c r="D140" s="216"/>
      <c r="E140" s="216"/>
      <c r="F140" s="216"/>
      <c r="G140" s="216"/>
    </row>
    <row r="141" spans="2:10">
      <c r="B141" s="216"/>
      <c r="C141" s="245"/>
      <c r="D141" s="245"/>
      <c r="E141" s="245"/>
      <c r="F141" s="252"/>
      <c r="G141" s="252"/>
    </row>
    <row r="142" spans="2:10">
      <c r="B142" s="216"/>
      <c r="C142" s="216"/>
      <c r="D142" s="216"/>
      <c r="E142" s="216"/>
      <c r="F142" s="216"/>
      <c r="G142" s="249"/>
    </row>
    <row r="143" spans="2:10">
      <c r="B143" s="216"/>
      <c r="C143" s="216"/>
      <c r="D143" s="216"/>
      <c r="E143" s="216"/>
      <c r="F143" s="216"/>
      <c r="G143" s="249"/>
    </row>
    <row r="144" spans="2:10">
      <c r="B144" s="216"/>
      <c r="C144" s="216"/>
      <c r="D144" s="216"/>
      <c r="E144" s="216"/>
      <c r="F144" s="216"/>
      <c r="G144" s="249"/>
    </row>
    <row r="145" spans="2:7">
      <c r="B145" s="216"/>
      <c r="C145" s="216"/>
      <c r="D145" s="216"/>
      <c r="E145" s="216"/>
      <c r="F145" s="216"/>
      <c r="G145" s="249"/>
    </row>
    <row r="146" spans="2:7">
      <c r="B146" s="216"/>
      <c r="C146" s="245"/>
      <c r="D146" s="245"/>
      <c r="E146" s="245"/>
      <c r="F146" s="216"/>
      <c r="G146" s="253"/>
    </row>
    <row r="147" spans="2:7">
      <c r="B147" s="216"/>
      <c r="C147" s="216"/>
      <c r="D147" s="216"/>
      <c r="E147" s="216"/>
      <c r="F147" s="216"/>
      <c r="G147" s="216"/>
    </row>
    <row r="148" spans="2:7">
      <c r="B148" s="216"/>
      <c r="C148" s="216"/>
      <c r="D148" s="216"/>
      <c r="E148" s="216"/>
      <c r="F148" s="216"/>
      <c r="G148" s="249"/>
    </row>
    <row r="149" spans="2:7">
      <c r="B149" s="216"/>
      <c r="C149" s="216"/>
      <c r="D149" s="216"/>
      <c r="E149" s="216"/>
      <c r="F149" s="216"/>
      <c r="G149" s="249"/>
    </row>
    <row r="150" spans="2:7">
      <c r="B150" s="216"/>
      <c r="C150" s="245"/>
      <c r="D150" s="245"/>
      <c r="E150" s="245"/>
      <c r="F150" s="216"/>
      <c r="G150" s="253"/>
    </row>
    <row r="151" spans="2:7">
      <c r="B151" s="254"/>
      <c r="C151" s="255"/>
      <c r="D151" s="256"/>
      <c r="E151" s="256"/>
      <c r="F151" s="256"/>
      <c r="G151" s="256"/>
    </row>
    <row r="152" spans="2:7">
      <c r="B152" s="216"/>
      <c r="C152" s="216"/>
      <c r="D152" s="216"/>
      <c r="E152" s="216"/>
      <c r="F152" s="216"/>
      <c r="G152" s="216"/>
    </row>
    <row r="153" spans="2:7">
      <c r="B153" s="216"/>
      <c r="C153" s="245"/>
      <c r="D153" s="245"/>
      <c r="E153" s="245"/>
      <c r="F153" s="252"/>
      <c r="G153" s="252"/>
    </row>
    <row r="154" spans="2:7">
      <c r="B154" s="216"/>
      <c r="C154" s="216"/>
      <c r="D154" s="216"/>
      <c r="E154" s="216"/>
      <c r="F154" s="216"/>
      <c r="G154" s="249"/>
    </row>
    <row r="155" spans="2:7">
      <c r="B155" s="216"/>
      <c r="C155" s="216"/>
      <c r="D155" s="216"/>
      <c r="E155" s="216"/>
      <c r="F155" s="216"/>
      <c r="G155" s="249"/>
    </row>
    <row r="156" spans="2:7">
      <c r="B156" s="216"/>
      <c r="C156" s="216"/>
      <c r="D156" s="216"/>
      <c r="E156" s="257"/>
      <c r="F156" s="216"/>
      <c r="G156" s="249"/>
    </row>
    <row r="157" spans="2:7">
      <c r="B157" s="216"/>
      <c r="C157" s="216"/>
      <c r="D157" s="216"/>
      <c r="E157" s="216"/>
      <c r="F157" s="216"/>
      <c r="G157" s="249"/>
    </row>
    <row r="158" spans="2:7">
      <c r="B158" s="216"/>
      <c r="C158" s="216"/>
      <c r="D158" s="216"/>
      <c r="E158" s="216"/>
      <c r="F158" s="216"/>
      <c r="G158" s="249"/>
    </row>
    <row r="159" spans="2:7">
      <c r="B159" s="216"/>
      <c r="C159" s="216"/>
      <c r="D159" s="216"/>
      <c r="E159" s="257"/>
      <c r="F159" s="216"/>
      <c r="G159" s="249"/>
    </row>
    <row r="160" spans="2:7">
      <c r="B160" s="216"/>
      <c r="C160" s="245"/>
      <c r="D160" s="245"/>
      <c r="E160" s="245"/>
      <c r="F160" s="216"/>
      <c r="G160" s="253"/>
    </row>
    <row r="161" spans="2:7">
      <c r="B161" s="254"/>
      <c r="C161" s="255"/>
      <c r="D161" s="256"/>
      <c r="E161" s="256"/>
      <c r="F161" s="256"/>
      <c r="G161" s="256"/>
    </row>
    <row r="162" spans="2:7">
      <c r="B162" s="216"/>
      <c r="C162" s="216"/>
      <c r="D162" s="216"/>
      <c r="E162" s="216"/>
      <c r="F162" s="216"/>
      <c r="G162" s="216"/>
    </row>
  </sheetData>
  <mergeCells count="2">
    <mergeCell ref="D4:E4"/>
    <mergeCell ref="F4:J4"/>
  </mergeCells>
  <pageMargins left="0.70000000000000007" right="0.70000000000000007" top="0.75" bottom="0.75" header="0.30000000000000004" footer="0.30000000000000004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EBBB-D237-406F-BD2D-64F74A2DCB16}">
  <sheetPr>
    <tabColor rgb="FF7030A0"/>
    <pageSetUpPr fitToPage="1"/>
  </sheetPr>
  <dimension ref="B3:I49"/>
  <sheetViews>
    <sheetView showGridLines="0" workbookViewId="0">
      <selection activeCell="C5" sqref="C5"/>
    </sheetView>
  </sheetViews>
  <sheetFormatPr defaultRowHeight="14.45"/>
  <cols>
    <col min="1" max="1" width="8.85546875" customWidth="1"/>
    <col min="2" max="2" width="28.85546875" customWidth="1"/>
    <col min="3" max="3" width="12.5703125" bestFit="1" customWidth="1"/>
    <col min="4" max="4" width="11" bestFit="1" customWidth="1"/>
    <col min="5" max="5" width="13.140625" customWidth="1"/>
    <col min="6" max="6" width="12.5703125" bestFit="1" customWidth="1"/>
    <col min="7" max="7" width="11.28515625" bestFit="1" customWidth="1"/>
    <col min="8" max="8" width="12.5703125" bestFit="1" customWidth="1"/>
    <col min="9" max="9" width="8.85546875" customWidth="1"/>
  </cols>
  <sheetData>
    <row r="3" spans="2:9" ht="26.25" customHeight="1">
      <c r="B3" s="1" t="s">
        <v>312</v>
      </c>
    </row>
    <row r="4" spans="2:9">
      <c r="B4" s="42" t="s">
        <v>33</v>
      </c>
    </row>
    <row r="5" spans="2:9">
      <c r="B5" s="258"/>
      <c r="C5" s="259" t="s">
        <v>241</v>
      </c>
      <c r="D5" s="308" t="s">
        <v>313</v>
      </c>
      <c r="E5" s="308"/>
      <c r="F5" s="308"/>
      <c r="G5" s="308"/>
      <c r="H5" s="308"/>
    </row>
    <row r="6" spans="2:9">
      <c r="B6" s="260" t="s">
        <v>312</v>
      </c>
      <c r="C6" s="261"/>
      <c r="D6" s="4" t="s">
        <v>3</v>
      </c>
      <c r="E6" s="4" t="s">
        <v>4</v>
      </c>
      <c r="F6" s="4" t="s">
        <v>5</v>
      </c>
      <c r="G6" s="4" t="s">
        <v>6</v>
      </c>
      <c r="H6" s="5" t="s">
        <v>7</v>
      </c>
    </row>
    <row r="7" spans="2:9">
      <c r="B7" s="108"/>
      <c r="C7" s="8"/>
      <c r="D7" s="8"/>
      <c r="E7" s="8"/>
      <c r="F7" s="8"/>
      <c r="G7" s="8"/>
      <c r="H7" s="9"/>
    </row>
    <row r="8" spans="2:9">
      <c r="B8" s="262" t="s">
        <v>314</v>
      </c>
      <c r="C8" s="263">
        <f>ASSUMPTION_!C26</f>
        <v>0.120925</v>
      </c>
      <c r="D8" s="8"/>
      <c r="E8" s="8"/>
      <c r="F8" s="8"/>
      <c r="G8" s="8"/>
      <c r="H8" s="9"/>
    </row>
    <row r="9" spans="2:9">
      <c r="B9" s="108"/>
      <c r="C9" s="8"/>
      <c r="D9" s="8"/>
      <c r="E9" s="8"/>
      <c r="F9" s="8"/>
      <c r="G9" s="8"/>
      <c r="H9" s="9"/>
    </row>
    <row r="10" spans="2:9">
      <c r="B10" s="262" t="s">
        <v>315</v>
      </c>
      <c r="C10" s="8"/>
      <c r="D10" s="8"/>
      <c r="E10" s="8"/>
      <c r="F10" s="8"/>
      <c r="G10" s="8"/>
      <c r="H10" s="9"/>
    </row>
    <row r="11" spans="2:9">
      <c r="B11" s="108" t="s">
        <v>18</v>
      </c>
      <c r="C11" s="8"/>
      <c r="D11" s="15">
        <f>FINANCIALS!F19</f>
        <v>35892.363230184856</v>
      </c>
      <c r="E11" s="15">
        <f>FINANCIALS!G19</f>
        <v>39843.419001948903</v>
      </c>
      <c r="F11" s="15">
        <f>FINANCIALS!H19</f>
        <v>44257.531614215433</v>
      </c>
      <c r="G11" s="15">
        <f>FINANCIALS!I19</f>
        <v>49199.066713166554</v>
      </c>
      <c r="H11" s="16">
        <f>FINANCIALS!J19</f>
        <v>54747.559407203298</v>
      </c>
    </row>
    <row r="12" spans="2:9">
      <c r="B12" s="108" t="s">
        <v>316</v>
      </c>
      <c r="C12" s="8"/>
      <c r="D12" s="15">
        <f>D11*-ASSUMPTION_!$F$11</f>
        <v>-9332.0144398480625</v>
      </c>
      <c r="E12" s="15">
        <f>E11*-ASSUMPTION_!$F$11</f>
        <v>-10359.288940506714</v>
      </c>
      <c r="F12" s="15">
        <f>F11*-ASSUMPTION_!$F$11</f>
        <v>-11506.958219696013</v>
      </c>
      <c r="G12" s="15">
        <f>G11*-ASSUMPTION_!$F$11</f>
        <v>-12791.757345423304</v>
      </c>
      <c r="H12" s="16">
        <f>H11*-ASSUMPTION_!$F$11</f>
        <v>-14234.365445872858</v>
      </c>
    </row>
    <row r="13" spans="2:9">
      <c r="B13" s="108" t="s">
        <v>17</v>
      </c>
      <c r="C13" s="8"/>
      <c r="D13" s="15">
        <f>-FINANCIALS!F18</f>
        <v>3543.4718631999999</v>
      </c>
      <c r="E13" s="15">
        <f>-FINANCIALS!G18</f>
        <v>4237.0754427519996</v>
      </c>
      <c r="F13" s="15">
        <f>-FINANCIALS!H18</f>
        <v>5014.6591708415999</v>
      </c>
      <c r="G13" s="15">
        <f>-FINANCIALS!I18</f>
        <v>5876.2861235553301</v>
      </c>
      <c r="H13" s="16">
        <f>-FINANCIALS!J18</f>
        <v>6814.4381772298002</v>
      </c>
      <c r="I13" s="72"/>
    </row>
    <row r="14" spans="2:9">
      <c r="B14" s="108" t="s">
        <v>317</v>
      </c>
      <c r="C14" s="8"/>
      <c r="D14" s="15">
        <f>(FINANCIALS!F124-FINANCIALS!E124)*-1</f>
        <v>-1536.8414963041505</v>
      </c>
      <c r="E14" s="15">
        <f>(FINANCIALS!G124-FINANCIALS!F124)*-1</f>
        <v>-2748.2837470623999</v>
      </c>
      <c r="F14" s="15">
        <f>(FINANCIALS!H124-FINANCIALS!G124)*-1</f>
        <v>-3071.6906682461376</v>
      </c>
      <c r="G14" s="15">
        <f>(FINANCIALS!I124-FINANCIALS!H124)*-1</f>
        <v>-3434.3873766860379</v>
      </c>
      <c r="H14" s="16">
        <f>(FINANCIALS!J124-FINANCIALS!I124)*-1</f>
        <v>-3841.9276687916572</v>
      </c>
    </row>
    <row r="15" spans="2:9">
      <c r="B15" s="108" t="s">
        <v>100</v>
      </c>
      <c r="C15" s="8"/>
      <c r="D15" s="15">
        <f>FINANCIALS!F86</f>
        <v>-1984.8332735473771</v>
      </c>
      <c r="E15" s="15">
        <f>FINANCIALS!G86</f>
        <v>-2047.9405295539834</v>
      </c>
      <c r="F15" s="15">
        <f>FINANCIALS!H86</f>
        <v>-2193.7611980038291</v>
      </c>
      <c r="G15" s="15">
        <f>FINANCIALS!I86</f>
        <v>-2345.5225404900252</v>
      </c>
      <c r="H15" s="16">
        <f>FINANCIALS!J86</f>
        <v>-2502.6011523117882</v>
      </c>
    </row>
    <row r="16" spans="2:9">
      <c r="B16" s="264" t="s">
        <v>312</v>
      </c>
      <c r="C16" s="211"/>
      <c r="D16" s="206">
        <f>SUM(D11:D15)</f>
        <v>26582.145883685265</v>
      </c>
      <c r="E16" s="206">
        <f>SUM(E11:E15)</f>
        <v>28924.981227577802</v>
      </c>
      <c r="F16" s="206">
        <f>SUM(F11:F15)</f>
        <v>32499.780699111063</v>
      </c>
      <c r="G16" s="206">
        <f>SUM(G11:G15)</f>
        <v>36503.685574122515</v>
      </c>
      <c r="H16" s="207">
        <f>SUM(H11:H15)</f>
        <v>40983.1033174568</v>
      </c>
    </row>
    <row r="17" spans="2:8">
      <c r="B17" s="119"/>
      <c r="C17" s="229"/>
      <c r="D17" s="229"/>
      <c r="E17" s="229"/>
      <c r="F17" s="229"/>
      <c r="G17" s="229"/>
      <c r="H17" s="143"/>
    </row>
    <row r="20" spans="2:8" ht="21">
      <c r="B20" s="1" t="s">
        <v>318</v>
      </c>
    </row>
    <row r="22" spans="2:8">
      <c r="B22" s="265" t="s">
        <v>318</v>
      </c>
      <c r="C22" s="266"/>
      <c r="D22" s="4" t="s">
        <v>3</v>
      </c>
      <c r="E22" s="4" t="s">
        <v>4</v>
      </c>
      <c r="F22" s="4" t="s">
        <v>5</v>
      </c>
      <c r="G22" s="4" t="s">
        <v>6</v>
      </c>
      <c r="H22" s="5" t="s">
        <v>7</v>
      </c>
    </row>
    <row r="23" spans="2:8">
      <c r="B23" s="108"/>
      <c r="C23" s="8"/>
      <c r="D23" s="8"/>
      <c r="E23" s="8"/>
      <c r="F23" s="8"/>
      <c r="G23" s="8"/>
      <c r="H23" s="9"/>
    </row>
    <row r="24" spans="2:8">
      <c r="B24" s="108" t="s">
        <v>27</v>
      </c>
      <c r="C24" s="8"/>
      <c r="D24" s="15">
        <f>D16</f>
        <v>26582.145883685265</v>
      </c>
      <c r="E24" s="15">
        <f>E16</f>
        <v>28924.981227577802</v>
      </c>
      <c r="F24" s="15">
        <f>F16</f>
        <v>32499.780699111063</v>
      </c>
      <c r="G24" s="15">
        <f>G16</f>
        <v>36503.685574122515</v>
      </c>
      <c r="H24" s="16">
        <f>H16</f>
        <v>40983.1033174568</v>
      </c>
    </row>
    <row r="25" spans="2:8">
      <c r="B25" s="108" t="s">
        <v>319</v>
      </c>
      <c r="C25" s="8"/>
      <c r="D25" s="8"/>
      <c r="E25" s="8"/>
      <c r="F25" s="8"/>
      <c r="G25" s="8"/>
      <c r="H25" s="16">
        <f>C42</f>
        <v>567673.58771850809</v>
      </c>
    </row>
    <row r="26" spans="2:8">
      <c r="B26" s="264" t="s">
        <v>320</v>
      </c>
      <c r="C26" s="211"/>
      <c r="D26" s="211"/>
      <c r="E26" s="211"/>
      <c r="F26" s="211"/>
      <c r="G26" s="211"/>
      <c r="H26" s="207">
        <f>SUM(H24:H25)</f>
        <v>608656.69103596488</v>
      </c>
    </row>
    <row r="27" spans="2:8">
      <c r="B27" s="108"/>
      <c r="C27" s="8"/>
      <c r="D27" s="8"/>
      <c r="E27" s="8"/>
      <c r="F27" s="8"/>
      <c r="G27" s="8"/>
      <c r="H27" s="9"/>
    </row>
    <row r="28" spans="2:8">
      <c r="B28" s="108" t="s">
        <v>321</v>
      </c>
      <c r="C28" s="8"/>
      <c r="D28" s="33">
        <f>1/(1+$C$8)^1</f>
        <v>0.89212034703481502</v>
      </c>
      <c r="E28" s="33">
        <f>1/(1+$C$8)^2</f>
        <v>0.79587871359351869</v>
      </c>
      <c r="F28" s="33">
        <f>1/(1+$C$8)^3</f>
        <v>0.71001959416867211</v>
      </c>
      <c r="G28" s="33">
        <f>1/(1+$C$8)^4</f>
        <v>0.63342292675127432</v>
      </c>
      <c r="H28" s="34">
        <f>1/(1+$C$8)^5</f>
        <v>0.56508948123315506</v>
      </c>
    </row>
    <row r="29" spans="2:8">
      <c r="B29" s="108"/>
      <c r="C29" s="8"/>
      <c r="D29" s="8"/>
      <c r="E29" s="8"/>
      <c r="F29" s="8"/>
      <c r="G29" s="8"/>
      <c r="H29" s="9"/>
    </row>
    <row r="30" spans="2:8">
      <c r="B30" s="108" t="s">
        <v>322</v>
      </c>
      <c r="C30" s="8"/>
      <c r="D30" s="15">
        <f>D24*D28</f>
        <v>23714.47321068338</v>
      </c>
      <c r="E30" s="15">
        <f>E24*E28</f>
        <v>23020.7768501213</v>
      </c>
      <c r="F30" s="15">
        <f>F24*F28</f>
        <v>23075.48110255368</v>
      </c>
      <c r="G30" s="15">
        <f>G24*G28</f>
        <v>23122.271353568955</v>
      </c>
      <c r="H30" s="16">
        <f>H24*H28</f>
        <v>23159.120592986459</v>
      </c>
    </row>
    <row r="31" spans="2:8">
      <c r="B31" s="108" t="s">
        <v>323</v>
      </c>
      <c r="C31" s="8"/>
      <c r="D31" s="8"/>
      <c r="E31" s="8"/>
      <c r="F31" s="8"/>
      <c r="G31" s="8"/>
      <c r="H31" s="16">
        <f>H25*H28</f>
        <v>320786.3731936157</v>
      </c>
    </row>
    <row r="32" spans="2:8">
      <c r="B32" s="264" t="s">
        <v>324</v>
      </c>
      <c r="C32" s="211"/>
      <c r="D32" s="211"/>
      <c r="E32" s="211"/>
      <c r="F32" s="211"/>
      <c r="G32" s="211"/>
      <c r="H32" s="207">
        <f>H30+H31</f>
        <v>343945.49378660216</v>
      </c>
    </row>
    <row r="33" spans="2:8">
      <c r="B33" s="119"/>
      <c r="C33" s="229"/>
      <c r="D33" s="229"/>
      <c r="E33" s="229"/>
      <c r="F33" s="229"/>
      <c r="G33" s="229"/>
      <c r="H33" s="143"/>
    </row>
    <row r="34" spans="2:8">
      <c r="B34" s="8"/>
      <c r="C34" s="8"/>
      <c r="D34" s="8"/>
      <c r="E34" s="8"/>
      <c r="F34" s="8"/>
      <c r="G34" s="8"/>
      <c r="H34" s="8"/>
    </row>
    <row r="35" spans="2:8">
      <c r="B35" s="300" t="s">
        <v>325</v>
      </c>
      <c r="C35" s="300"/>
      <c r="D35" s="300"/>
      <c r="E35" s="300"/>
      <c r="F35" s="300"/>
      <c r="G35" s="300"/>
      <c r="H35" s="300"/>
    </row>
    <row r="36" spans="2:8">
      <c r="B36" s="108"/>
      <c r="C36" s="8"/>
      <c r="D36" s="8"/>
      <c r="E36" s="8"/>
      <c r="F36" s="8"/>
      <c r="G36" s="8"/>
      <c r="H36" s="9"/>
    </row>
    <row r="37" spans="2:8">
      <c r="B37" s="108"/>
      <c r="C37" s="8"/>
      <c r="D37" s="8"/>
      <c r="E37" s="8"/>
      <c r="F37" s="8"/>
      <c r="G37" s="8"/>
      <c r="H37" s="9"/>
    </row>
    <row r="38" spans="2:8">
      <c r="B38" s="267" t="s">
        <v>326</v>
      </c>
      <c r="C38" s="8"/>
      <c r="D38" s="8"/>
      <c r="E38" s="268" t="s">
        <v>15</v>
      </c>
      <c r="F38" s="8"/>
      <c r="G38" s="8"/>
      <c r="H38" s="9"/>
    </row>
    <row r="39" spans="2:8">
      <c r="B39" s="108" t="s">
        <v>327</v>
      </c>
      <c r="C39" s="15">
        <f>H24</f>
        <v>40983.1033174568</v>
      </c>
      <c r="D39" s="8"/>
      <c r="E39" s="8" t="s">
        <v>15</v>
      </c>
      <c r="F39" s="15">
        <f>FINANCIALS!J15</f>
        <v>61561.997584433098</v>
      </c>
      <c r="G39" s="8"/>
      <c r="H39" s="9"/>
    </row>
    <row r="40" spans="2:8">
      <c r="B40" s="108" t="s">
        <v>328</v>
      </c>
      <c r="C40" s="112">
        <f>C8</f>
        <v>0.120925</v>
      </c>
      <c r="D40" s="8"/>
      <c r="E40" s="8" t="s">
        <v>329</v>
      </c>
      <c r="F40" s="8">
        <v>15</v>
      </c>
      <c r="G40" s="8"/>
      <c r="H40" s="9"/>
    </row>
    <row r="41" spans="2:8">
      <c r="B41" s="108" t="s">
        <v>330</v>
      </c>
      <c r="C41" s="121">
        <v>0.04</v>
      </c>
      <c r="D41" s="8"/>
      <c r="E41" s="269" t="s">
        <v>331</v>
      </c>
      <c r="F41" s="270">
        <f>F39*F40</f>
        <v>923429.96376649651</v>
      </c>
      <c r="G41" s="8"/>
      <c r="H41" s="9"/>
    </row>
    <row r="42" spans="2:8">
      <c r="B42" s="264" t="s">
        <v>332</v>
      </c>
      <c r="C42" s="206">
        <f>(C39*(1+C40))/(C40-C41)</f>
        <v>567673.58771850809</v>
      </c>
      <c r="D42" s="8"/>
      <c r="E42" s="8"/>
      <c r="F42" s="271"/>
      <c r="G42" s="8"/>
      <c r="H42" s="9"/>
    </row>
    <row r="43" spans="2:8">
      <c r="B43" s="108"/>
      <c r="C43" s="8"/>
      <c r="D43" s="8"/>
      <c r="E43" s="269" t="s">
        <v>333</v>
      </c>
      <c r="F43" s="272">
        <f>PV(C8, 5,0,-F41)</f>
        <v>521820.55917996063</v>
      </c>
      <c r="G43" s="8"/>
      <c r="H43" s="9"/>
    </row>
    <row r="44" spans="2:8">
      <c r="B44" s="267" t="s">
        <v>334</v>
      </c>
      <c r="C44" s="8"/>
      <c r="D44" s="8"/>
      <c r="E44" s="273"/>
      <c r="F44" s="8"/>
      <c r="G44" s="8"/>
      <c r="H44" s="9"/>
    </row>
    <row r="45" spans="2:8">
      <c r="B45" s="108" t="s">
        <v>322</v>
      </c>
      <c r="C45" s="15">
        <f>SUM(D30:H30)</f>
        <v>116092.12310991378</v>
      </c>
      <c r="D45" s="8"/>
      <c r="E45" s="8"/>
      <c r="F45" s="8"/>
      <c r="G45" s="8"/>
      <c r="H45" s="9"/>
    </row>
    <row r="46" spans="2:8">
      <c r="B46" s="108" t="s">
        <v>335</v>
      </c>
      <c r="C46" s="15">
        <f>H31</f>
        <v>320786.3731936157</v>
      </c>
      <c r="D46" s="8"/>
      <c r="E46" s="8"/>
      <c r="F46" s="8"/>
      <c r="G46" s="8"/>
      <c r="H46" s="9"/>
    </row>
    <row r="47" spans="2:8">
      <c r="B47" s="264" t="s">
        <v>334</v>
      </c>
      <c r="C47" s="206">
        <f>SUM(C45:C46)</f>
        <v>436878.49630352948</v>
      </c>
      <c r="D47" s="8"/>
      <c r="E47" s="8"/>
      <c r="F47" s="8"/>
      <c r="G47" s="8"/>
      <c r="H47" s="9"/>
    </row>
    <row r="48" spans="2:8">
      <c r="B48" s="108"/>
      <c r="C48" s="8"/>
      <c r="D48" s="8"/>
      <c r="E48" s="8"/>
      <c r="F48" s="8"/>
      <c r="G48" s="8"/>
      <c r="H48" s="9"/>
    </row>
    <row r="49" spans="2:8">
      <c r="B49" s="54"/>
      <c r="C49" s="282"/>
      <c r="D49" s="282"/>
      <c r="E49" s="282"/>
      <c r="F49" s="282"/>
      <c r="G49" s="282"/>
      <c r="H49" s="50"/>
    </row>
  </sheetData>
  <mergeCells count="2">
    <mergeCell ref="D5:H5"/>
    <mergeCell ref="B35:H35"/>
  </mergeCells>
  <pageMargins left="0.70000000000000007" right="0.70000000000000007" top="0.75" bottom="0.75" header="0.30000000000000004" footer="0.30000000000000004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Yogu ...</dc:creator>
  <cp:keywords/>
  <dc:description/>
  <cp:lastModifiedBy/>
  <cp:revision/>
  <dcterms:created xsi:type="dcterms:W3CDTF">2025-05-15T08:56:46Z</dcterms:created>
  <dcterms:modified xsi:type="dcterms:W3CDTF">2025-06-15T06:52:02Z</dcterms:modified>
  <cp:category/>
  <cp:contentStatus/>
</cp:coreProperties>
</file>