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mc:AlternateContent xmlns:mc="http://schemas.openxmlformats.org/markup-compatibility/2006">
    <mc:Choice Requires="x15">
      <x15ac:absPath xmlns:x15ac="http://schemas.microsoft.com/office/spreadsheetml/2010/11/ac" url="https://d.docs.live.net/A98D0918A7B9026D/"/>
    </mc:Choice>
  </mc:AlternateContent>
  <xr:revisionPtr revIDLastSave="0" documentId="8_{547FCF6E-850E-4F22-BE0A-7BD932D2F78A}" xr6:coauthVersionLast="47" xr6:coauthVersionMax="47" xr10:uidLastSave="{00000000-0000-0000-0000-000000000000}"/>
  <bookViews>
    <workbookView xWindow="-108" yWindow="-108" windowWidth="23256" windowHeight="12456" tabRatio="713" xr2:uid="{00000000-000D-0000-FFFF-FFFF00000000}"/>
  </bookViews>
  <sheets>
    <sheet name="EXECUTIVE SUMMARY " sheetId="10" r:id="rId1"/>
    <sheet name="BALANCE SHEET " sheetId="1" r:id="rId2"/>
    <sheet name="INCOME STATEMENT" sheetId="2" r:id="rId3"/>
    <sheet name="CASH FLOW STATEMENT " sheetId="3" r:id="rId4"/>
    <sheet name="RATIO ANALYSIS " sheetId="4" r:id="rId5"/>
    <sheet name="HORIZONTAL ANALYSIS " sheetId="5" r:id="rId6"/>
    <sheet name="VERTICAL ANALYSIS" sheetId="6" r:id="rId7"/>
    <sheet name="FINANCIALS" sheetId="8" r:id="rId8"/>
    <sheet name="ASSUMPTION " sheetId="7" r:id="rId9"/>
    <sheet name="Discounted Cash Flow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9" l="1"/>
  <c r="J8" i="8"/>
  <c r="I8" i="8"/>
  <c r="H8" i="8"/>
  <c r="G8" i="8"/>
  <c r="G7" i="8"/>
  <c r="I8" i="10"/>
  <c r="H8" i="10"/>
  <c r="G8" i="10"/>
  <c r="F8" i="10"/>
  <c r="E8" i="10"/>
  <c r="F7" i="10"/>
  <c r="E7" i="10"/>
  <c r="F9" i="7"/>
  <c r="F8" i="7"/>
  <c r="F7" i="7"/>
  <c r="F8" i="8" s="1"/>
  <c r="E62" i="8"/>
  <c r="D62" i="8"/>
  <c r="E11" i="8"/>
  <c r="D11" i="8"/>
  <c r="F7" i="8"/>
  <c r="H13" i="9"/>
  <c r="G13" i="9"/>
  <c r="F13" i="9"/>
  <c r="E13" i="9"/>
  <c r="D13" i="9"/>
  <c r="E127" i="8"/>
  <c r="D127" i="8"/>
  <c r="E122" i="8"/>
  <c r="D122" i="8"/>
  <c r="E123" i="8"/>
  <c r="D123" i="8"/>
  <c r="E121" i="8"/>
  <c r="D121" i="8"/>
  <c r="E120" i="8"/>
  <c r="E124" i="8" s="1"/>
  <c r="E126" i="8" s="1"/>
  <c r="E128" i="8" s="1"/>
  <c r="D120" i="8"/>
  <c r="D124" i="8" s="1"/>
  <c r="D126" i="8" s="1"/>
  <c r="D128" i="8" s="1"/>
  <c r="C107" i="8"/>
  <c r="F97" i="8"/>
  <c r="J72" i="8"/>
  <c r="I72" i="8"/>
  <c r="H72" i="8"/>
  <c r="G72" i="8"/>
  <c r="F72" i="8"/>
  <c r="L19" i="7"/>
  <c r="H82" i="6"/>
  <c r="G82" i="6"/>
  <c r="F82" i="6"/>
  <c r="E82" i="6"/>
  <c r="D82" i="6"/>
  <c r="D79" i="6"/>
  <c r="E79" i="6"/>
  <c r="F79" i="6"/>
  <c r="G79" i="6"/>
  <c r="H79" i="6"/>
  <c r="E58" i="8"/>
  <c r="D58" i="8"/>
  <c r="E54" i="8"/>
  <c r="D54" i="8"/>
  <c r="E46" i="8"/>
  <c r="D46" i="8"/>
  <c r="E40" i="8"/>
  <c r="D40" i="8"/>
  <c r="H70" i="6"/>
  <c r="G70" i="6"/>
  <c r="F70" i="6"/>
  <c r="E70" i="6"/>
  <c r="D70" i="6"/>
  <c r="H69" i="6"/>
  <c r="G69" i="6"/>
  <c r="F69" i="6"/>
  <c r="E69" i="6"/>
  <c r="D69" i="6"/>
  <c r="H48" i="6"/>
  <c r="G48" i="6"/>
  <c r="F48" i="6"/>
  <c r="E48" i="6"/>
  <c r="D48" i="6"/>
  <c r="H47" i="6"/>
  <c r="G47" i="6"/>
  <c r="F47" i="6"/>
  <c r="E47" i="6"/>
  <c r="D47" i="6"/>
  <c r="L22" i="7"/>
  <c r="H68" i="6"/>
  <c r="G68" i="6"/>
  <c r="F68" i="6"/>
  <c r="E68" i="6"/>
  <c r="D68" i="6"/>
  <c r="F21" i="7" s="1"/>
  <c r="D25" i="3"/>
  <c r="H76" i="6"/>
  <c r="G76" i="6"/>
  <c r="F76" i="6"/>
  <c r="E76" i="6"/>
  <c r="D76" i="6"/>
  <c r="F31" i="7" s="1"/>
  <c r="H75" i="6"/>
  <c r="G75" i="6"/>
  <c r="F75" i="6"/>
  <c r="E75" i="6"/>
  <c r="D75" i="6"/>
  <c r="F30" i="7" s="1"/>
  <c r="D73" i="6"/>
  <c r="H73" i="6"/>
  <c r="G73" i="6"/>
  <c r="F73" i="6"/>
  <c r="E73" i="6"/>
  <c r="H72" i="6"/>
  <c r="G72" i="6"/>
  <c r="F72" i="6"/>
  <c r="E72" i="6"/>
  <c r="D72" i="6"/>
  <c r="F23" i="7" s="1"/>
  <c r="H63" i="6"/>
  <c r="G63" i="6"/>
  <c r="F63" i="6"/>
  <c r="E63" i="6"/>
  <c r="D63" i="6"/>
  <c r="F28" i="7" s="1"/>
  <c r="H62" i="6"/>
  <c r="G62" i="6"/>
  <c r="F62" i="6"/>
  <c r="E62" i="6"/>
  <c r="D62" i="6"/>
  <c r="F27" i="7" s="1"/>
  <c r="H67" i="6"/>
  <c r="G67" i="6"/>
  <c r="F67" i="6"/>
  <c r="E67" i="6"/>
  <c r="D67" i="6"/>
  <c r="F7" i="5"/>
  <c r="C22" i="7"/>
  <c r="C16" i="7"/>
  <c r="C17" i="7" s="1"/>
  <c r="C26" i="7" s="1"/>
  <c r="C8" i="9" s="1"/>
  <c r="C10" i="7"/>
  <c r="H58" i="6"/>
  <c r="G58" i="6"/>
  <c r="F58" i="6"/>
  <c r="E58" i="6"/>
  <c r="D58" i="6"/>
  <c r="F18" i="7" s="1"/>
  <c r="H61" i="6"/>
  <c r="G61" i="6"/>
  <c r="F61" i="6"/>
  <c r="E61" i="6"/>
  <c r="D61" i="6"/>
  <c r="D57" i="6"/>
  <c r="H57" i="6"/>
  <c r="G57" i="6"/>
  <c r="F57" i="6"/>
  <c r="E57" i="6"/>
  <c r="H56" i="6"/>
  <c r="G56" i="6"/>
  <c r="F56" i="6"/>
  <c r="E56" i="6"/>
  <c r="D56" i="6"/>
  <c r="H50" i="6"/>
  <c r="G50" i="6"/>
  <c r="F50" i="6"/>
  <c r="E50" i="6"/>
  <c r="D50" i="6"/>
  <c r="H51" i="6"/>
  <c r="G51" i="6"/>
  <c r="F51" i="6"/>
  <c r="E51" i="6"/>
  <c r="D51" i="6"/>
  <c r="D34" i="4"/>
  <c r="D35" i="4" s="1"/>
  <c r="D37" i="4" s="1"/>
  <c r="H34" i="4"/>
  <c r="H35" i="4" s="1"/>
  <c r="H37" i="4" s="1"/>
  <c r="G34" i="4"/>
  <c r="G35" i="4" s="1"/>
  <c r="G37" i="4" s="1"/>
  <c r="F34" i="4"/>
  <c r="F35" i="4" s="1"/>
  <c r="F37" i="4" s="1"/>
  <c r="E34" i="4"/>
  <c r="E35" i="4" s="1"/>
  <c r="E37" i="4" s="1"/>
  <c r="H53" i="6"/>
  <c r="G53" i="6"/>
  <c r="F53" i="6"/>
  <c r="E53" i="6"/>
  <c r="H7" i="4"/>
  <c r="G7" i="4"/>
  <c r="F7" i="4"/>
  <c r="E7" i="4"/>
  <c r="D44" i="6"/>
  <c r="H45" i="6"/>
  <c r="G45" i="6"/>
  <c r="F45" i="6"/>
  <c r="E45" i="6"/>
  <c r="H44" i="6"/>
  <c r="G44" i="6"/>
  <c r="F44" i="6"/>
  <c r="E44" i="6"/>
  <c r="E43" i="5"/>
  <c r="H49" i="5"/>
  <c r="G49" i="5"/>
  <c r="F49" i="5"/>
  <c r="E49" i="5"/>
  <c r="H48" i="5"/>
  <c r="G48" i="5"/>
  <c r="F48" i="5"/>
  <c r="E48" i="5"/>
  <c r="H43" i="5"/>
  <c r="G43" i="5"/>
  <c r="F43" i="5"/>
  <c r="H42" i="5"/>
  <c r="G42" i="5"/>
  <c r="F42" i="5"/>
  <c r="E42" i="5"/>
  <c r="H39" i="5"/>
  <c r="G39" i="5"/>
  <c r="F39" i="5"/>
  <c r="E39" i="5"/>
  <c r="H38" i="5"/>
  <c r="G38" i="5"/>
  <c r="F38" i="5"/>
  <c r="E38" i="5"/>
  <c r="H37" i="5"/>
  <c r="G37" i="5"/>
  <c r="F37" i="5"/>
  <c r="E37" i="5"/>
  <c r="E21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H21" i="5"/>
  <c r="G21" i="5"/>
  <c r="F21" i="5"/>
  <c r="H17" i="5"/>
  <c r="G17" i="5"/>
  <c r="F17" i="5"/>
  <c r="H16" i="5"/>
  <c r="G16" i="5"/>
  <c r="F16" i="5"/>
  <c r="E16" i="5"/>
  <c r="H15" i="5"/>
  <c r="G15" i="5"/>
  <c r="F15" i="5"/>
  <c r="E15" i="5"/>
  <c r="H14" i="5"/>
  <c r="G14" i="5"/>
  <c r="F14" i="5"/>
  <c r="E14" i="5"/>
  <c r="H12" i="5"/>
  <c r="G12" i="5"/>
  <c r="F12" i="5"/>
  <c r="H11" i="5"/>
  <c r="G11" i="5"/>
  <c r="F11" i="5"/>
  <c r="E11" i="5"/>
  <c r="H9" i="5"/>
  <c r="G9" i="5"/>
  <c r="F9" i="5"/>
  <c r="H8" i="5"/>
  <c r="G8" i="5"/>
  <c r="F8" i="5"/>
  <c r="E8" i="5"/>
  <c r="H7" i="5"/>
  <c r="G7" i="5"/>
  <c r="E7" i="5"/>
  <c r="H32" i="3"/>
  <c r="G32" i="3"/>
  <c r="F32" i="3"/>
  <c r="E32" i="3"/>
  <c r="D32" i="3"/>
  <c r="H47" i="4"/>
  <c r="G47" i="4"/>
  <c r="F47" i="4"/>
  <c r="E47" i="4"/>
  <c r="H45" i="4"/>
  <c r="G45" i="4"/>
  <c r="F45" i="4"/>
  <c r="E45" i="4"/>
  <c r="H21" i="2"/>
  <c r="G21" i="2"/>
  <c r="F21" i="2"/>
  <c r="E21" i="2"/>
  <c r="H54" i="4"/>
  <c r="G54" i="4"/>
  <c r="F54" i="4"/>
  <c r="E54" i="4"/>
  <c r="D54" i="4"/>
  <c r="H39" i="4"/>
  <c r="G39" i="4"/>
  <c r="F39" i="4"/>
  <c r="E39" i="4"/>
  <c r="D39" i="4"/>
  <c r="H28" i="4"/>
  <c r="H29" i="4" s="1"/>
  <c r="H31" i="4" s="1"/>
  <c r="G28" i="4"/>
  <c r="G29" i="4" s="1"/>
  <c r="G31" i="4" s="1"/>
  <c r="F28" i="4"/>
  <c r="F29" i="4" s="1"/>
  <c r="F31" i="4" s="1"/>
  <c r="E28" i="4"/>
  <c r="E29" i="4" s="1"/>
  <c r="E31" i="4" s="1"/>
  <c r="D28" i="4"/>
  <c r="D29" i="4" s="1"/>
  <c r="D31" i="4" s="1"/>
  <c r="F16" i="7" s="1"/>
  <c r="H37" i="3"/>
  <c r="G37" i="3"/>
  <c r="F37" i="3"/>
  <c r="E37" i="3"/>
  <c r="H25" i="3"/>
  <c r="G25" i="3"/>
  <c r="F25" i="3"/>
  <c r="E25" i="3"/>
  <c r="H20" i="2"/>
  <c r="G20" i="2"/>
  <c r="F20" i="2"/>
  <c r="E20" i="2"/>
  <c r="D20" i="2"/>
  <c r="H10" i="2"/>
  <c r="G10" i="2"/>
  <c r="F10" i="2"/>
  <c r="E10" i="2"/>
  <c r="D10" i="2"/>
  <c r="H31" i="1"/>
  <c r="G31" i="1"/>
  <c r="F31" i="1"/>
  <c r="E31" i="1"/>
  <c r="D31" i="1"/>
  <c r="H27" i="1"/>
  <c r="G27" i="1"/>
  <c r="F27" i="1"/>
  <c r="E27" i="1"/>
  <c r="D27" i="1"/>
  <c r="H37" i="1"/>
  <c r="F37" i="1"/>
  <c r="E37" i="1"/>
  <c r="D37" i="1"/>
  <c r="G37" i="1"/>
  <c r="H19" i="1"/>
  <c r="G19" i="1"/>
  <c r="F19" i="1"/>
  <c r="E19" i="1"/>
  <c r="D19" i="1"/>
  <c r="H13" i="1"/>
  <c r="F13" i="1"/>
  <c r="E13" i="1"/>
  <c r="D13" i="1"/>
  <c r="G13" i="1"/>
  <c r="E14" i="10" l="1"/>
  <c r="E10" i="10"/>
  <c r="E11" i="10" s="1"/>
  <c r="F14" i="10"/>
  <c r="F10" i="10"/>
  <c r="F11" i="10" s="1"/>
  <c r="E15" i="10"/>
  <c r="E12" i="10"/>
  <c r="F15" i="10"/>
  <c r="F12" i="10"/>
  <c r="F14" i="8"/>
  <c r="D15" i="8"/>
  <c r="D12" i="8"/>
  <c r="E15" i="8"/>
  <c r="E12" i="8"/>
  <c r="C40" i="9"/>
  <c r="H28" i="9"/>
  <c r="G28" i="9"/>
  <c r="F28" i="9"/>
  <c r="E28" i="9"/>
  <c r="D28" i="9"/>
  <c r="D48" i="8"/>
  <c r="D115" i="8"/>
  <c r="E48" i="8"/>
  <c r="E115" i="8"/>
  <c r="D64" i="8"/>
  <c r="D117" i="8"/>
  <c r="D116" i="8"/>
  <c r="E64" i="8"/>
  <c r="E117" i="8"/>
  <c r="E116" i="8"/>
  <c r="F26" i="7"/>
  <c r="H80" i="6"/>
  <c r="H81" i="6"/>
  <c r="G80" i="6"/>
  <c r="G81" i="6"/>
  <c r="F80" i="6"/>
  <c r="F81" i="6"/>
  <c r="E80" i="6"/>
  <c r="D80" i="6"/>
  <c r="L18" i="7" s="1"/>
  <c r="L21" i="7" s="1"/>
  <c r="F85" i="8" s="1"/>
  <c r="E81" i="6"/>
  <c r="D81" i="6"/>
  <c r="L20" i="7" s="1"/>
  <c r="L23" i="7"/>
  <c r="L25" i="7" s="1"/>
  <c r="F84" i="8"/>
  <c r="M21" i="7"/>
  <c r="G85" i="8" s="1"/>
  <c r="L28" i="7"/>
  <c r="F43" i="8" s="1"/>
  <c r="L27" i="7"/>
  <c r="F37" i="8" s="1"/>
  <c r="F22" i="8" s="1"/>
  <c r="F36" i="8"/>
  <c r="F120" i="8" s="1"/>
  <c r="F39" i="8"/>
  <c r="F121" i="8" s="1"/>
  <c r="F44" i="8"/>
  <c r="L7" i="7"/>
  <c r="G14" i="8"/>
  <c r="F10" i="8"/>
  <c r="F11" i="8" s="1"/>
  <c r="F24" i="7"/>
  <c r="E12" i="5"/>
  <c r="D21" i="2"/>
  <c r="D7" i="4"/>
  <c r="D45" i="6" s="1"/>
  <c r="E9" i="5"/>
  <c r="G21" i="1"/>
  <c r="G59" i="6"/>
  <c r="G26" i="5"/>
  <c r="G18" i="4"/>
  <c r="D21" i="1"/>
  <c r="D59" i="6"/>
  <c r="D18" i="4"/>
  <c r="E21" i="1"/>
  <c r="E59" i="6"/>
  <c r="E26" i="5"/>
  <c r="E18" i="4"/>
  <c r="F21" i="1"/>
  <c r="F59" i="6"/>
  <c r="F26" i="5"/>
  <c r="F18" i="4"/>
  <c r="H21" i="1"/>
  <c r="H59" i="6"/>
  <c r="H26" i="5"/>
  <c r="H18" i="4"/>
  <c r="E32" i="5"/>
  <c r="F32" i="5"/>
  <c r="G32" i="5"/>
  <c r="H32" i="5"/>
  <c r="G50" i="5"/>
  <c r="E50" i="5"/>
  <c r="F50" i="5"/>
  <c r="H50" i="5"/>
  <c r="D33" i="1"/>
  <c r="D39" i="1" s="1"/>
  <c r="D64" i="6"/>
  <c r="D20" i="4"/>
  <c r="E33" i="1"/>
  <c r="E64" i="6"/>
  <c r="E40" i="5"/>
  <c r="E20" i="4"/>
  <c r="F33" i="1"/>
  <c r="F64" i="6"/>
  <c r="F40" i="5"/>
  <c r="F20" i="4"/>
  <c r="G33" i="1"/>
  <c r="G64" i="6"/>
  <c r="G40" i="5"/>
  <c r="G20" i="4"/>
  <c r="H33" i="1"/>
  <c r="H64" i="6"/>
  <c r="H40" i="5"/>
  <c r="H20" i="4"/>
  <c r="E44" i="5"/>
  <c r="F44" i="5"/>
  <c r="G44" i="5"/>
  <c r="H44" i="5"/>
  <c r="F17" i="7"/>
  <c r="D11" i="4"/>
  <c r="D9" i="4"/>
  <c r="D16" i="2"/>
  <c r="D8" i="3" s="1"/>
  <c r="E16" i="2"/>
  <c r="E11" i="4"/>
  <c r="E9" i="4"/>
  <c r="F16" i="2"/>
  <c r="F11" i="4"/>
  <c r="F9" i="4"/>
  <c r="G16" i="2"/>
  <c r="G11" i="4"/>
  <c r="G9" i="4"/>
  <c r="H16" i="2"/>
  <c r="H11" i="4"/>
  <c r="H9" i="4"/>
  <c r="E8" i="3"/>
  <c r="E16" i="3" s="1"/>
  <c r="E23" i="2"/>
  <c r="E22" i="2"/>
  <c r="E50" i="4" s="1"/>
  <c r="E50" i="1"/>
  <c r="D41" i="1"/>
  <c r="F19" i="10" l="1"/>
  <c r="F16" i="10"/>
  <c r="E19" i="10"/>
  <c r="E16" i="10"/>
  <c r="E19" i="8"/>
  <c r="E16" i="8"/>
  <c r="D19" i="8"/>
  <c r="D16" i="8"/>
  <c r="F15" i="8"/>
  <c r="F12" i="8"/>
  <c r="L8" i="7"/>
  <c r="L9" i="7" s="1"/>
  <c r="F86" i="8"/>
  <c r="D15" i="9" s="1"/>
  <c r="F88" i="8"/>
  <c r="F77" i="8"/>
  <c r="M22" i="7"/>
  <c r="G84" i="8" s="1"/>
  <c r="G36" i="8"/>
  <c r="G120" i="8" s="1"/>
  <c r="G39" i="8"/>
  <c r="G121" i="8" s="1"/>
  <c r="G44" i="8"/>
  <c r="G75" i="8"/>
  <c r="F75" i="8"/>
  <c r="M23" i="7"/>
  <c r="G38" i="8"/>
  <c r="F38" i="8"/>
  <c r="G45" i="8"/>
  <c r="F45" i="8"/>
  <c r="H7" i="8"/>
  <c r="G7" i="10" s="1"/>
  <c r="M7" i="7"/>
  <c r="L11" i="7"/>
  <c r="F42" i="8" s="1"/>
  <c r="H10" i="8"/>
  <c r="G10" i="8"/>
  <c r="E110" i="8"/>
  <c r="E111" i="8" s="1"/>
  <c r="D110" i="8"/>
  <c r="D111" i="8" s="1"/>
  <c r="E22" i="4"/>
  <c r="E36" i="3"/>
  <c r="E38" i="3" s="1"/>
  <c r="E40" i="3" s="1"/>
  <c r="D53" i="6"/>
  <c r="E17" i="5"/>
  <c r="D47" i="4"/>
  <c r="D45" i="4"/>
  <c r="H46" i="5"/>
  <c r="H39" i="1"/>
  <c r="G46" i="5"/>
  <c r="G39" i="1"/>
  <c r="F46" i="5"/>
  <c r="F39" i="1"/>
  <c r="E46" i="5"/>
  <c r="E39" i="1"/>
  <c r="D36" i="6"/>
  <c r="D35" i="6"/>
  <c r="D37" i="6" s="1"/>
  <c r="D30" i="6"/>
  <c r="D29" i="6"/>
  <c r="D31" i="6" s="1"/>
  <c r="D26" i="6"/>
  <c r="D25" i="6"/>
  <c r="D24" i="6"/>
  <c r="D27" i="6" s="1"/>
  <c r="D33" i="6" s="1"/>
  <c r="D39" i="6" s="1"/>
  <c r="H41" i="1"/>
  <c r="H18" i="6"/>
  <c r="H17" i="6"/>
  <c r="H16" i="6"/>
  <c r="H15" i="6"/>
  <c r="H19" i="6" s="1"/>
  <c r="H12" i="6"/>
  <c r="H11" i="6"/>
  <c r="H10" i="6"/>
  <c r="H9" i="6"/>
  <c r="H8" i="6"/>
  <c r="H13" i="6" s="1"/>
  <c r="H21" i="6" s="1"/>
  <c r="H34" i="5"/>
  <c r="H48" i="1"/>
  <c r="H52" i="4" s="1"/>
  <c r="F41" i="1"/>
  <c r="F18" i="6"/>
  <c r="F17" i="6"/>
  <c r="F16" i="6"/>
  <c r="F15" i="6"/>
  <c r="F19" i="6" s="1"/>
  <c r="F12" i="6"/>
  <c r="F11" i="6"/>
  <c r="F10" i="6"/>
  <c r="F9" i="6"/>
  <c r="F8" i="6"/>
  <c r="F13" i="6" s="1"/>
  <c r="F21" i="6" s="1"/>
  <c r="F34" i="5"/>
  <c r="G25" i="4"/>
  <c r="F48" i="1"/>
  <c r="F52" i="4" s="1"/>
  <c r="E41" i="1"/>
  <c r="E18" i="6"/>
  <c r="E17" i="6"/>
  <c r="E16" i="6"/>
  <c r="E15" i="6"/>
  <c r="E19" i="6" s="1"/>
  <c r="E12" i="6"/>
  <c r="E11" i="6"/>
  <c r="E10" i="6"/>
  <c r="E9" i="6"/>
  <c r="E8" i="6"/>
  <c r="E13" i="6" s="1"/>
  <c r="E21" i="6" s="1"/>
  <c r="E34" i="5"/>
  <c r="F25" i="4"/>
  <c r="E48" i="1"/>
  <c r="E52" i="4" s="1"/>
  <c r="D48" i="1"/>
  <c r="D52" i="4" s="1"/>
  <c r="D18" i="6"/>
  <c r="D17" i="6"/>
  <c r="D16" i="6"/>
  <c r="D15" i="6"/>
  <c r="D19" i="6" s="1"/>
  <c r="D12" i="6"/>
  <c r="D11" i="6"/>
  <c r="D10" i="6"/>
  <c r="D9" i="6"/>
  <c r="D8" i="6"/>
  <c r="D13" i="6" s="1"/>
  <c r="D21" i="6" s="1"/>
  <c r="E25" i="4"/>
  <c r="D25" i="4"/>
  <c r="G41" i="1"/>
  <c r="G18" i="6"/>
  <c r="G17" i="6"/>
  <c r="G16" i="6"/>
  <c r="G15" i="6"/>
  <c r="G19" i="6" s="1"/>
  <c r="G12" i="6"/>
  <c r="G11" i="6"/>
  <c r="G10" i="6"/>
  <c r="G9" i="6"/>
  <c r="G8" i="6"/>
  <c r="G13" i="6" s="1"/>
  <c r="G21" i="6" s="1"/>
  <c r="G34" i="5"/>
  <c r="H25" i="4"/>
  <c r="G48" i="1"/>
  <c r="G52" i="4" s="1"/>
  <c r="H15" i="4"/>
  <c r="H13" i="4"/>
  <c r="H8" i="3"/>
  <c r="H16" i="3" s="1"/>
  <c r="H23" i="2"/>
  <c r="H22" i="2"/>
  <c r="H50" i="4" s="1"/>
  <c r="H50" i="1"/>
  <c r="G15" i="4"/>
  <c r="G13" i="4"/>
  <c r="G8" i="3"/>
  <c r="G16" i="3" s="1"/>
  <c r="G23" i="2"/>
  <c r="G22" i="2"/>
  <c r="G50" i="4" s="1"/>
  <c r="G50" i="1"/>
  <c r="F15" i="4"/>
  <c r="F13" i="4"/>
  <c r="F8" i="3"/>
  <c r="F16" i="3" s="1"/>
  <c r="F23" i="2"/>
  <c r="F22" i="2"/>
  <c r="F50" i="4" s="1"/>
  <c r="F50" i="1"/>
  <c r="E15" i="4"/>
  <c r="E13" i="4"/>
  <c r="D15" i="4"/>
  <c r="D13" i="4"/>
  <c r="D16" i="3"/>
  <c r="D23" i="2"/>
  <c r="D22" i="2"/>
  <c r="D50" i="4" s="1"/>
  <c r="D50" i="1"/>
  <c r="G14" i="10" l="1"/>
  <c r="G10" i="10"/>
  <c r="G11" i="10" s="1"/>
  <c r="E25" i="10"/>
  <c r="E20" i="10"/>
  <c r="F25" i="10"/>
  <c r="F20" i="10"/>
  <c r="F19" i="8"/>
  <c r="F16" i="8"/>
  <c r="D25" i="8"/>
  <c r="D20" i="8"/>
  <c r="E25" i="8"/>
  <c r="E20" i="8"/>
  <c r="F46" i="8"/>
  <c r="F127" i="8"/>
  <c r="F73" i="8"/>
  <c r="F87" i="8"/>
  <c r="M8" i="7"/>
  <c r="M9" i="7" s="1"/>
  <c r="G86" i="8"/>
  <c r="E15" i="9" s="1"/>
  <c r="G88" i="8"/>
  <c r="G76" i="8"/>
  <c r="F76" i="8"/>
  <c r="G77" i="8"/>
  <c r="N22" i="7"/>
  <c r="H84" i="8" s="1"/>
  <c r="H36" i="8"/>
  <c r="H120" i="8" s="1"/>
  <c r="H39" i="8"/>
  <c r="H121" i="8" s="1"/>
  <c r="H44" i="8"/>
  <c r="H38" i="8"/>
  <c r="H45" i="8"/>
  <c r="M25" i="7"/>
  <c r="H75" i="8"/>
  <c r="F52" i="8"/>
  <c r="F79" i="8" s="1"/>
  <c r="F53" i="8"/>
  <c r="F51" i="8"/>
  <c r="F122" i="8" s="1"/>
  <c r="F56" i="8"/>
  <c r="F24" i="8" s="1"/>
  <c r="F57" i="8"/>
  <c r="G11" i="8"/>
  <c r="G52" i="8"/>
  <c r="G79" i="8" s="1"/>
  <c r="G53" i="8"/>
  <c r="G51" i="8"/>
  <c r="G122" i="8" s="1"/>
  <c r="G56" i="8"/>
  <c r="G24" i="8" s="1"/>
  <c r="G57" i="8"/>
  <c r="H11" i="8"/>
  <c r="H51" i="8"/>
  <c r="M11" i="7"/>
  <c r="G42" i="8" s="1"/>
  <c r="G127" i="8" s="1"/>
  <c r="I7" i="8"/>
  <c r="H7" i="10" s="1"/>
  <c r="N7" i="7"/>
  <c r="H14" i="8"/>
  <c r="G12" i="8"/>
  <c r="G15" i="8"/>
  <c r="H12" i="8"/>
  <c r="H15" i="8"/>
  <c r="F22" i="4"/>
  <c r="F36" i="3"/>
  <c r="F38" i="3" s="1"/>
  <c r="F40" i="3" s="1"/>
  <c r="E36" i="6"/>
  <c r="E35" i="6"/>
  <c r="E37" i="6" s="1"/>
  <c r="E30" i="6"/>
  <c r="E29" i="6"/>
  <c r="E31" i="6" s="1"/>
  <c r="E26" i="6"/>
  <c r="E25" i="6"/>
  <c r="E24" i="6"/>
  <c r="E27" i="6" s="1"/>
  <c r="E33" i="6" s="1"/>
  <c r="E39" i="6" s="1"/>
  <c r="E52" i="5"/>
  <c r="F36" i="6"/>
  <c r="F35" i="6"/>
  <c r="F37" i="6" s="1"/>
  <c r="F30" i="6"/>
  <c r="F29" i="6"/>
  <c r="F31" i="6" s="1"/>
  <c r="F26" i="6"/>
  <c r="F25" i="6"/>
  <c r="F24" i="6"/>
  <c r="F27" i="6" s="1"/>
  <c r="F33" i="6" s="1"/>
  <c r="F39" i="6" s="1"/>
  <c r="F52" i="5"/>
  <c r="G36" i="6"/>
  <c r="G35" i="6"/>
  <c r="G37" i="6" s="1"/>
  <c r="G30" i="6"/>
  <c r="G29" i="6"/>
  <c r="G31" i="6" s="1"/>
  <c r="G26" i="6"/>
  <c r="G25" i="6"/>
  <c r="G24" i="6"/>
  <c r="G27" i="6" s="1"/>
  <c r="G33" i="6" s="1"/>
  <c r="G39" i="6" s="1"/>
  <c r="G52" i="5"/>
  <c r="H36" i="6"/>
  <c r="H35" i="6"/>
  <c r="H37" i="6" s="1"/>
  <c r="H30" i="6"/>
  <c r="H29" i="6"/>
  <c r="H31" i="6" s="1"/>
  <c r="H26" i="6"/>
  <c r="H25" i="6"/>
  <c r="H24" i="6"/>
  <c r="H27" i="6" s="1"/>
  <c r="H33" i="6" s="1"/>
  <c r="H39" i="6" s="1"/>
  <c r="H52" i="5"/>
  <c r="G22" i="4"/>
  <c r="G36" i="3"/>
  <c r="G38" i="3" s="1"/>
  <c r="G40" i="3" s="1"/>
  <c r="H22" i="4"/>
  <c r="H36" i="3"/>
  <c r="H38" i="3" s="1"/>
  <c r="H40" i="3" s="1"/>
  <c r="D22" i="4"/>
  <c r="D36" i="3"/>
  <c r="D38" i="3" s="1"/>
  <c r="D40" i="3" s="1"/>
  <c r="H14" i="10" l="1"/>
  <c r="H10" i="10"/>
  <c r="H11" i="10" s="1"/>
  <c r="G15" i="10"/>
  <c r="G12" i="10"/>
  <c r="F28" i="10"/>
  <c r="F29" i="10" s="1"/>
  <c r="F30" i="10" s="1"/>
  <c r="F26" i="10"/>
  <c r="E28" i="10"/>
  <c r="E29" i="10" s="1"/>
  <c r="E30" i="10" s="1"/>
  <c r="E26" i="10"/>
  <c r="E29" i="8"/>
  <c r="E26" i="8"/>
  <c r="D29" i="8"/>
  <c r="D26" i="8"/>
  <c r="F25" i="8"/>
  <c r="F20" i="8"/>
  <c r="D11" i="9"/>
  <c r="D12" i="9" s="1"/>
  <c r="H78" i="8"/>
  <c r="H122" i="8"/>
  <c r="G80" i="8"/>
  <c r="G123" i="8"/>
  <c r="G124" i="8" s="1"/>
  <c r="F80" i="8"/>
  <c r="F123" i="8"/>
  <c r="F124" i="8" s="1"/>
  <c r="G74" i="8"/>
  <c r="G91" i="8"/>
  <c r="F74" i="8"/>
  <c r="F91" i="8"/>
  <c r="N8" i="7"/>
  <c r="N9" i="7" s="1"/>
  <c r="H86" i="8"/>
  <c r="F15" i="9" s="1"/>
  <c r="H76" i="8"/>
  <c r="H77" i="8"/>
  <c r="O22" i="7"/>
  <c r="I84" i="8" s="1"/>
  <c r="I36" i="8"/>
  <c r="I120" i="8" s="1"/>
  <c r="I39" i="8"/>
  <c r="I121" i="8" s="1"/>
  <c r="I44" i="8"/>
  <c r="I38" i="8"/>
  <c r="I45" i="8"/>
  <c r="G54" i="8"/>
  <c r="G78" i="8"/>
  <c r="F54" i="8"/>
  <c r="F78" i="8"/>
  <c r="M28" i="7"/>
  <c r="G43" i="8" s="1"/>
  <c r="G46" i="8" s="1"/>
  <c r="M27" i="7"/>
  <c r="G37" i="8" s="1"/>
  <c r="N21" i="7"/>
  <c r="I75" i="8"/>
  <c r="H52" i="8"/>
  <c r="H79" i="8" s="1"/>
  <c r="H53" i="8"/>
  <c r="H56" i="8"/>
  <c r="H24" i="8" s="1"/>
  <c r="H57" i="8"/>
  <c r="H54" i="8"/>
  <c r="G58" i="8"/>
  <c r="F58" i="8"/>
  <c r="N11" i="7"/>
  <c r="H42" i="8" s="1"/>
  <c r="H127" i="8" s="1"/>
  <c r="J7" i="8"/>
  <c r="I7" i="10" s="1"/>
  <c r="O7" i="7"/>
  <c r="I14" i="8"/>
  <c r="I10" i="8"/>
  <c r="H19" i="8"/>
  <c r="H16" i="8"/>
  <c r="G19" i="8"/>
  <c r="G16" i="8"/>
  <c r="F110" i="8"/>
  <c r="I14" i="10" l="1"/>
  <c r="I10" i="10"/>
  <c r="I11" i="10" s="1"/>
  <c r="G19" i="10"/>
  <c r="G16" i="10"/>
  <c r="H15" i="10"/>
  <c r="H12" i="10"/>
  <c r="F28" i="8"/>
  <c r="F29" i="8" s="1"/>
  <c r="F26" i="8"/>
  <c r="D30" i="8"/>
  <c r="D112" i="8"/>
  <c r="E30" i="8"/>
  <c r="E112" i="8"/>
  <c r="G110" i="8"/>
  <c r="E11" i="9"/>
  <c r="E12" i="9" s="1"/>
  <c r="H110" i="8"/>
  <c r="F11" i="9"/>
  <c r="F12" i="9" s="1"/>
  <c r="F126" i="8"/>
  <c r="F128" i="8" s="1"/>
  <c r="D14" i="9"/>
  <c r="D16" i="9" s="1"/>
  <c r="D24" i="9" s="1"/>
  <c r="D30" i="9" s="1"/>
  <c r="G126" i="8"/>
  <c r="G128" i="8" s="1"/>
  <c r="E14" i="9"/>
  <c r="H80" i="8"/>
  <c r="H123" i="8"/>
  <c r="H124" i="8" s="1"/>
  <c r="H74" i="8"/>
  <c r="H91" i="8"/>
  <c r="O8" i="7"/>
  <c r="O9" i="7" s="1"/>
  <c r="I86" i="8"/>
  <c r="G15" i="9" s="1"/>
  <c r="N23" i="7"/>
  <c r="N25" i="7" s="1"/>
  <c r="H85" i="8"/>
  <c r="H88" i="8" s="1"/>
  <c r="I76" i="8"/>
  <c r="I77" i="8"/>
  <c r="P22" i="7"/>
  <c r="J84" i="8" s="1"/>
  <c r="J36" i="8"/>
  <c r="J120" i="8" s="1"/>
  <c r="J39" i="8"/>
  <c r="J44" i="8"/>
  <c r="J38" i="8"/>
  <c r="J76" i="8" s="1"/>
  <c r="J45" i="8"/>
  <c r="N28" i="7"/>
  <c r="H43" i="8" s="1"/>
  <c r="H46" i="8" s="1"/>
  <c r="N27" i="7"/>
  <c r="H37" i="8" s="1"/>
  <c r="O21" i="7"/>
  <c r="H22" i="8"/>
  <c r="G22" i="8"/>
  <c r="J75" i="8"/>
  <c r="I11" i="8"/>
  <c r="I52" i="8"/>
  <c r="I79" i="8" s="1"/>
  <c r="I53" i="8"/>
  <c r="I51" i="8"/>
  <c r="I122" i="8" s="1"/>
  <c r="I56" i="8"/>
  <c r="I24" i="8" s="1"/>
  <c r="I57" i="8"/>
  <c r="H58" i="8"/>
  <c r="I12" i="8"/>
  <c r="I15" i="8"/>
  <c r="O11" i="7"/>
  <c r="I42" i="8" s="1"/>
  <c r="I127" i="8" s="1"/>
  <c r="P7" i="7"/>
  <c r="J14" i="8"/>
  <c r="J10" i="8"/>
  <c r="G25" i="8"/>
  <c r="G20" i="8"/>
  <c r="H25" i="8"/>
  <c r="H20" i="8"/>
  <c r="H19" i="10" l="1"/>
  <c r="H16" i="10"/>
  <c r="G25" i="10"/>
  <c r="G20" i="10"/>
  <c r="I15" i="10"/>
  <c r="I12" i="10"/>
  <c r="G28" i="8"/>
  <c r="H28" i="8"/>
  <c r="F30" i="8"/>
  <c r="F92" i="8"/>
  <c r="F99" i="8"/>
  <c r="H126" i="8"/>
  <c r="H128" i="8" s="1"/>
  <c r="F14" i="9"/>
  <c r="F16" i="9"/>
  <c r="F24" i="9" s="1"/>
  <c r="F30" i="9" s="1"/>
  <c r="E16" i="9"/>
  <c r="E24" i="9" s="1"/>
  <c r="E30" i="9" s="1"/>
  <c r="I80" i="8"/>
  <c r="I123" i="8"/>
  <c r="I124" i="8" s="1"/>
  <c r="J77" i="8"/>
  <c r="J121" i="8"/>
  <c r="I74" i="8"/>
  <c r="I91" i="8"/>
  <c r="G73" i="8"/>
  <c r="G87" i="8"/>
  <c r="H73" i="8"/>
  <c r="H87" i="8"/>
  <c r="P8" i="7"/>
  <c r="J86" i="8"/>
  <c r="H15" i="9" s="1"/>
  <c r="O23" i="7"/>
  <c r="O25" i="7" s="1"/>
  <c r="P21" i="7" s="1"/>
  <c r="I85" i="8"/>
  <c r="I88" i="8" s="1"/>
  <c r="I54" i="8"/>
  <c r="I78" i="8"/>
  <c r="O28" i="7"/>
  <c r="I43" i="8" s="1"/>
  <c r="I46" i="8" s="1"/>
  <c r="O27" i="7"/>
  <c r="I37" i="8" s="1"/>
  <c r="I22" i="8"/>
  <c r="J11" i="8"/>
  <c r="J52" i="8"/>
  <c r="J79" i="8" s="1"/>
  <c r="J53" i="8"/>
  <c r="J51" i="8"/>
  <c r="J122" i="8" s="1"/>
  <c r="J56" i="8"/>
  <c r="J24" i="8" s="1"/>
  <c r="J57" i="8"/>
  <c r="I58" i="8"/>
  <c r="J12" i="8"/>
  <c r="J15" i="8"/>
  <c r="P9" i="7"/>
  <c r="P11" i="7"/>
  <c r="I19" i="8"/>
  <c r="I16" i="8"/>
  <c r="H29" i="8"/>
  <c r="H26" i="8"/>
  <c r="G29" i="8"/>
  <c r="G26" i="8"/>
  <c r="I19" i="10" l="1"/>
  <c r="I16" i="10"/>
  <c r="G28" i="10"/>
  <c r="G29" i="10" s="1"/>
  <c r="G30" i="10" s="1"/>
  <c r="G26" i="10"/>
  <c r="H25" i="10"/>
  <c r="H20" i="10"/>
  <c r="F39" i="9"/>
  <c r="F41" i="9" s="1"/>
  <c r="G92" i="8"/>
  <c r="G99" i="8"/>
  <c r="H92" i="8"/>
  <c r="H99" i="8"/>
  <c r="I110" i="8"/>
  <c r="G11" i="9"/>
  <c r="G12" i="9" s="1"/>
  <c r="I126" i="8"/>
  <c r="I128" i="8" s="1"/>
  <c r="G14" i="9"/>
  <c r="J80" i="8"/>
  <c r="J123" i="8"/>
  <c r="J124" i="8" s="1"/>
  <c r="F93" i="8"/>
  <c r="G93" i="8"/>
  <c r="H93" i="8"/>
  <c r="J74" i="8"/>
  <c r="J91" i="8"/>
  <c r="I73" i="8"/>
  <c r="I87" i="8"/>
  <c r="P23" i="7"/>
  <c r="P25" i="7" s="1"/>
  <c r="J85" i="8"/>
  <c r="J88" i="8" s="1"/>
  <c r="J42" i="8"/>
  <c r="J127" i="8" s="1"/>
  <c r="J54" i="8"/>
  <c r="J78" i="8"/>
  <c r="G30" i="8"/>
  <c r="G71" i="8"/>
  <c r="G81" i="8" s="1"/>
  <c r="G95" i="8" s="1"/>
  <c r="H30" i="8"/>
  <c r="H71" i="8"/>
  <c r="H81" i="8" s="1"/>
  <c r="H95" i="8" s="1"/>
  <c r="F71" i="8"/>
  <c r="F81" i="8" s="1"/>
  <c r="F95" i="8" s="1"/>
  <c r="F98" i="8" s="1"/>
  <c r="F35" i="8" s="1"/>
  <c r="J58" i="8"/>
  <c r="I25" i="8"/>
  <c r="I20" i="8"/>
  <c r="J19" i="8"/>
  <c r="J16" i="8"/>
  <c r="H28" i="10" l="1"/>
  <c r="H29" i="10" s="1"/>
  <c r="H30" i="10" s="1"/>
  <c r="H26" i="10"/>
  <c r="I25" i="10"/>
  <c r="I20" i="10"/>
  <c r="I28" i="8"/>
  <c r="J110" i="8"/>
  <c r="H11" i="9"/>
  <c r="H12" i="9" s="1"/>
  <c r="J126" i="8"/>
  <c r="H14" i="9"/>
  <c r="G16" i="9"/>
  <c r="G24" i="9" s="1"/>
  <c r="G30" i="9" s="1"/>
  <c r="J128" i="8"/>
  <c r="F117" i="8"/>
  <c r="F116" i="8"/>
  <c r="G97" i="8"/>
  <c r="G98" i="8" s="1"/>
  <c r="G35" i="8" s="1"/>
  <c r="F40" i="8"/>
  <c r="P28" i="7"/>
  <c r="J43" i="8" s="1"/>
  <c r="J46" i="8" s="1"/>
  <c r="P27" i="7"/>
  <c r="J37" i="8" s="1"/>
  <c r="J20" i="8"/>
  <c r="I29" i="8"/>
  <c r="I26" i="8"/>
  <c r="I28" i="10" l="1"/>
  <c r="I29" i="10" s="1"/>
  <c r="I30" i="10" s="1"/>
  <c r="I26" i="10"/>
  <c r="I92" i="8"/>
  <c r="I99" i="8"/>
  <c r="H16" i="9"/>
  <c r="H24" i="9" s="1"/>
  <c r="F48" i="8"/>
  <c r="F115" i="8"/>
  <c r="G117" i="8"/>
  <c r="G116" i="8"/>
  <c r="I93" i="8"/>
  <c r="H97" i="8"/>
  <c r="H98" i="8" s="1"/>
  <c r="H35" i="8" s="1"/>
  <c r="G40" i="8"/>
  <c r="J22" i="8"/>
  <c r="I30" i="8"/>
  <c r="I71" i="8"/>
  <c r="I81" i="8" s="1"/>
  <c r="I95" i="8" s="1"/>
  <c r="J87" i="8" l="1"/>
  <c r="F61" i="8"/>
  <c r="F62" i="8" s="1"/>
  <c r="C39" i="9"/>
  <c r="C42" i="9" s="1"/>
  <c r="H25" i="9" s="1"/>
  <c r="H31" i="9" s="1"/>
  <c r="C46" i="9" s="1"/>
  <c r="H30" i="9"/>
  <c r="H26" i="9"/>
  <c r="F112" i="8"/>
  <c r="F64" i="8"/>
  <c r="F111" i="8" s="1"/>
  <c r="G48" i="8"/>
  <c r="G61" i="8" s="1"/>
  <c r="G62" i="8" s="1"/>
  <c r="G115" i="8"/>
  <c r="H117" i="8"/>
  <c r="H116" i="8"/>
  <c r="I97" i="8"/>
  <c r="I98" i="8" s="1"/>
  <c r="I35" i="8" s="1"/>
  <c r="H40" i="8"/>
  <c r="J73" i="8"/>
  <c r="J25" i="8"/>
  <c r="C45" i="9" l="1"/>
  <c r="C47" i="9" s="1"/>
  <c r="H32" i="9"/>
  <c r="G112" i="8"/>
  <c r="G64" i="8"/>
  <c r="G111" i="8" s="1"/>
  <c r="H48" i="8"/>
  <c r="H61" i="8" s="1"/>
  <c r="H62" i="8" s="1"/>
  <c r="H115" i="8"/>
  <c r="I117" i="8"/>
  <c r="I116" i="8"/>
  <c r="J97" i="8"/>
  <c r="I40" i="8"/>
  <c r="J28" i="8"/>
  <c r="J29" i="8"/>
  <c r="J26" i="8"/>
  <c r="J92" i="8" l="1"/>
  <c r="J99" i="8"/>
  <c r="H112" i="8"/>
  <c r="H64" i="8"/>
  <c r="H111" i="8" s="1"/>
  <c r="I48" i="8"/>
  <c r="I61" i="8" s="1"/>
  <c r="I62" i="8" s="1"/>
  <c r="I115" i="8"/>
  <c r="J93" i="8"/>
  <c r="J30" i="8"/>
  <c r="J71" i="8"/>
  <c r="J81" i="8" s="1"/>
  <c r="J95" i="8" s="1"/>
  <c r="J98" i="8" s="1"/>
  <c r="J35" i="8" s="1"/>
  <c r="I112" i="8" l="1"/>
  <c r="I64" i="8"/>
  <c r="I111" i="8" s="1"/>
  <c r="J40" i="8"/>
  <c r="J117" i="8"/>
  <c r="J116" i="8"/>
  <c r="J48" i="8" l="1"/>
  <c r="J61" i="8" s="1"/>
  <c r="J62" i="8" s="1"/>
  <c r="J115" i="8"/>
  <c r="J112" i="8" l="1"/>
  <c r="J64" i="8"/>
  <c r="J1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thamizhk000@gmail.com</author>
  </authors>
  <commentList>
    <comment ref="E7" authorId="0" shapeId="0" xr:uid="{1589B3DA-E413-4EA8-B256-F5E895D3B94A}">
      <text>
        <r>
          <rPr>
            <sz val="11"/>
            <color theme="1"/>
            <rFont val="Aptos Narrow"/>
            <family val="2"/>
            <scheme val="minor"/>
          </rPr>
          <t xml:space="preserve">As forcasted from previous years.
</t>
        </r>
      </text>
    </comment>
    <comment ref="E8" authorId="0" shapeId="0" xr:uid="{289C7AB5-6CB3-4098-8472-ECFA7018CDE1}">
      <text>
        <r>
          <rPr>
            <sz val="11"/>
            <color theme="1"/>
            <rFont val="Aptos Narrow"/>
            <family val="2"/>
            <scheme val="minor"/>
          </rPr>
          <t xml:space="preserve">As percentage of revenue 
</t>
        </r>
      </text>
    </comment>
    <comment ref="E9" authorId="0" shapeId="0" xr:uid="{173938BB-B352-4852-B805-8BEB788E69BF}">
      <text>
        <r>
          <rPr>
            <sz val="11"/>
            <color theme="1"/>
            <rFont val="Aptos Narrow"/>
            <family val="2"/>
            <scheme val="minor"/>
          </rPr>
          <t xml:space="preserve">As percentage of revenue </t>
        </r>
      </text>
    </comment>
    <comment ref="E10" authorId="0" shapeId="0" xr:uid="{A18C6D2E-FC84-4C8A-A855-BDE7C9E2E331}">
      <text>
        <r>
          <rPr>
            <sz val="11"/>
            <color theme="1"/>
            <rFont val="Aptos Narrow"/>
            <family val="2"/>
            <scheme val="minor"/>
          </rPr>
          <t>As percentage of other non current 
financial liabilities</t>
        </r>
      </text>
    </comment>
    <comment ref="E11" authorId="0" shapeId="0" xr:uid="{697315C9-F92B-46AE-BA0B-AE58FF023709}">
      <text>
        <r>
          <rPr>
            <sz val="11"/>
            <color theme="1"/>
            <rFont val="Aptos Narrow"/>
            <family val="2"/>
            <scheme val="minor"/>
          </rPr>
          <t xml:space="preserve">Average from previous years
</t>
        </r>
      </text>
    </comment>
    <comment ref="E16" authorId="0" shapeId="0" xr:uid="{E98EB9FA-8192-4987-B07F-518B912A4B2C}">
      <text>
        <r>
          <rPr>
            <sz val="11"/>
            <color theme="1"/>
            <rFont val="Aptos Narrow"/>
            <family val="2"/>
            <scheme val="minor"/>
          </rPr>
          <t>DSO</t>
        </r>
      </text>
    </comment>
    <comment ref="E17" authorId="0" shapeId="0" xr:uid="{4A6829EA-A560-4A15-89E8-9BB22188F33A}">
      <text>
        <r>
          <rPr>
            <sz val="11"/>
            <color theme="1"/>
            <rFont val="Aptos Narrow"/>
            <family val="2"/>
            <scheme val="minor"/>
          </rPr>
          <t xml:space="preserve">As percentage of revenue </t>
        </r>
      </text>
    </comment>
    <comment ref="E18" authorId="0" shapeId="0" xr:uid="{D8D28D90-A375-4E95-B8C4-7BE076B7998A}">
      <text>
        <r>
          <rPr>
            <sz val="11"/>
            <color theme="1"/>
            <rFont val="Aptos Narrow"/>
            <family val="2"/>
            <scheme val="minor"/>
          </rPr>
          <t xml:space="preserve">Converted into days by using revenue </t>
        </r>
      </text>
    </comment>
    <comment ref="E21" authorId="0" shapeId="0" xr:uid="{64121CF6-29C1-48A6-8BCC-F2059F672345}">
      <text>
        <r>
          <rPr>
            <sz val="11"/>
            <color theme="1"/>
            <rFont val="Aptos Narrow"/>
            <family val="2"/>
            <scheme val="minor"/>
          </rPr>
          <t xml:space="preserve">Used depreciation roll forward method </t>
        </r>
      </text>
    </comment>
    <comment ref="E23" authorId="0" shapeId="0" xr:uid="{F79FCD6C-1B4E-4EA4-9A37-C8FE669D0513}">
      <text>
        <r>
          <rPr>
            <sz val="11"/>
            <color theme="1"/>
            <rFont val="Aptos Narrow"/>
            <family val="2"/>
            <scheme val="minor"/>
          </rPr>
          <t>Other non current financial assets percentage of revenue</t>
        </r>
      </text>
    </comment>
    <comment ref="B24" authorId="0" shapeId="0" xr:uid="{0BF45638-5134-4911-A329-7332B51D04C7}">
      <text>
        <r>
          <rPr>
            <sz val="11"/>
            <color theme="1"/>
            <rFont val="Aptos Narrow"/>
            <family val="2"/>
            <scheme val="minor"/>
          </rPr>
          <t>NO DEBT</t>
        </r>
      </text>
    </comment>
    <comment ref="E24" authorId="0" shapeId="0" xr:uid="{0AC95D94-0A9E-481F-ADA4-1271FEEAD88D}">
      <text>
        <r>
          <rPr>
            <sz val="11"/>
            <color theme="1"/>
            <rFont val="Aptos Narrow"/>
            <family val="2"/>
            <scheme val="minor"/>
          </rPr>
          <t>Other non current assets percentage of revenue</t>
        </r>
      </text>
    </comment>
    <comment ref="E26" authorId="0" shapeId="0" xr:uid="{D390AFAC-ED08-41D3-BC9A-58D84CB023B8}">
      <text>
        <r>
          <rPr>
            <sz val="11"/>
            <color theme="1"/>
            <rFont val="Aptos Narrow"/>
            <family val="2"/>
            <scheme val="minor"/>
          </rPr>
          <t>DPO</t>
        </r>
      </text>
    </comment>
    <comment ref="E27" authorId="0" shapeId="0" xr:uid="{543FEE70-6D72-4B2A-A251-035626048BBC}">
      <text>
        <r>
          <rPr>
            <sz val="11"/>
            <color theme="1"/>
            <rFont val="Aptos Narrow"/>
            <family val="2"/>
            <scheme val="minor"/>
          </rPr>
          <t xml:space="preserve">Other financial liabilities to percentage of operating expense </t>
        </r>
      </text>
    </comment>
    <comment ref="E28" authorId="0" shapeId="0" xr:uid="{37DA7737-AF83-436A-9652-8182509E94A2}">
      <text>
        <r>
          <rPr>
            <sz val="11"/>
            <color theme="1"/>
            <rFont val="Aptos Narrow"/>
            <family val="2"/>
            <scheme val="minor"/>
          </rPr>
          <t xml:space="preserve">Converted to days by dividing it with operating expense 
</t>
        </r>
      </text>
    </comment>
    <comment ref="E30" authorId="0" shapeId="0" xr:uid="{EBC13F2C-412D-40CC-94D9-5763361AC704}">
      <text>
        <r>
          <rPr>
            <sz val="11"/>
            <color theme="1"/>
            <rFont val="Aptos Narrow"/>
            <family val="2"/>
            <scheme val="minor"/>
          </rPr>
          <t xml:space="preserve">ONCFL as percentage of opex
</t>
        </r>
      </text>
    </comment>
    <comment ref="E31" authorId="0" shapeId="0" xr:uid="{81F2C45C-B3A6-4EB5-885E-2A58B6ADDEC8}">
      <text>
        <r>
          <rPr>
            <sz val="11"/>
            <color theme="1"/>
            <rFont val="Aptos Narrow"/>
            <family val="2"/>
            <scheme val="minor"/>
          </rPr>
          <t>ONCL as percentage of opex</t>
        </r>
      </text>
    </comment>
  </commentList>
</comments>
</file>

<file path=xl/sharedStrings.xml><?xml version="1.0" encoding="utf-8"?>
<sst xmlns="http://schemas.openxmlformats.org/spreadsheetml/2006/main" count="525" uniqueCount="336">
  <si>
    <t xml:space="preserve">Financial Summary </t>
  </si>
  <si>
    <t>All Amounts in Crores ₹</t>
  </si>
  <si>
    <t xml:space="preserve">Income Statement </t>
  </si>
  <si>
    <t>2025F</t>
  </si>
  <si>
    <t>2026F</t>
  </si>
  <si>
    <t>2027F</t>
  </si>
  <si>
    <t>2028F</t>
  </si>
  <si>
    <t>2029F</t>
  </si>
  <si>
    <t>Enterprise value</t>
  </si>
  <si>
    <t>Revenue</t>
  </si>
  <si>
    <t>Revenue Growth %</t>
  </si>
  <si>
    <t>Direct Cost</t>
  </si>
  <si>
    <t xml:space="preserve">Gross Profit </t>
  </si>
  <si>
    <t>Gross Profit Margin%</t>
  </si>
  <si>
    <t>SG&amp;A</t>
  </si>
  <si>
    <t>EBITDA</t>
  </si>
  <si>
    <t>EBITDA Margin%</t>
  </si>
  <si>
    <t xml:space="preserve">Depreciation </t>
  </si>
  <si>
    <t>EBIT</t>
  </si>
  <si>
    <t>EBIT Margin%</t>
  </si>
  <si>
    <t xml:space="preserve">Other Income </t>
  </si>
  <si>
    <t xml:space="preserve">Extraordinary items </t>
  </si>
  <si>
    <t>-</t>
  </si>
  <si>
    <t xml:space="preserve">Interest Expense </t>
  </si>
  <si>
    <t>EBT</t>
  </si>
  <si>
    <t xml:space="preserve">DCF Valuation Summary </t>
  </si>
  <si>
    <t>EBT Margin%</t>
  </si>
  <si>
    <t>Free Cash Flow</t>
  </si>
  <si>
    <t xml:space="preserve">Tax Expense </t>
  </si>
  <si>
    <t>Net Profit &amp; Loss</t>
  </si>
  <si>
    <t>Net P&amp;L Margin %</t>
  </si>
  <si>
    <t xml:space="preserve">Profitability </t>
  </si>
  <si>
    <t xml:space="preserve">INFOSYS BALANCE SHEET </t>
  </si>
  <si>
    <t>All in Crores ₹</t>
  </si>
  <si>
    <t>Period</t>
  </si>
  <si>
    <t xml:space="preserve">Description </t>
  </si>
  <si>
    <t>ASSETS</t>
  </si>
  <si>
    <t>ASSETS :</t>
  </si>
  <si>
    <t>Cash &amp; Cash Equivalents</t>
  </si>
  <si>
    <t xml:space="preserve">Trades Receivable </t>
  </si>
  <si>
    <t xml:space="preserve">Investment </t>
  </si>
  <si>
    <t xml:space="preserve">Other Financial Assets </t>
  </si>
  <si>
    <t xml:space="preserve">Other Current asset </t>
  </si>
  <si>
    <t xml:space="preserve">Total Current Assets </t>
  </si>
  <si>
    <t xml:space="preserve">Fixed Assets </t>
  </si>
  <si>
    <t xml:space="preserve">Long-Term Investment </t>
  </si>
  <si>
    <t>Other Non-Current Assets</t>
  </si>
  <si>
    <t xml:space="preserve">Total Non-Current Assets </t>
  </si>
  <si>
    <t>TOTAL ASSETS</t>
  </si>
  <si>
    <t xml:space="preserve">LIABILITIES </t>
  </si>
  <si>
    <t>LIABILITIES &amp; EQUITY :</t>
  </si>
  <si>
    <t xml:space="preserve">Accounts Payable </t>
  </si>
  <si>
    <t xml:space="preserve">Other Financial Liabilities </t>
  </si>
  <si>
    <t xml:space="preserve">Other Current Liabilities </t>
  </si>
  <si>
    <t xml:space="preserve">Total Current Liabilities </t>
  </si>
  <si>
    <t xml:space="preserve">Other Financial Liablities </t>
  </si>
  <si>
    <t xml:space="preserve">Other Non-Current Liabilities </t>
  </si>
  <si>
    <t xml:space="preserve">Total Non-Current Liabilities </t>
  </si>
  <si>
    <t>TOTAL LIABILITIES</t>
  </si>
  <si>
    <t>Equity</t>
  </si>
  <si>
    <t xml:space="preserve">Share Capital </t>
  </si>
  <si>
    <t xml:space="preserve">Other Equity </t>
  </si>
  <si>
    <t>TOTAL EQUITY</t>
  </si>
  <si>
    <t>TOTAL LIABILITIES &amp; EQUITY</t>
  </si>
  <si>
    <t>BALANCED OR NOT</t>
  </si>
  <si>
    <t xml:space="preserve">OTHER INFORMATION </t>
  </si>
  <si>
    <t xml:space="preserve">Other Information </t>
  </si>
  <si>
    <t>Common share</t>
  </si>
  <si>
    <t>Diluted common share</t>
  </si>
  <si>
    <t>Market price of the share</t>
  </si>
  <si>
    <t>Par Value of common share</t>
  </si>
  <si>
    <t>Book value of common share</t>
  </si>
  <si>
    <t>Dividend paid per share</t>
  </si>
  <si>
    <t>Dividend payout ratio</t>
  </si>
  <si>
    <t>INFOSYS INCOME STATEMENT</t>
  </si>
  <si>
    <t xml:space="preserve">OP </t>
  </si>
  <si>
    <t>COGS</t>
  </si>
  <si>
    <t xml:space="preserve">Operating Income </t>
  </si>
  <si>
    <t>NON OP</t>
  </si>
  <si>
    <t xml:space="preserve">Non recurring items </t>
  </si>
  <si>
    <t xml:space="preserve">Net Income </t>
  </si>
  <si>
    <t>Other Information</t>
  </si>
  <si>
    <t xml:space="preserve">Depreciation &amp; amortization </t>
  </si>
  <si>
    <t>Gross profit</t>
  </si>
  <si>
    <t>Basic EPS</t>
  </si>
  <si>
    <t>Diluted EPS</t>
  </si>
  <si>
    <t>Tax rate</t>
  </si>
  <si>
    <t xml:space="preserve">INFOSYS CASHFLOW STATEMENT </t>
  </si>
  <si>
    <t xml:space="preserve">OPERATING CASHFLOW </t>
  </si>
  <si>
    <t>Operating Cash Flow :</t>
  </si>
  <si>
    <t>Net non-cash changes</t>
  </si>
  <si>
    <t xml:space="preserve">Income tax expense </t>
  </si>
  <si>
    <t xml:space="preserve">Finance Cost </t>
  </si>
  <si>
    <t xml:space="preserve">Interest &amp; Dividend Income </t>
  </si>
  <si>
    <t xml:space="preserve">Other Adjustment </t>
  </si>
  <si>
    <t xml:space="preserve">Net working capital change </t>
  </si>
  <si>
    <t xml:space="preserve">Income tax paid </t>
  </si>
  <si>
    <t>Net Operating Cash Flow</t>
  </si>
  <si>
    <t>INVESTING CASHFLOW</t>
  </si>
  <si>
    <t>Investment Cash Flow :</t>
  </si>
  <si>
    <t>Capex</t>
  </si>
  <si>
    <t>loan disbursed</t>
  </si>
  <si>
    <t xml:space="preserve">Purchase of investment </t>
  </si>
  <si>
    <t>Proceeds from investments</t>
  </si>
  <si>
    <t>Interest and dividend received</t>
  </si>
  <si>
    <t>other</t>
  </si>
  <si>
    <t>Net Investing Cash Flow</t>
  </si>
  <si>
    <t>FINANCE CASHFLOW</t>
  </si>
  <si>
    <t>Financing Cash Flow :</t>
  </si>
  <si>
    <t>Payment of lease liabilities</t>
  </si>
  <si>
    <t>Net Buyback of shares</t>
  </si>
  <si>
    <t>Dividend payment (including tax)</t>
  </si>
  <si>
    <t xml:space="preserve">Other receipt </t>
  </si>
  <si>
    <t xml:space="preserve">Net Financing Cash Flow </t>
  </si>
  <si>
    <t>Effect of forgien currency change</t>
  </si>
  <si>
    <t>Net Increase/(Decrease)in Cash</t>
  </si>
  <si>
    <t>Cash and Cash equivalents at beginning</t>
  </si>
  <si>
    <t xml:space="preserve">Cash and Cash equivalents at end </t>
  </si>
  <si>
    <t>Cash Flow match</t>
  </si>
  <si>
    <t>INFOSYS RATIO ANALYSIS</t>
  </si>
  <si>
    <t xml:space="preserve">PROFITABILITY RATIO </t>
  </si>
  <si>
    <t>Gross Profit Margin</t>
  </si>
  <si>
    <t>EBIT Margin</t>
  </si>
  <si>
    <t>EBITDA Margin</t>
  </si>
  <si>
    <t xml:space="preserve">Net Profit Margin </t>
  </si>
  <si>
    <t xml:space="preserve">Return On Asset </t>
  </si>
  <si>
    <t xml:space="preserve">LIQUIDITY RATIO </t>
  </si>
  <si>
    <t>Current Ratio</t>
  </si>
  <si>
    <t>Quick Ratio</t>
  </si>
  <si>
    <t>Ops Cash Flow to Net Income</t>
  </si>
  <si>
    <t>EFFICIENCY RATIO</t>
  </si>
  <si>
    <t>Asset turnover</t>
  </si>
  <si>
    <t>Reciveables turnover:</t>
  </si>
  <si>
    <t xml:space="preserve">Average Reciveables </t>
  </si>
  <si>
    <t>Reciveables turnover</t>
  </si>
  <si>
    <t>Reciveables Days</t>
  </si>
  <si>
    <t>Payable Turnover:</t>
  </si>
  <si>
    <t xml:space="preserve">Average payable </t>
  </si>
  <si>
    <t>Payable Turnover</t>
  </si>
  <si>
    <t>Payables Days</t>
  </si>
  <si>
    <t>Operating Expense Ratio</t>
  </si>
  <si>
    <t xml:space="preserve">LEVERAGE RATIO </t>
  </si>
  <si>
    <t>Debt Ratio</t>
  </si>
  <si>
    <t xml:space="preserve">EBITDA To Interest </t>
  </si>
  <si>
    <t xml:space="preserve">EBITDA-Capex To Interest </t>
  </si>
  <si>
    <t xml:space="preserve">Market Ratio </t>
  </si>
  <si>
    <t>P/E Ratio</t>
  </si>
  <si>
    <t>P/B Ratio</t>
  </si>
  <si>
    <t>Dividend Yield</t>
  </si>
  <si>
    <t xml:space="preserve">INFOSYS HORIZONTAL ANALYSIS </t>
  </si>
  <si>
    <t>Growth in Revenue</t>
  </si>
  <si>
    <t>Growth in COGS</t>
  </si>
  <si>
    <t xml:space="preserve">Growth In Gross Profit </t>
  </si>
  <si>
    <t>Growth  in SG&amp;A</t>
  </si>
  <si>
    <t xml:space="preserve">Growth Other Income </t>
  </si>
  <si>
    <t xml:space="preserve">Growth Interest Expense </t>
  </si>
  <si>
    <t xml:space="preserve">Growth in Tax Expense </t>
  </si>
  <si>
    <t xml:space="preserve">Growth in Net Income </t>
  </si>
  <si>
    <t>INFOSYS VERTICAL ANALYSIS</t>
  </si>
  <si>
    <t xml:space="preserve">BALANCE SHEET </t>
  </si>
  <si>
    <t xml:space="preserve">INCOME STATEMENT </t>
  </si>
  <si>
    <t>Gross profit margin</t>
  </si>
  <si>
    <t xml:space="preserve">Depreciation and amortization </t>
  </si>
  <si>
    <t xml:space="preserve">Tax expense </t>
  </si>
  <si>
    <t>Net Income</t>
  </si>
  <si>
    <t xml:space="preserve">CURRENT PERCENTAGE </t>
  </si>
  <si>
    <t>Accounts Receivable to Revenues</t>
  </si>
  <si>
    <t>Other financial Assets to Revenues</t>
  </si>
  <si>
    <t xml:space="preserve">Other current assets to revenue in days </t>
  </si>
  <si>
    <t>Current Assets to Revenues</t>
  </si>
  <si>
    <t>Accounts Payable to COGS</t>
  </si>
  <si>
    <t xml:space="preserve">Other financial liabilities to operating expense </t>
  </si>
  <si>
    <t>Other Current Liabilities to operating expense in days</t>
  </si>
  <si>
    <t>Current Liabilities to COGS</t>
  </si>
  <si>
    <t>OTHERS</t>
  </si>
  <si>
    <t xml:space="preserve">Finance cost to non current financial liabilities </t>
  </si>
  <si>
    <t xml:space="preserve">Capex % of revenue </t>
  </si>
  <si>
    <t xml:space="preserve">Depreciation to fixed asset </t>
  </si>
  <si>
    <t xml:space="preserve">Other income to revenue </t>
  </si>
  <si>
    <t xml:space="preserve">Other non current financial assets to revenue </t>
  </si>
  <si>
    <t xml:space="preserve">Other non current assets to revenue </t>
  </si>
  <si>
    <t>Other non current financial liabilities to opex</t>
  </si>
  <si>
    <t>Other non current liabilities</t>
  </si>
  <si>
    <t xml:space="preserve">Investment  assumption </t>
  </si>
  <si>
    <t xml:space="preserve">Total investment </t>
  </si>
  <si>
    <t>Turnover ratio</t>
  </si>
  <si>
    <t>Investment yield</t>
  </si>
  <si>
    <t xml:space="preserve">Purchase to %of revenue </t>
  </si>
  <si>
    <t>Financial Projections</t>
  </si>
  <si>
    <t>All amounts in Crores ₹</t>
  </si>
  <si>
    <t>ACTUAL</t>
  </si>
  <si>
    <t xml:space="preserve">FORECAST </t>
  </si>
  <si>
    <t>Income Statement</t>
  </si>
  <si>
    <t>Revenue Growth</t>
  </si>
  <si>
    <t>Direct Costs</t>
  </si>
  <si>
    <t>Gross Profit</t>
  </si>
  <si>
    <t>Gross Profit Margin %</t>
  </si>
  <si>
    <t>EBITDA Margin %</t>
  </si>
  <si>
    <t>Depreciation</t>
  </si>
  <si>
    <t>EBIT Margin %</t>
  </si>
  <si>
    <t>Extraordinary Expenses</t>
  </si>
  <si>
    <t>Interest Expense</t>
  </si>
  <si>
    <t>EBT Margin %</t>
  </si>
  <si>
    <t>Income Taxes</t>
  </si>
  <si>
    <t>Net Income/Loss</t>
  </si>
  <si>
    <t>Net Income/Loss Margin %</t>
  </si>
  <si>
    <t>Balance Sheet</t>
  </si>
  <si>
    <t>Cash</t>
  </si>
  <si>
    <t>Receivables</t>
  </si>
  <si>
    <t xml:space="preserve">Other financial assets </t>
  </si>
  <si>
    <t>Other Current Assets</t>
  </si>
  <si>
    <t>Current Assets</t>
  </si>
  <si>
    <t>Fixed Assets</t>
  </si>
  <si>
    <t xml:space="preserve">Long term investment </t>
  </si>
  <si>
    <t xml:space="preserve">Other non current financial assets </t>
  </si>
  <si>
    <t>Other non current asset</t>
  </si>
  <si>
    <t>Non Current Asset</t>
  </si>
  <si>
    <t>Assets</t>
  </si>
  <si>
    <t>Payables</t>
  </si>
  <si>
    <t xml:space="preserve">Other financial liabilities </t>
  </si>
  <si>
    <t>Other Current Liabilities</t>
  </si>
  <si>
    <t>Short-term Liabilities</t>
  </si>
  <si>
    <t xml:space="preserve">Other non current financal liabilities </t>
  </si>
  <si>
    <t xml:space="preserve">Other non current liabilities </t>
  </si>
  <si>
    <t>Long-term Liabilities</t>
  </si>
  <si>
    <t>Share capital</t>
  </si>
  <si>
    <t>Others</t>
  </si>
  <si>
    <t>Shareholder's Equity</t>
  </si>
  <si>
    <t>Liabilities &amp; Shareholder's Equity</t>
  </si>
  <si>
    <t xml:space="preserve">Cash Flow Statement </t>
  </si>
  <si>
    <t>Cash Flow From Operations:</t>
  </si>
  <si>
    <t xml:space="preserve">Net income </t>
  </si>
  <si>
    <t xml:space="preserve">Deprerciation &amp; Amortization </t>
  </si>
  <si>
    <t>Interest expense</t>
  </si>
  <si>
    <t xml:space="preserve">Change in receivable </t>
  </si>
  <si>
    <t xml:space="preserve">Change in other financial assets </t>
  </si>
  <si>
    <t>Change in othe assets</t>
  </si>
  <si>
    <t xml:space="preserve">Change in payable </t>
  </si>
  <si>
    <t xml:space="preserve">Change in other finacial liabilities </t>
  </si>
  <si>
    <t xml:space="preserve">Other financial Liabilities </t>
  </si>
  <si>
    <t xml:space="preserve">Net cash from operations </t>
  </si>
  <si>
    <t>Cash Flow From Investing:</t>
  </si>
  <si>
    <t xml:space="preserve">Sales of investment </t>
  </si>
  <si>
    <t>Other Income</t>
  </si>
  <si>
    <t xml:space="preserve">Net cash from investing </t>
  </si>
  <si>
    <t>Cash Flow From Financing :</t>
  </si>
  <si>
    <t>Interest Exepnse</t>
  </si>
  <si>
    <t xml:space="preserve">Dividend paid </t>
  </si>
  <si>
    <t xml:space="preserve">Net cash from Financing </t>
  </si>
  <si>
    <t>Change in Cash</t>
  </si>
  <si>
    <t>Beginning cash</t>
  </si>
  <si>
    <t>End cash</t>
  </si>
  <si>
    <t xml:space="preserve">Retained Earnings </t>
  </si>
  <si>
    <t>Financial Ratios</t>
  </si>
  <si>
    <t>All amount in a Crores ₹</t>
  </si>
  <si>
    <t xml:space="preserve">Profitability Ratio </t>
  </si>
  <si>
    <t>NOPLAT</t>
  </si>
  <si>
    <t>ROE</t>
  </si>
  <si>
    <t>ROA</t>
  </si>
  <si>
    <t xml:space="preserve">Liquidity Ratio </t>
  </si>
  <si>
    <t xml:space="preserve">Cash Ratio </t>
  </si>
  <si>
    <t xml:space="preserve">Net Working Capital </t>
  </si>
  <si>
    <t>Net working Capital</t>
  </si>
  <si>
    <t xml:space="preserve">Fixed assets </t>
  </si>
  <si>
    <t xml:space="preserve">Capital Employed </t>
  </si>
  <si>
    <t>Assumptions</t>
  </si>
  <si>
    <t>All amount in crores ₹</t>
  </si>
  <si>
    <t>Discount Rate Estimation - Weighted Average Cost of Capital(WACC)</t>
  </si>
  <si>
    <t xml:space="preserve">Income statement                          assumption </t>
  </si>
  <si>
    <t>Base</t>
  </si>
  <si>
    <t>Best</t>
  </si>
  <si>
    <t>Worst</t>
  </si>
  <si>
    <t xml:space="preserve">Depreciation                     roll forward </t>
  </si>
  <si>
    <t>Weight</t>
  </si>
  <si>
    <t xml:space="preserve">Revenue </t>
  </si>
  <si>
    <t>Fixed asset</t>
  </si>
  <si>
    <t>Debt</t>
  </si>
  <si>
    <t>Depereciation</t>
  </si>
  <si>
    <t>Total</t>
  </si>
  <si>
    <t>Income Tax</t>
  </si>
  <si>
    <t xml:space="preserve">Total fixed asset </t>
  </si>
  <si>
    <t>Cost of Equity</t>
  </si>
  <si>
    <t>Capex average % of rev</t>
  </si>
  <si>
    <t>Risk free interest rate</t>
  </si>
  <si>
    <t xml:space="preserve">BALANCE SHEET                                                                            assumption </t>
  </si>
  <si>
    <t>Depreciation % of fixed asset</t>
  </si>
  <si>
    <t>Beta</t>
  </si>
  <si>
    <t>Market Risk Premium</t>
  </si>
  <si>
    <t>Investment     assumptions</t>
  </si>
  <si>
    <t>Equity Risk Premium</t>
  </si>
  <si>
    <t xml:space="preserve">Trades receivable </t>
  </si>
  <si>
    <t xml:space="preserve">Other Fincial asset </t>
  </si>
  <si>
    <t xml:space="preserve">Other current asset </t>
  </si>
  <si>
    <t xml:space="preserve">Investment turnover </t>
  </si>
  <si>
    <t>Cost of Debt</t>
  </si>
  <si>
    <t xml:space="preserve">Dividend payout </t>
  </si>
  <si>
    <t>Purchase %</t>
  </si>
  <si>
    <t>Average yield</t>
  </si>
  <si>
    <t xml:space="preserve">Debt risk premium </t>
  </si>
  <si>
    <t>Sales</t>
  </si>
  <si>
    <t>Pre-tax cost of debt</t>
  </si>
  <si>
    <t>as from ST</t>
  </si>
  <si>
    <t>Purchase</t>
  </si>
  <si>
    <t xml:space="preserve">Net proceeds </t>
  </si>
  <si>
    <t>Cost of Debt (after tax)</t>
  </si>
  <si>
    <t xml:space="preserve">Other non current assets </t>
  </si>
  <si>
    <t>Discount Rate (WACC)</t>
  </si>
  <si>
    <t xml:space="preserve">Trades payable </t>
  </si>
  <si>
    <t xml:space="preserve">S-T Investment </t>
  </si>
  <si>
    <t>Other current liabilities</t>
  </si>
  <si>
    <t xml:space="preserve">L-T Investment </t>
  </si>
  <si>
    <t xml:space="preserve">Other non current financial liabilities </t>
  </si>
  <si>
    <t>Free Cash Flow To Firm</t>
  </si>
  <si>
    <t>FORCAST</t>
  </si>
  <si>
    <t xml:space="preserve">Discount Rate </t>
  </si>
  <si>
    <t>FCFF:</t>
  </si>
  <si>
    <t>Tax Adjustments</t>
  </si>
  <si>
    <t xml:space="preserve">Change In Net Working Capital </t>
  </si>
  <si>
    <t xml:space="preserve">DCF Valuation </t>
  </si>
  <si>
    <t xml:space="preserve">Terminal Value </t>
  </si>
  <si>
    <t>Total Free Cash Flow To Firm</t>
  </si>
  <si>
    <t>Discount Factor</t>
  </si>
  <si>
    <t>PV of FCF</t>
  </si>
  <si>
    <t xml:space="preserve">PV of terminal Value </t>
  </si>
  <si>
    <t>Total PV Free Cash Flow</t>
  </si>
  <si>
    <t>Terminal  Value</t>
  </si>
  <si>
    <t xml:space="preserve">Grodon Growth </t>
  </si>
  <si>
    <t>Free cash Flow year 5</t>
  </si>
  <si>
    <t>Wacc</t>
  </si>
  <si>
    <t xml:space="preserve">Multiple </t>
  </si>
  <si>
    <t>Growth rate</t>
  </si>
  <si>
    <t>EBITDA TV</t>
  </si>
  <si>
    <t>Gordon Growth TV</t>
  </si>
  <si>
    <t>PV of EBITDA TV</t>
  </si>
  <si>
    <t xml:space="preserve">Enterprise Value </t>
  </si>
  <si>
    <t xml:space="preserve">PV of Terminal 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</si>
</sst>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3" formatCode="_ * #,##0.00_ ;_ * \-#,##0.00_ ;_ * &quot;-&quot;??_ ;_ @_ "/>
    <numFmt numFmtId="164" formatCode="&quot;₹&quot;\ #,##0.00"/>
    <numFmt numFmtId="165" formatCode="0.0%"/>
  </numFmts>
  <fonts count="4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Aptos Narrow"/>
      <family val="2"/>
      <scheme val="minor"/>
    </font>
    <font>
      <sz val="10"/>
      <color theme="1"/>
      <name val="Arial"/>
      <charset val="1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0"/>
      <color rgb="FFFFFFFF"/>
      <name val="Calibri"/>
      <charset val="1"/>
    </font>
    <font>
      <sz val="10"/>
      <color theme="1"/>
      <name val="Calibri"/>
      <charset val="1"/>
    </font>
    <font>
      <b/>
      <sz val="10"/>
      <color theme="1"/>
      <name val="Calibri"/>
      <charset val="1"/>
    </font>
    <font>
      <b/>
      <sz val="16"/>
      <color theme="1"/>
      <name val="Calibri"/>
      <charset val="1"/>
    </font>
    <font>
      <i/>
      <sz val="10"/>
      <color theme="1"/>
      <name val="Calibri"/>
      <charset val="1"/>
    </font>
    <font>
      <i/>
      <sz val="10"/>
      <color rgb="FF7F7F7F"/>
      <name val="Calibri"/>
      <charset val="1"/>
    </font>
    <font>
      <sz val="10"/>
      <color rgb="FF268C70"/>
      <name val="Calibri"/>
      <charset val="1"/>
    </font>
    <font>
      <b/>
      <sz val="10"/>
      <color theme="0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Aptos Narrow"/>
      <family val="2"/>
      <scheme val="minor"/>
    </font>
    <font>
      <i/>
      <sz val="10"/>
      <color rgb="FF949494"/>
      <name val="Aptos Narrow"/>
      <family val="2"/>
      <scheme val="minor"/>
    </font>
    <font>
      <i/>
      <sz val="10"/>
      <color rgb="FF949494"/>
      <name val="Arial"/>
      <charset val="1"/>
    </font>
    <font>
      <b/>
      <i/>
      <sz val="10"/>
      <color theme="0"/>
      <name val="Arial"/>
      <charset val="1"/>
    </font>
    <font>
      <b/>
      <i/>
      <sz val="11"/>
      <color theme="0"/>
      <name val="Aptos Narrow"/>
      <family val="2"/>
      <scheme val="minor"/>
    </font>
    <font>
      <b/>
      <sz val="10"/>
      <color theme="0"/>
      <name val="Arial"/>
      <charset val="1"/>
    </font>
    <font>
      <b/>
      <sz val="10"/>
      <color theme="0"/>
      <name val="Calibri"/>
      <charset val="1"/>
    </font>
    <font>
      <b/>
      <sz val="10"/>
      <color theme="1"/>
      <name val="Aptos Narrow"/>
      <family val="2"/>
      <scheme val="minor"/>
    </font>
    <font>
      <b/>
      <sz val="10"/>
      <color theme="1"/>
      <name val="Arial"/>
      <charset val="1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sz val="10"/>
      <color indexed="8"/>
      <name val="Aptos Narrow"/>
      <family val="2"/>
      <scheme val="minor"/>
    </font>
    <font>
      <sz val="10"/>
      <name val="Aptos Narrow"/>
      <family val="2"/>
      <scheme val="minor"/>
    </font>
    <font>
      <b/>
      <sz val="16"/>
      <color indexed="8"/>
      <name val="Aptos Narrow"/>
      <family val="2"/>
      <scheme val="minor"/>
    </font>
    <font>
      <i/>
      <sz val="10"/>
      <color indexed="8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indexed="9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i/>
      <sz val="10"/>
      <color theme="0" tint="-0.499984740745262"/>
      <name val="Aptos Narrow"/>
      <family val="2"/>
      <scheme val="minor"/>
    </font>
    <font>
      <sz val="10"/>
      <color rgb="FF268C7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0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994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A64B"/>
        <bgColor indexed="64"/>
      </patternFill>
    </fill>
    <fill>
      <patternFill patternType="solid">
        <fgColor rgb="FF008A3E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4">
    <xf numFmtId="0" fontId="0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</cellStyleXfs>
  <cellXfs count="33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10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0" fillId="0" borderId="2" xfId="0" applyNumberForma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readingOrder="1"/>
    </xf>
    <xf numFmtId="0" fontId="0" fillId="0" borderId="0" xfId="0" applyAlignment="1">
      <alignment wrapText="1"/>
    </xf>
    <xf numFmtId="43" fontId="0" fillId="0" borderId="0" xfId="0" applyNumberFormat="1"/>
    <xf numFmtId="0" fontId="5" fillId="0" borderId="0" xfId="0" applyFont="1"/>
    <xf numFmtId="9" fontId="0" fillId="0" borderId="0" xfId="0" applyNumberFormat="1"/>
    <xf numFmtId="10" fontId="1" fillId="0" borderId="0" xfId="0" applyNumberFormat="1" applyFont="1"/>
    <xf numFmtId="10" fontId="5" fillId="0" borderId="0" xfId="0" applyNumberFormat="1" applyFont="1"/>
    <xf numFmtId="10" fontId="1" fillId="0" borderId="1" xfId="0" applyNumberFormat="1" applyFont="1" applyBorder="1"/>
    <xf numFmtId="10" fontId="0" fillId="0" borderId="1" xfId="0" applyNumberFormat="1" applyBorder="1"/>
    <xf numFmtId="10" fontId="0" fillId="0" borderId="5" xfId="0" applyNumberFormat="1" applyBorder="1"/>
    <xf numFmtId="0" fontId="0" fillId="0" borderId="5" xfId="0" applyBorder="1"/>
    <xf numFmtId="10" fontId="0" fillId="0" borderId="5" xfId="0" applyNumberFormat="1" applyBorder="1" applyAlignment="1">
      <alignment wrapText="1"/>
    </xf>
    <xf numFmtId="10" fontId="0" fillId="0" borderId="7" xfId="0" applyNumberFormat="1" applyBorder="1"/>
    <xf numFmtId="0" fontId="1" fillId="0" borderId="7" xfId="0" applyFont="1" applyBorder="1"/>
    <xf numFmtId="0" fontId="1" fillId="0" borderId="5" xfId="0" applyFont="1" applyBorder="1"/>
    <xf numFmtId="0" fontId="6" fillId="0" borderId="0" xfId="0" applyFont="1" applyAlignment="1">
      <alignment readingOrder="1"/>
    </xf>
    <xf numFmtId="0" fontId="7" fillId="0" borderId="0" xfId="0" applyFont="1"/>
    <xf numFmtId="0" fontId="8" fillId="0" borderId="0" xfId="0" applyFont="1"/>
    <xf numFmtId="0" fontId="6" fillId="0" borderId="12" xfId="0" applyFont="1" applyBorder="1" applyAlignment="1">
      <alignment wrapText="1" readingOrder="1"/>
    </xf>
    <xf numFmtId="0" fontId="6" fillId="0" borderId="8" xfId="0" applyFont="1" applyBorder="1" applyAlignment="1">
      <alignment wrapText="1" readingOrder="1"/>
    </xf>
    <xf numFmtId="0" fontId="9" fillId="0" borderId="8" xfId="0" applyFont="1" applyBorder="1" applyAlignment="1">
      <alignment wrapText="1" readingOrder="1"/>
    </xf>
    <xf numFmtId="0" fontId="10" fillId="0" borderId="12" xfId="0" applyFont="1" applyBorder="1" applyAlignment="1">
      <alignment wrapText="1" readingOrder="1"/>
    </xf>
    <xf numFmtId="10" fontId="10" fillId="0" borderId="8" xfId="0" applyNumberFormat="1" applyFont="1" applyBorder="1" applyAlignment="1">
      <alignment wrapText="1" readingOrder="1"/>
    </xf>
    <xf numFmtId="10" fontId="10" fillId="0" borderId="8" xfId="0" applyNumberFormat="1" applyFont="1" applyBorder="1" applyAlignment="1">
      <alignment horizontal="right" wrapText="1" readingOrder="1"/>
    </xf>
    <xf numFmtId="0" fontId="11" fillId="0" borderId="10" xfId="0" applyFont="1" applyBorder="1" applyAlignment="1">
      <alignment wrapText="1" readingOrder="1"/>
    </xf>
    <xf numFmtId="10" fontId="11" fillId="0" borderId="11" xfId="0" applyNumberFormat="1" applyFont="1" applyBorder="1" applyAlignment="1">
      <alignment wrapText="1" readingOrder="1"/>
    </xf>
    <xf numFmtId="0" fontId="10" fillId="0" borderId="8" xfId="0" applyFont="1" applyBorder="1" applyAlignment="1">
      <alignment wrapText="1" readingOrder="1"/>
    </xf>
    <xf numFmtId="9" fontId="10" fillId="0" borderId="8" xfId="0" applyNumberFormat="1" applyFont="1" applyBorder="1" applyAlignment="1">
      <alignment wrapText="1" readingOrder="1"/>
    </xf>
    <xf numFmtId="0" fontId="11" fillId="0" borderId="12" xfId="0" applyFont="1" applyBorder="1" applyAlignment="1">
      <alignment wrapText="1" readingOrder="1"/>
    </xf>
    <xf numFmtId="0" fontId="11" fillId="0" borderId="8" xfId="0" applyFont="1" applyBorder="1" applyAlignment="1">
      <alignment wrapText="1" readingOrder="1"/>
    </xf>
    <xf numFmtId="0" fontId="11" fillId="0" borderId="13" xfId="0" applyFont="1" applyBorder="1" applyAlignment="1">
      <alignment wrapText="1" readingOrder="1"/>
    </xf>
    <xf numFmtId="10" fontId="11" fillId="0" borderId="14" xfId="0" applyNumberFormat="1" applyFont="1" applyBorder="1" applyAlignment="1">
      <alignment wrapText="1" readingOrder="1"/>
    </xf>
    <xf numFmtId="0" fontId="6" fillId="0" borderId="15" xfId="0" applyFont="1" applyBorder="1" applyAlignment="1">
      <alignment wrapText="1" readingOrder="1"/>
    </xf>
    <xf numFmtId="0" fontId="6" fillId="0" borderId="9" xfId="0" applyFont="1" applyBorder="1" applyAlignment="1">
      <alignment wrapText="1" readingOrder="1"/>
    </xf>
    <xf numFmtId="0" fontId="9" fillId="3" borderId="10" xfId="0" applyFont="1" applyFill="1" applyBorder="1" applyAlignment="1">
      <alignment wrapText="1" readingOrder="1"/>
    </xf>
    <xf numFmtId="0" fontId="9" fillId="3" borderId="11" xfId="0" applyFont="1" applyFill="1" applyBorder="1" applyAlignment="1">
      <alignment wrapText="1" readingOrder="1"/>
    </xf>
    <xf numFmtId="0" fontId="9" fillId="3" borderId="12" xfId="0" applyFont="1" applyFill="1" applyBorder="1" applyAlignment="1">
      <alignment wrapText="1" readingOrder="1"/>
    </xf>
    <xf numFmtId="0" fontId="0" fillId="0" borderId="12" xfId="0" applyBorder="1"/>
    <xf numFmtId="0" fontId="0" fillId="0" borderId="15" xfId="0" applyBorder="1"/>
    <xf numFmtId="0" fontId="6" fillId="0" borderId="0" xfId="0" applyFont="1" applyAlignment="1">
      <alignment wrapText="1" readingOrder="1"/>
    </xf>
    <xf numFmtId="0" fontId="0" fillId="0" borderId="9" xfId="0" applyBorder="1"/>
    <xf numFmtId="0" fontId="12" fillId="0" borderId="0" xfId="0" applyFont="1" applyAlignment="1">
      <alignment readingOrder="1"/>
    </xf>
    <xf numFmtId="0" fontId="6" fillId="4" borderId="0" xfId="0" applyFont="1" applyFill="1" applyAlignment="1">
      <alignment readingOrder="1"/>
    </xf>
    <xf numFmtId="0" fontId="13" fillId="0" borderId="0" xfId="0" applyFont="1" applyAlignment="1">
      <alignment readingOrder="1"/>
    </xf>
    <xf numFmtId="0" fontId="6" fillId="0" borderId="12" xfId="0" applyFont="1" applyBorder="1" applyAlignment="1">
      <alignment readingOrder="1"/>
    </xf>
    <xf numFmtId="0" fontId="10" fillId="0" borderId="16" xfId="0" applyFont="1" applyBorder="1" applyAlignment="1">
      <alignment readingOrder="1"/>
    </xf>
    <xf numFmtId="0" fontId="6" fillId="0" borderId="16" xfId="0" applyFont="1" applyBorder="1" applyAlignment="1">
      <alignment readingOrder="1"/>
    </xf>
    <xf numFmtId="3" fontId="11" fillId="0" borderId="8" xfId="0" applyNumberFormat="1" applyFont="1" applyBorder="1" applyAlignment="1">
      <alignment readingOrder="1"/>
    </xf>
    <xf numFmtId="10" fontId="14" fillId="0" borderId="8" xfId="0" applyNumberFormat="1" applyFont="1" applyBorder="1" applyAlignment="1">
      <alignment readingOrder="1"/>
    </xf>
    <xf numFmtId="0" fontId="11" fillId="0" borderId="16" xfId="0" applyFont="1" applyBorder="1" applyAlignment="1">
      <alignment readingOrder="1"/>
    </xf>
    <xf numFmtId="0" fontId="6" fillId="0" borderId="15" xfId="0" applyFont="1" applyBorder="1" applyAlignment="1">
      <alignment readingOrder="1"/>
    </xf>
    <xf numFmtId="0" fontId="6" fillId="4" borderId="12" xfId="0" applyFont="1" applyFill="1" applyBorder="1" applyAlignment="1">
      <alignment readingOrder="1"/>
    </xf>
    <xf numFmtId="0" fontId="11" fillId="4" borderId="0" xfId="0" applyFont="1" applyFill="1" applyAlignment="1">
      <alignment readingOrder="1"/>
    </xf>
    <xf numFmtId="0" fontId="14" fillId="0" borderId="0" xfId="0" applyFont="1" applyAlignment="1">
      <alignment readingOrder="1"/>
    </xf>
    <xf numFmtId="0" fontId="11" fillId="0" borderId="0" xfId="0" applyFont="1" applyAlignment="1">
      <alignment readingOrder="1"/>
    </xf>
    <xf numFmtId="3" fontId="11" fillId="0" borderId="0" xfId="0" applyNumberFormat="1" applyFont="1" applyAlignment="1">
      <alignment readingOrder="1"/>
    </xf>
    <xf numFmtId="10" fontId="14" fillId="0" borderId="0" xfId="0" applyNumberFormat="1" applyFont="1" applyAlignment="1">
      <alignment readingOrder="1"/>
    </xf>
    <xf numFmtId="0" fontId="10" fillId="0" borderId="0" xfId="0" applyFont="1" applyAlignment="1">
      <alignment readingOrder="1"/>
    </xf>
    <xf numFmtId="0" fontId="6" fillId="5" borderId="10" xfId="0" applyFont="1" applyFill="1" applyBorder="1" applyAlignment="1">
      <alignment readingOrder="1"/>
    </xf>
    <xf numFmtId="0" fontId="9" fillId="5" borderId="17" xfId="0" applyFont="1" applyFill="1" applyBorder="1" applyAlignment="1">
      <alignment readingOrder="1"/>
    </xf>
    <xf numFmtId="0" fontId="15" fillId="0" borderId="0" xfId="0" quotePrefix="1" applyFont="1" applyAlignment="1">
      <alignment horizontal="center" vertical="center" readingOrder="1"/>
    </xf>
    <xf numFmtId="0" fontId="0" fillId="0" borderId="16" xfId="0" applyBorder="1"/>
    <xf numFmtId="10" fontId="20" fillId="0" borderId="0" xfId="0" applyNumberFormat="1" applyFont="1" applyAlignment="1">
      <alignment readingOrder="1"/>
    </xf>
    <xf numFmtId="2" fontId="15" fillId="0" borderId="0" xfId="0" quotePrefix="1" applyNumberFormat="1" applyFont="1" applyAlignment="1">
      <alignment horizontal="center" vertical="center" readingOrder="1"/>
    </xf>
    <xf numFmtId="2" fontId="18" fillId="0" borderId="0" xfId="0" applyNumberFormat="1" applyFont="1"/>
    <xf numFmtId="2" fontId="18" fillId="0" borderId="8" xfId="0" applyNumberFormat="1" applyFont="1" applyBorder="1"/>
    <xf numFmtId="10" fontId="19" fillId="0" borderId="0" xfId="0" applyNumberFormat="1" applyFont="1"/>
    <xf numFmtId="0" fontId="6" fillId="4" borderId="16" xfId="0" applyFont="1" applyFill="1" applyBorder="1" applyAlignment="1">
      <alignment readingOrder="1"/>
    </xf>
    <xf numFmtId="0" fontId="6" fillId="4" borderId="8" xfId="0" applyFont="1" applyFill="1" applyBorder="1" applyAlignment="1">
      <alignment readingOrder="1"/>
    </xf>
    <xf numFmtId="0" fontId="11" fillId="4" borderId="16" xfId="0" applyFont="1" applyFill="1" applyBorder="1" applyAlignment="1">
      <alignment readingOrder="1"/>
    </xf>
    <xf numFmtId="0" fontId="6" fillId="0" borderId="8" xfId="0" applyFont="1" applyBorder="1" applyAlignment="1">
      <alignment readingOrder="1"/>
    </xf>
    <xf numFmtId="0" fontId="6" fillId="0" borderId="9" xfId="0" applyFont="1" applyBorder="1" applyAlignment="1">
      <alignment readingOrder="1"/>
    </xf>
    <xf numFmtId="0" fontId="9" fillId="5" borderId="11" xfId="0" applyFont="1" applyFill="1" applyBorder="1" applyAlignment="1">
      <alignment readingOrder="1"/>
    </xf>
    <xf numFmtId="10" fontId="20" fillId="0" borderId="8" xfId="0" applyNumberFormat="1" applyFont="1" applyBorder="1" applyAlignment="1">
      <alignment readingOrder="1"/>
    </xf>
    <xf numFmtId="0" fontId="15" fillId="0" borderId="8" xfId="0" quotePrefix="1" applyFont="1" applyBorder="1" applyAlignment="1">
      <alignment horizontal="center" vertical="center" readingOrder="1"/>
    </xf>
    <xf numFmtId="0" fontId="6" fillId="3" borderId="10" xfId="0" applyFont="1" applyFill="1" applyBorder="1" applyAlignment="1">
      <alignment readingOrder="1"/>
    </xf>
    <xf numFmtId="0" fontId="9" fillId="3" borderId="17" xfId="0" applyFont="1" applyFill="1" applyBorder="1" applyAlignment="1">
      <alignment readingOrder="1"/>
    </xf>
    <xf numFmtId="0" fontId="10" fillId="4" borderId="0" xfId="0" applyFont="1" applyFill="1" applyAlignment="1">
      <alignment readingOrder="1"/>
    </xf>
    <xf numFmtId="0" fontId="10" fillId="4" borderId="16" xfId="0" applyFont="1" applyFill="1" applyBorder="1" applyAlignment="1">
      <alignment readingOrder="1"/>
    </xf>
    <xf numFmtId="0" fontId="23" fillId="6" borderId="10" xfId="0" applyFont="1" applyFill="1" applyBorder="1" applyAlignment="1">
      <alignment horizontal="right" readingOrder="1"/>
    </xf>
    <xf numFmtId="0" fontId="24" fillId="6" borderId="17" xfId="0" applyFont="1" applyFill="1" applyBorder="1" applyAlignment="1">
      <alignment horizontal="right" readingOrder="1"/>
    </xf>
    <xf numFmtId="0" fontId="23" fillId="6" borderId="17" xfId="0" applyFont="1" applyFill="1" applyBorder="1" applyAlignment="1">
      <alignment horizontal="right" readingOrder="1"/>
    </xf>
    <xf numFmtId="0" fontId="23" fillId="6" borderId="11" xfId="0" applyFont="1" applyFill="1" applyBorder="1" applyAlignment="1">
      <alignment horizontal="right" readingOrder="1"/>
    </xf>
    <xf numFmtId="0" fontId="16" fillId="6" borderId="0" xfId="0" applyFont="1" applyFill="1" applyAlignment="1">
      <alignment horizontal="right"/>
    </xf>
    <xf numFmtId="0" fontId="16" fillId="6" borderId="8" xfId="0" applyFont="1" applyFill="1" applyBorder="1" applyAlignment="1">
      <alignment horizontal="right"/>
    </xf>
    <xf numFmtId="43" fontId="6" fillId="0" borderId="0" xfId="0" applyNumberFormat="1" applyFont="1" applyAlignment="1">
      <alignment readingOrder="1"/>
    </xf>
    <xf numFmtId="43" fontId="6" fillId="0" borderId="8" xfId="0" applyNumberFormat="1" applyFont="1" applyBorder="1" applyAlignment="1">
      <alignment readingOrder="1"/>
    </xf>
    <xf numFmtId="43" fontId="18" fillId="0" borderId="0" xfId="0" applyNumberFormat="1" applyFont="1"/>
    <xf numFmtId="43" fontId="18" fillId="0" borderId="8" xfId="0" applyNumberFormat="1" applyFont="1" applyBorder="1"/>
    <xf numFmtId="43" fontId="6" fillId="0" borderId="16" xfId="0" applyNumberFormat="1" applyFont="1" applyBorder="1" applyAlignment="1">
      <alignment readingOrder="1"/>
    </xf>
    <xf numFmtId="43" fontId="6" fillId="0" borderId="9" xfId="0" applyNumberFormat="1" applyFont="1" applyBorder="1" applyAlignment="1">
      <alignment readingOrder="1"/>
    </xf>
    <xf numFmtId="43" fontId="18" fillId="0" borderId="16" xfId="0" applyNumberFormat="1" applyFont="1" applyBorder="1"/>
    <xf numFmtId="43" fontId="18" fillId="0" borderId="9" xfId="0" applyNumberFormat="1" applyFont="1" applyBorder="1"/>
    <xf numFmtId="43" fontId="17" fillId="0" borderId="16" xfId="0" applyNumberFormat="1" applyFont="1" applyBorder="1" applyAlignment="1">
      <alignment readingOrder="1"/>
    </xf>
    <xf numFmtId="43" fontId="17" fillId="0" borderId="9" xfId="0" applyNumberFormat="1" applyFont="1" applyBorder="1" applyAlignment="1">
      <alignment readingOrder="1"/>
    </xf>
    <xf numFmtId="43" fontId="11" fillId="0" borderId="0" xfId="0" applyNumberFormat="1" applyFont="1" applyAlignment="1">
      <alignment readingOrder="1"/>
    </xf>
    <xf numFmtId="43" fontId="11" fillId="0" borderId="8" xfId="0" applyNumberFormat="1" applyFont="1" applyBorder="1" applyAlignment="1">
      <alignment readingOrder="1"/>
    </xf>
    <xf numFmtId="43" fontId="11" fillId="0" borderId="16" xfId="0" applyNumberFormat="1" applyFont="1" applyBorder="1" applyAlignment="1">
      <alignment readingOrder="1"/>
    </xf>
    <xf numFmtId="43" fontId="11" fillId="0" borderId="9" xfId="0" applyNumberFormat="1" applyFont="1" applyBorder="1" applyAlignment="1">
      <alignment readingOrder="1"/>
    </xf>
    <xf numFmtId="0" fontId="11" fillId="4" borderId="17" xfId="0" applyFont="1" applyFill="1" applyBorder="1" applyAlignment="1">
      <alignment readingOrder="1"/>
    </xf>
    <xf numFmtId="43" fontId="3" fillId="0" borderId="0" xfId="0" applyNumberFormat="1" applyFont="1" applyAlignment="1">
      <alignment horizontal="right" readingOrder="1"/>
    </xf>
    <xf numFmtId="43" fontId="0" fillId="0" borderId="0" xfId="0" applyNumberFormat="1" applyAlignment="1">
      <alignment horizontal="right"/>
    </xf>
    <xf numFmtId="43" fontId="3" fillId="0" borderId="0" xfId="0" applyNumberFormat="1" applyFont="1" applyAlignment="1">
      <alignment horizontal="right"/>
    </xf>
    <xf numFmtId="43" fontId="1" fillId="0" borderId="1" xfId="0" applyNumberFormat="1" applyFont="1" applyBorder="1" applyAlignment="1">
      <alignment horizontal="right"/>
    </xf>
    <xf numFmtId="43" fontId="1" fillId="0" borderId="0" xfId="0" applyNumberFormat="1" applyFont="1" applyAlignment="1">
      <alignment horizontal="right"/>
    </xf>
    <xf numFmtId="2" fontId="15" fillId="0" borderId="8" xfId="0" quotePrefix="1" applyNumberFormat="1" applyFont="1" applyBorder="1" applyAlignment="1">
      <alignment horizontal="center" vertical="center" readingOrder="1"/>
    </xf>
    <xf numFmtId="43" fontId="6" fillId="0" borderId="0" xfId="0" applyNumberFormat="1" applyFont="1" applyAlignment="1">
      <alignment horizontal="right" readingOrder="1"/>
    </xf>
    <xf numFmtId="0" fontId="6" fillId="4" borderId="12" xfId="0" applyFont="1" applyFill="1" applyBorder="1" applyAlignment="1">
      <alignment horizontal="right" readingOrder="1"/>
    </xf>
    <xf numFmtId="0" fontId="6" fillId="4" borderId="0" xfId="0" applyFont="1" applyFill="1" applyAlignment="1">
      <alignment horizontal="right" readingOrder="1"/>
    </xf>
    <xf numFmtId="0" fontId="6" fillId="4" borderId="8" xfId="0" applyFont="1" applyFill="1" applyBorder="1" applyAlignment="1">
      <alignment horizontal="right" readingOrder="1"/>
    </xf>
    <xf numFmtId="43" fontId="18" fillId="0" borderId="0" xfId="0" applyNumberFormat="1" applyFont="1" applyAlignment="1">
      <alignment horizontal="right"/>
    </xf>
    <xf numFmtId="43" fontId="6" fillId="4" borderId="12" xfId="0" applyNumberFormat="1" applyFont="1" applyFill="1" applyBorder="1" applyAlignment="1">
      <alignment horizontal="right" readingOrder="1"/>
    </xf>
    <xf numFmtId="43" fontId="6" fillId="4" borderId="0" xfId="0" applyNumberFormat="1" applyFont="1" applyFill="1" applyAlignment="1">
      <alignment horizontal="right" readingOrder="1"/>
    </xf>
    <xf numFmtId="43" fontId="6" fillId="4" borderId="8" xfId="0" applyNumberFormat="1" applyFont="1" applyFill="1" applyBorder="1" applyAlignment="1">
      <alignment horizontal="right" readingOrder="1"/>
    </xf>
    <xf numFmtId="43" fontId="25" fillId="0" borderId="17" xfId="0" applyNumberFormat="1" applyFont="1" applyBorder="1" applyAlignment="1">
      <alignment horizontal="right"/>
    </xf>
    <xf numFmtId="43" fontId="25" fillId="0" borderId="10" xfId="0" applyNumberFormat="1" applyFont="1" applyBorder="1" applyAlignment="1">
      <alignment horizontal="right"/>
    </xf>
    <xf numFmtId="43" fontId="25" fillId="0" borderId="11" xfId="0" applyNumberFormat="1" applyFont="1" applyBorder="1" applyAlignment="1">
      <alignment horizontal="right"/>
    </xf>
    <xf numFmtId="43" fontId="18" fillId="0" borderId="16" xfId="0" applyNumberFormat="1" applyFont="1" applyBorder="1" applyAlignment="1">
      <alignment horizontal="right"/>
    </xf>
    <xf numFmtId="43" fontId="25" fillId="0" borderId="0" xfId="0" applyNumberFormat="1" applyFont="1" applyAlignment="1">
      <alignment horizontal="right"/>
    </xf>
    <xf numFmtId="43" fontId="25" fillId="0" borderId="12" xfId="0" applyNumberFormat="1" applyFont="1" applyBorder="1" applyAlignment="1">
      <alignment horizontal="right"/>
    </xf>
    <xf numFmtId="43" fontId="25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right" readingOrder="1"/>
    </xf>
    <xf numFmtId="0" fontId="6" fillId="4" borderId="15" xfId="0" applyFont="1" applyFill="1" applyBorder="1" applyAlignment="1">
      <alignment horizontal="right" readingOrder="1"/>
    </xf>
    <xf numFmtId="0" fontId="6" fillId="0" borderId="16" xfId="0" applyFont="1" applyBorder="1" applyAlignment="1">
      <alignment horizontal="right" readingOrder="1"/>
    </xf>
    <xf numFmtId="3" fontId="11" fillId="0" borderId="16" xfId="0" applyNumberFormat="1" applyFont="1" applyBorder="1" applyAlignment="1">
      <alignment horizontal="right" readingOrder="1"/>
    </xf>
    <xf numFmtId="0" fontId="6" fillId="0" borderId="9" xfId="0" applyFont="1" applyBorder="1" applyAlignment="1">
      <alignment horizontal="right" readingOrder="1"/>
    </xf>
    <xf numFmtId="0" fontId="0" fillId="0" borderId="0" xfId="0" applyAlignment="1">
      <alignment horizontal="right"/>
    </xf>
    <xf numFmtId="0" fontId="9" fillId="3" borderId="17" xfId="0" applyFont="1" applyFill="1" applyBorder="1" applyAlignment="1">
      <alignment horizontal="right" readingOrder="1"/>
    </xf>
    <xf numFmtId="43" fontId="25" fillId="0" borderId="16" xfId="0" applyNumberFormat="1" applyFont="1" applyBorder="1" applyAlignment="1">
      <alignment horizontal="right"/>
    </xf>
    <xf numFmtId="43" fontId="25" fillId="0" borderId="15" xfId="0" applyNumberFormat="1" applyFont="1" applyBorder="1" applyAlignment="1">
      <alignment horizontal="right"/>
    </xf>
    <xf numFmtId="43" fontId="25" fillId="0" borderId="9" xfId="0" applyNumberFormat="1" applyFont="1" applyBorder="1" applyAlignment="1">
      <alignment horizontal="right"/>
    </xf>
    <xf numFmtId="4" fontId="11" fillId="0" borderId="15" xfId="0" applyNumberFormat="1" applyFont="1" applyBorder="1" applyAlignment="1">
      <alignment horizontal="right" readingOrder="1"/>
    </xf>
    <xf numFmtId="4" fontId="11" fillId="0" borderId="20" xfId="0" applyNumberFormat="1" applyFont="1" applyBorder="1" applyAlignment="1">
      <alignment horizontal="right" readingOrder="1"/>
    </xf>
    <xf numFmtId="4" fontId="11" fillId="0" borderId="19" xfId="0" applyNumberFormat="1" applyFont="1" applyBorder="1" applyAlignment="1">
      <alignment horizontal="right" readingOrder="1"/>
    </xf>
    <xf numFmtId="0" fontId="29" fillId="0" borderId="0" xfId="3" applyFont="1" applyAlignment="1">
      <alignment vertical="center"/>
    </xf>
    <xf numFmtId="0" fontId="30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29" fillId="7" borderId="0" xfId="3" applyFont="1" applyFill="1" applyAlignment="1">
      <alignment vertical="center"/>
    </xf>
    <xf numFmtId="0" fontId="32" fillId="7" borderId="0" xfId="3" applyFont="1" applyFill="1" applyAlignment="1">
      <alignment vertical="center"/>
    </xf>
    <xf numFmtId="0" fontId="38" fillId="0" borderId="0" xfId="1" applyNumberFormat="1" applyFont="1" applyFill="1" applyBorder="1" applyAlignment="1">
      <alignment vertical="center"/>
    </xf>
    <xf numFmtId="43" fontId="38" fillId="0" borderId="0" xfId="1" applyFont="1" applyFill="1" applyBorder="1" applyAlignment="1">
      <alignment vertical="center"/>
    </xf>
    <xf numFmtId="0" fontId="30" fillId="7" borderId="0" xfId="3" applyFont="1" applyFill="1" applyAlignment="1">
      <alignment vertical="center"/>
    </xf>
    <xf numFmtId="0" fontId="34" fillId="0" borderId="0" xfId="3" applyFont="1" applyAlignment="1">
      <alignment vertical="center"/>
    </xf>
    <xf numFmtId="3" fontId="29" fillId="0" borderId="0" xfId="3" applyNumberFormat="1" applyFont="1" applyAlignment="1">
      <alignment vertical="center"/>
    </xf>
    <xf numFmtId="0" fontId="34" fillId="7" borderId="16" xfId="3" applyFont="1" applyFill="1" applyBorder="1" applyAlignment="1">
      <alignment vertical="center"/>
    </xf>
    <xf numFmtId="0" fontId="30" fillId="7" borderId="16" xfId="3" applyFont="1" applyFill="1" applyBorder="1" applyAlignment="1">
      <alignment vertical="center"/>
    </xf>
    <xf numFmtId="0" fontId="34" fillId="7" borderId="17" xfId="3" applyFont="1" applyFill="1" applyBorder="1" applyAlignment="1">
      <alignment vertical="center"/>
    </xf>
    <xf numFmtId="43" fontId="34" fillId="0" borderId="17" xfId="3" applyNumberFormat="1" applyFont="1" applyBorder="1" applyAlignment="1">
      <alignment vertical="center"/>
    </xf>
    <xf numFmtId="0" fontId="34" fillId="0" borderId="16" xfId="3" applyFont="1" applyBorder="1" applyAlignment="1">
      <alignment vertical="center"/>
    </xf>
    <xf numFmtId="0" fontId="30" fillId="0" borderId="16" xfId="3" applyFont="1" applyBorder="1" applyAlignment="1">
      <alignment vertical="center"/>
    </xf>
    <xf numFmtId="0" fontId="33" fillId="5" borderId="17" xfId="3" applyFont="1" applyFill="1" applyBorder="1" applyAlignment="1">
      <alignment vertical="center"/>
    </xf>
    <xf numFmtId="0" fontId="16" fillId="6" borderId="17" xfId="0" applyFont="1" applyFill="1" applyBorder="1" applyAlignment="1">
      <alignment horizontal="right"/>
    </xf>
    <xf numFmtId="0" fontId="16" fillId="6" borderId="11" xfId="0" applyFont="1" applyFill="1" applyBorder="1" applyAlignment="1">
      <alignment horizontal="right"/>
    </xf>
    <xf numFmtId="0" fontId="29" fillId="7" borderId="12" xfId="3" applyFont="1" applyFill="1" applyBorder="1" applyAlignment="1">
      <alignment vertical="center"/>
    </xf>
    <xf numFmtId="43" fontId="30" fillId="7" borderId="0" xfId="3" applyNumberFormat="1" applyFont="1" applyFill="1" applyAlignment="1">
      <alignment vertical="center"/>
    </xf>
    <xf numFmtId="43" fontId="30" fillId="7" borderId="8" xfId="3" applyNumberFormat="1" applyFont="1" applyFill="1" applyBorder="1" applyAlignment="1">
      <alignment vertical="center"/>
    </xf>
    <xf numFmtId="0" fontId="29" fillId="0" borderId="12" xfId="3" applyFont="1" applyBorder="1" applyAlignment="1">
      <alignment vertical="center"/>
    </xf>
    <xf numFmtId="10" fontId="30" fillId="0" borderId="0" xfId="3" applyNumberFormat="1" applyFont="1" applyAlignment="1">
      <alignment vertical="center"/>
    </xf>
    <xf numFmtId="10" fontId="30" fillId="0" borderId="8" xfId="3" applyNumberFormat="1" applyFont="1" applyBorder="1" applyAlignment="1">
      <alignment vertical="center"/>
    </xf>
    <xf numFmtId="2" fontId="30" fillId="0" borderId="0" xfId="3" applyNumberFormat="1" applyFont="1" applyAlignment="1">
      <alignment vertical="center"/>
    </xf>
    <xf numFmtId="2" fontId="30" fillId="0" borderId="8" xfId="3" applyNumberFormat="1" applyFont="1" applyBorder="1" applyAlignment="1">
      <alignment vertical="center"/>
    </xf>
    <xf numFmtId="43" fontId="30" fillId="0" borderId="0" xfId="3" applyNumberFormat="1" applyFont="1" applyAlignment="1">
      <alignment vertical="center"/>
    </xf>
    <xf numFmtId="43" fontId="30" fillId="0" borderId="8" xfId="3" applyNumberFormat="1" applyFont="1" applyBorder="1" applyAlignment="1">
      <alignment vertical="center"/>
    </xf>
    <xf numFmtId="43" fontId="30" fillId="0" borderId="11" xfId="3" applyNumberFormat="1" applyFont="1" applyBorder="1" applyAlignment="1">
      <alignment vertical="center"/>
    </xf>
    <xf numFmtId="43" fontId="34" fillId="0" borderId="11" xfId="3" applyNumberFormat="1" applyFont="1" applyBorder="1" applyAlignment="1">
      <alignment vertical="center"/>
    </xf>
    <xf numFmtId="0" fontId="29" fillId="0" borderId="15" xfId="3" applyFont="1" applyBorder="1" applyAlignment="1">
      <alignment vertical="center"/>
    </xf>
    <xf numFmtId="0" fontId="35" fillId="0" borderId="0" xfId="3" applyFont="1" applyAlignment="1">
      <alignment vertical="center"/>
    </xf>
    <xf numFmtId="3" fontId="36" fillId="0" borderId="0" xfId="3" applyNumberFormat="1" applyFont="1" applyAlignment="1">
      <alignment vertical="center"/>
    </xf>
    <xf numFmtId="43" fontId="37" fillId="0" borderId="0" xfId="1" applyFont="1" applyFill="1" applyBorder="1" applyAlignment="1">
      <alignment vertical="center"/>
    </xf>
    <xf numFmtId="165" fontId="39" fillId="0" borderId="0" xfId="2" applyNumberFormat="1" applyFont="1" applyFill="1" applyBorder="1" applyAlignment="1">
      <alignment vertical="center"/>
    </xf>
    <xf numFmtId="0" fontId="40" fillId="0" borderId="0" xfId="0" applyFont="1"/>
    <xf numFmtId="0" fontId="25" fillId="0" borderId="17" xfId="0" applyFont="1" applyBorder="1"/>
    <xf numFmtId="43" fontId="25" fillId="0" borderId="17" xfId="0" applyNumberFormat="1" applyFont="1" applyBorder="1"/>
    <xf numFmtId="0" fontId="0" fillId="0" borderId="10" xfId="0" applyBorder="1"/>
    <xf numFmtId="0" fontId="41" fillId="6" borderId="17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0" fontId="16" fillId="5" borderId="0" xfId="0" applyFont="1" applyFill="1" applyAlignment="1">
      <alignment horizontal="right"/>
    </xf>
    <xf numFmtId="0" fontId="25" fillId="0" borderId="12" xfId="0" applyFont="1" applyBorder="1"/>
    <xf numFmtId="10" fontId="25" fillId="0" borderId="0" xfId="0" applyNumberFormat="1" applyFont="1"/>
    <xf numFmtId="0" fontId="18" fillId="0" borderId="0" xfId="0" applyFont="1"/>
    <xf numFmtId="0" fontId="18" fillId="0" borderId="8" xfId="0" applyFont="1" applyBorder="1"/>
    <xf numFmtId="0" fontId="18" fillId="0" borderId="12" xfId="0" applyFont="1" applyBorder="1"/>
    <xf numFmtId="0" fontId="25" fillId="0" borderId="10" xfId="0" applyFont="1" applyBorder="1"/>
    <xf numFmtId="43" fontId="25" fillId="0" borderId="11" xfId="0" applyNumberFormat="1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9" xfId="0" applyFont="1" applyBorder="1"/>
    <xf numFmtId="0" fontId="16" fillId="5" borderId="17" xfId="0" applyFont="1" applyFill="1" applyBorder="1" applyAlignment="1">
      <alignment horizontal="right"/>
    </xf>
    <xf numFmtId="0" fontId="1" fillId="7" borderId="3" xfId="0" applyFont="1" applyFill="1" applyBorder="1" applyAlignment="1">
      <alignment horizontal="center"/>
    </xf>
    <xf numFmtId="0" fontId="1" fillId="7" borderId="3" xfId="0" applyFont="1" applyFill="1" applyBorder="1"/>
    <xf numFmtId="0" fontId="1" fillId="7" borderId="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43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3" fontId="3" fillId="0" borderId="0" xfId="0" applyNumberFormat="1" applyFont="1" applyAlignment="1">
      <alignment horizontal="right" wrapText="1" readingOrder="1"/>
    </xf>
    <xf numFmtId="43" fontId="4" fillId="0" borderId="0" xfId="0" applyNumberFormat="1" applyFont="1" applyAlignment="1">
      <alignment horizontal="right" readingOrder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2" fillId="7" borderId="0" xfId="0" applyFont="1" applyFill="1"/>
    <xf numFmtId="0" fontId="42" fillId="0" borderId="0" xfId="0" applyFont="1"/>
    <xf numFmtId="43" fontId="26" fillId="0" borderId="17" xfId="0" applyNumberFormat="1" applyFont="1" applyBorder="1" applyAlignment="1">
      <alignment horizontal="right" readingOrder="1"/>
    </xf>
    <xf numFmtId="43" fontId="26" fillId="4" borderId="17" xfId="0" applyNumberFormat="1" applyFont="1" applyFill="1" applyBorder="1" applyAlignment="1">
      <alignment horizontal="right" readingOrder="1"/>
    </xf>
    <xf numFmtId="43" fontId="26" fillId="4" borderId="11" xfId="0" applyNumberFormat="1" applyFont="1" applyFill="1" applyBorder="1" applyAlignment="1">
      <alignment horizontal="right" readingOrder="1"/>
    </xf>
    <xf numFmtId="43" fontId="26" fillId="4" borderId="10" xfId="0" applyNumberFormat="1" applyFont="1" applyFill="1" applyBorder="1" applyAlignment="1">
      <alignment horizontal="right" readingOrder="1"/>
    </xf>
    <xf numFmtId="43" fontId="18" fillId="0" borderId="12" xfId="0" applyNumberFormat="1" applyFont="1" applyBorder="1" applyAlignment="1">
      <alignment horizontal="right"/>
    </xf>
    <xf numFmtId="43" fontId="18" fillId="0" borderId="21" xfId="0" applyNumberFormat="1" applyFont="1" applyBorder="1" applyAlignment="1">
      <alignment horizontal="right"/>
    </xf>
    <xf numFmtId="43" fontId="18" fillId="0" borderId="8" xfId="0" applyNumberFormat="1" applyFon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18" fillId="0" borderId="0" xfId="0" applyFont="1" applyAlignment="1">
      <alignment horizontal="right"/>
    </xf>
    <xf numFmtId="43" fontId="18" fillId="0" borderId="15" xfId="0" applyNumberFormat="1" applyFont="1" applyBorder="1" applyAlignment="1">
      <alignment horizontal="right"/>
    </xf>
    <xf numFmtId="43" fontId="18" fillId="0" borderId="9" xfId="0" applyNumberFormat="1" applyFont="1" applyBorder="1" applyAlignment="1">
      <alignment horizontal="right"/>
    </xf>
    <xf numFmtId="0" fontId="18" fillId="0" borderId="15" xfId="0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8" fillId="0" borderId="8" xfId="0" applyFont="1" applyBorder="1" applyAlignment="1">
      <alignment horizontal="right"/>
    </xf>
    <xf numFmtId="0" fontId="25" fillId="0" borderId="0" xfId="0" applyFont="1"/>
    <xf numFmtId="0" fontId="25" fillId="0" borderId="17" xfId="0" applyFont="1" applyBorder="1" applyAlignment="1">
      <alignment wrapText="1"/>
    </xf>
    <xf numFmtId="0" fontId="18" fillId="0" borderId="17" xfId="0" applyFont="1" applyBorder="1"/>
    <xf numFmtId="43" fontId="25" fillId="0" borderId="0" xfId="0" applyNumberFormat="1" applyFont="1" applyAlignment="1">
      <alignment horizontal="left"/>
    </xf>
    <xf numFmtId="43" fontId="18" fillId="0" borderId="17" xfId="0" applyNumberFormat="1" applyFont="1" applyBorder="1"/>
    <xf numFmtId="43" fontId="18" fillId="0" borderId="11" xfId="0" applyNumberFormat="1" applyFont="1" applyBorder="1"/>
    <xf numFmtId="43" fontId="25" fillId="0" borderId="0" xfId="0" applyNumberFormat="1" applyFont="1"/>
    <xf numFmtId="43" fontId="25" fillId="0" borderId="8" xfId="0" applyNumberFormat="1" applyFont="1" applyBorder="1"/>
    <xf numFmtId="0" fontId="25" fillId="0" borderId="16" xfId="0" applyFont="1" applyBorder="1"/>
    <xf numFmtId="0" fontId="25" fillId="0" borderId="9" xfId="0" applyFont="1" applyBorder="1"/>
    <xf numFmtId="0" fontId="30" fillId="7" borderId="8" xfId="3" applyFont="1" applyFill="1" applyBorder="1" applyAlignment="1">
      <alignment vertical="center"/>
    </xf>
    <xf numFmtId="0" fontId="34" fillId="7" borderId="9" xfId="3" applyFont="1" applyFill="1" applyBorder="1" applyAlignment="1">
      <alignment vertical="center"/>
    </xf>
    <xf numFmtId="0" fontId="30" fillId="0" borderId="8" xfId="3" applyFont="1" applyBorder="1" applyAlignment="1">
      <alignment vertical="center"/>
    </xf>
    <xf numFmtId="0" fontId="30" fillId="0" borderId="9" xfId="3" applyFont="1" applyBorder="1" applyAlignment="1">
      <alignment vertical="center"/>
    </xf>
    <xf numFmtId="0" fontId="9" fillId="3" borderId="11" xfId="0" applyFont="1" applyFill="1" applyBorder="1" applyAlignment="1">
      <alignment horizontal="right" readingOrder="1"/>
    </xf>
    <xf numFmtId="0" fontId="18" fillId="0" borderId="11" xfId="0" applyFont="1" applyBorder="1"/>
    <xf numFmtId="0" fontId="25" fillId="0" borderId="11" xfId="0" applyFont="1" applyBorder="1"/>
    <xf numFmtId="0" fontId="25" fillId="0" borderId="8" xfId="0" applyFont="1" applyBorder="1"/>
    <xf numFmtId="0" fontId="16" fillId="3" borderId="10" xfId="0" applyFont="1" applyFill="1" applyBorder="1" applyAlignment="1">
      <alignment wrapText="1"/>
    </xf>
    <xf numFmtId="0" fontId="16" fillId="3" borderId="17" xfId="0" applyFont="1" applyFill="1" applyBorder="1"/>
    <xf numFmtId="0" fontId="16" fillId="3" borderId="11" xfId="0" applyFont="1" applyFill="1" applyBorder="1"/>
    <xf numFmtId="0" fontId="18" fillId="0" borderId="12" xfId="0" applyFont="1" applyBorder="1" applyAlignment="1">
      <alignment wrapText="1"/>
    </xf>
    <xf numFmtId="0" fontId="18" fillId="0" borderId="18" xfId="0" applyFont="1" applyBorder="1"/>
    <xf numFmtId="10" fontId="18" fillId="0" borderId="20" xfId="0" applyNumberFormat="1" applyFont="1" applyBorder="1" applyAlignment="1">
      <alignment wrapText="1"/>
    </xf>
    <xf numFmtId="10" fontId="18" fillId="0" borderId="20" xfId="0" applyNumberFormat="1" applyFont="1" applyBorder="1"/>
    <xf numFmtId="10" fontId="18" fillId="0" borderId="19" xfId="0" applyNumberFormat="1" applyFont="1" applyBorder="1"/>
    <xf numFmtId="10" fontId="18" fillId="0" borderId="16" xfId="0" applyNumberFormat="1" applyFont="1" applyBorder="1"/>
    <xf numFmtId="10" fontId="18" fillId="0" borderId="9" xfId="0" applyNumberFormat="1" applyFont="1" applyBorder="1"/>
    <xf numFmtId="0" fontId="18" fillId="0" borderId="12" xfId="0" applyFont="1" applyBorder="1" applyAlignment="1">
      <alignment horizontal="left" wrapText="1"/>
    </xf>
    <xf numFmtId="10" fontId="18" fillId="0" borderId="0" xfId="0" applyNumberFormat="1" applyFont="1"/>
    <xf numFmtId="43" fontId="18" fillId="0" borderId="20" xfId="0" applyNumberFormat="1" applyFont="1" applyBorder="1"/>
    <xf numFmtId="43" fontId="18" fillId="0" borderId="19" xfId="0" applyNumberFormat="1" applyFont="1" applyBorder="1"/>
    <xf numFmtId="0" fontId="43" fillId="3" borderId="11" xfId="0" applyFont="1" applyFill="1" applyBorder="1"/>
    <xf numFmtId="10" fontId="18" fillId="0" borderId="8" xfId="0" applyNumberFormat="1" applyFont="1" applyBorder="1"/>
    <xf numFmtId="9" fontId="18" fillId="0" borderId="9" xfId="0" applyNumberFormat="1" applyFont="1" applyBorder="1"/>
    <xf numFmtId="0" fontId="16" fillId="3" borderId="11" xfId="0" applyFont="1" applyFill="1" applyBorder="1" applyAlignment="1">
      <alignment wrapText="1"/>
    </xf>
    <xf numFmtId="0" fontId="16" fillId="3" borderId="8" xfId="0" applyFont="1" applyFill="1" applyBorder="1" applyAlignment="1">
      <alignment wrapText="1"/>
    </xf>
    <xf numFmtId="0" fontId="16" fillId="5" borderId="10" xfId="0" applyFont="1" applyFill="1" applyBorder="1"/>
    <xf numFmtId="9" fontId="18" fillId="0" borderId="0" xfId="0" applyNumberFormat="1" applyFont="1"/>
    <xf numFmtId="0" fontId="16" fillId="0" borderId="0" xfId="0" applyFont="1" applyAlignment="1">
      <alignment wrapText="1"/>
    </xf>
    <xf numFmtId="0" fontId="41" fillId="3" borderId="0" xfId="0" applyFont="1" applyFill="1" applyAlignment="1">
      <alignment horizontal="center" vertical="center"/>
    </xf>
    <xf numFmtId="0" fontId="11" fillId="4" borderId="8" xfId="0" applyFont="1" applyFill="1" applyBorder="1" applyAlignment="1">
      <alignment readingOrder="1"/>
    </xf>
    <xf numFmtId="0" fontId="14" fillId="0" borderId="8" xfId="0" applyFont="1" applyBorder="1" applyAlignment="1">
      <alignment readingOrder="1"/>
    </xf>
    <xf numFmtId="0" fontId="10" fillId="0" borderId="9" xfId="0" applyFont="1" applyBorder="1" applyAlignment="1">
      <alignment readingOrder="1"/>
    </xf>
    <xf numFmtId="0" fontId="11" fillId="0" borderId="8" xfId="0" applyFont="1" applyBorder="1" applyAlignment="1">
      <alignment readingOrder="1"/>
    </xf>
    <xf numFmtId="0" fontId="10" fillId="0" borderId="8" xfId="0" applyFont="1" applyBorder="1" applyAlignment="1">
      <alignment readingOrder="1"/>
    </xf>
    <xf numFmtId="0" fontId="11" fillId="0" borderId="9" xfId="0" applyFont="1" applyBorder="1" applyAlignment="1">
      <alignment readingOrder="1"/>
    </xf>
    <xf numFmtId="10" fontId="19" fillId="0" borderId="8" xfId="0" applyNumberFormat="1" applyFont="1" applyBorder="1"/>
    <xf numFmtId="0" fontId="0" fillId="0" borderId="8" xfId="0" applyBorder="1"/>
    <xf numFmtId="0" fontId="42" fillId="0" borderId="0" xfId="0" applyFont="1" applyAlignment="1">
      <alignment wrapText="1"/>
    </xf>
    <xf numFmtId="0" fontId="16" fillId="3" borderId="12" xfId="0" applyFont="1" applyFill="1" applyBorder="1"/>
    <xf numFmtId="0" fontId="16" fillId="3" borderId="0" xfId="0" applyFont="1" applyFill="1"/>
    <xf numFmtId="8" fontId="25" fillId="0" borderId="22" xfId="0" applyNumberFormat="1" applyFont="1" applyBorder="1"/>
    <xf numFmtId="0" fontId="18" fillId="0" borderId="22" xfId="0" applyFont="1" applyBorder="1"/>
    <xf numFmtId="0" fontId="25" fillId="0" borderId="23" xfId="0" applyFont="1" applyBorder="1"/>
    <xf numFmtId="0" fontId="18" fillId="0" borderId="23" xfId="0" applyFont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22" xfId="0" applyBorder="1"/>
    <xf numFmtId="0" fontId="0" fillId="0" borderId="29" xfId="0" applyBorder="1"/>
    <xf numFmtId="43" fontId="25" fillId="0" borderId="23" xfId="0" applyNumberFormat="1" applyFont="1" applyBorder="1"/>
    <xf numFmtId="0" fontId="1" fillId="0" borderId="0" xfId="0" applyFont="1" applyAlignment="1">
      <alignment horizontal="center" vertical="center"/>
    </xf>
    <xf numFmtId="0" fontId="16" fillId="5" borderId="10" xfId="3" applyFont="1" applyFill="1" applyBorder="1" applyAlignment="1">
      <alignment horizontal="center" vertical="center"/>
    </xf>
    <xf numFmtId="0" fontId="16" fillId="5" borderId="17" xfId="3" applyFont="1" applyFill="1" applyBorder="1" applyAlignment="1">
      <alignment horizontal="right" vertical="center"/>
    </xf>
    <xf numFmtId="0" fontId="16" fillId="5" borderId="11" xfId="3" applyFont="1" applyFill="1" applyBorder="1" applyAlignment="1">
      <alignment horizontal="right" vertical="center"/>
    </xf>
    <xf numFmtId="0" fontId="16" fillId="6" borderId="17" xfId="3" applyFont="1" applyFill="1" applyBorder="1" applyAlignment="1">
      <alignment horizontal="right" vertical="center"/>
    </xf>
    <xf numFmtId="0" fontId="18" fillId="0" borderId="0" xfId="3" applyFont="1" applyAlignment="1">
      <alignment vertical="center"/>
    </xf>
    <xf numFmtId="0" fontId="25" fillId="7" borderId="16" xfId="3" applyFont="1" applyFill="1" applyBorder="1" applyAlignment="1">
      <alignment vertical="center"/>
    </xf>
    <xf numFmtId="0" fontId="18" fillId="0" borderId="16" xfId="3" applyFont="1" applyBorder="1" applyAlignment="1">
      <alignment vertical="center"/>
    </xf>
    <xf numFmtId="0" fontId="22" fillId="0" borderId="16" xfId="0" applyFont="1" applyBorder="1" applyAlignment="1">
      <alignment horizontal="center"/>
    </xf>
    <xf numFmtId="0" fontId="23" fillId="5" borderId="10" xfId="0" applyFont="1" applyFill="1" applyBorder="1" applyAlignment="1">
      <alignment horizontal="left" readingOrder="1"/>
    </xf>
    <xf numFmtId="0" fontId="23" fillId="5" borderId="17" xfId="0" applyFont="1" applyFill="1" applyBorder="1" applyAlignment="1">
      <alignment horizontal="left" readingOrder="1"/>
    </xf>
    <xf numFmtId="0" fontId="23" fillId="5" borderId="11" xfId="0" applyFont="1" applyFill="1" applyBorder="1" applyAlignment="1">
      <alignment horizontal="left" readingOrder="1"/>
    </xf>
    <xf numFmtId="0" fontId="16" fillId="6" borderId="10" xfId="0" applyFont="1" applyFill="1" applyBorder="1" applyAlignment="1">
      <alignment horizontal="left"/>
    </xf>
    <xf numFmtId="0" fontId="16" fillId="6" borderId="17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44" fillId="6" borderId="24" xfId="0" applyFont="1" applyFill="1" applyBorder="1" applyAlignment="1">
      <alignment horizontal="left"/>
    </xf>
    <xf numFmtId="0" fontId="44" fillId="6" borderId="23" xfId="0" applyFont="1" applyFill="1" applyBorder="1" applyAlignment="1">
      <alignment horizontal="left"/>
    </xf>
    <xf numFmtId="0" fontId="44" fillId="6" borderId="25" xfId="0" applyFont="1" applyFill="1" applyBorder="1" applyAlignment="1">
      <alignment horizontal="left"/>
    </xf>
    <xf numFmtId="0" fontId="44" fillId="6" borderId="24" xfId="0" applyFont="1" applyFill="1" applyBorder="1" applyAlignment="1">
      <alignment horizontal="left" vertical="top"/>
    </xf>
    <xf numFmtId="0" fontId="44" fillId="6" borderId="23" xfId="0" applyFont="1" applyFill="1" applyBorder="1" applyAlignment="1">
      <alignment horizontal="left" vertical="top"/>
    </xf>
    <xf numFmtId="0" fontId="44" fillId="6" borderId="25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 vertical="center" textRotation="90" wrapText="1"/>
    </xf>
    <xf numFmtId="0" fontId="5" fillId="2" borderId="0" xfId="0" applyFont="1" applyFill="1" applyAlignment="1">
      <alignment horizontal="center" vertical="center" textRotation="90"/>
    </xf>
    <xf numFmtId="0" fontId="21" fillId="6" borderId="18" xfId="0" applyFont="1" applyFill="1" applyBorder="1" applyAlignment="1">
      <alignment horizontal="center" readingOrder="1"/>
    </xf>
    <xf numFmtId="0" fontId="21" fillId="6" borderId="19" xfId="0" applyFont="1" applyFill="1" applyBorder="1" applyAlignment="1">
      <alignment horizontal="center" readingOrder="1"/>
    </xf>
    <xf numFmtId="0" fontId="22" fillId="3" borderId="10" xfId="0" applyFont="1" applyFill="1" applyBorder="1" applyAlignment="1">
      <alignment horizontal="center"/>
    </xf>
    <xf numFmtId="0" fontId="22" fillId="3" borderId="17" xfId="0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11" xfId="0" applyFont="1" applyFill="1" applyBorder="1" applyAlignment="1">
      <alignment horizontal="right"/>
    </xf>
    <xf numFmtId="0" fontId="16" fillId="3" borderId="8" xfId="0" applyFont="1" applyFill="1" applyBorder="1" applyAlignment="1">
      <alignment horizontal="right"/>
    </xf>
    <xf numFmtId="0" fontId="16" fillId="3" borderId="17" xfId="0" applyFont="1" applyFill="1" applyBorder="1" applyAlignment="1">
      <alignment horizontal="right"/>
    </xf>
    <xf numFmtId="0" fontId="16" fillId="3" borderId="0" xfId="0" applyFont="1" applyFill="1" applyAlignment="1">
      <alignment horizontal="right"/>
    </xf>
    <xf numFmtId="0" fontId="16" fillId="3" borderId="10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/>
    </xf>
    <xf numFmtId="0" fontId="41" fillId="5" borderId="17" xfId="0" applyFont="1" applyFill="1" applyBorder="1" applyAlignment="1">
      <alignment horizontal="center" vertical="center"/>
    </xf>
    <xf numFmtId="0" fontId="41" fillId="5" borderId="1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 xr:uid="{6D3EDE45-8E75-4B70-81A0-CDF657D505BA}"/>
    <cellStyle name="Percent" xfId="2" builtinId="5"/>
  </cellStyles>
  <dxfs count="0"/>
  <tableStyles count="0" defaultTableStyle="TableStyleMedium2" defaultPivotStyle="PivotStyleMedium9"/>
  <colors>
    <mruColors>
      <color rgb="FF008A3E"/>
      <color rgb="FF009945"/>
      <color rgb="FF949494"/>
      <color rgb="FF00A64B"/>
      <color rgb="FFABABAB"/>
      <color rgb="FFCF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'EXECUTIVE SUMMARY '!$E$5:$I$5</c:f>
              <c:strCache>
                <c:ptCount val="5"/>
                <c:pt idx="0">
                  <c:v>2025F</c:v>
                </c:pt>
                <c:pt idx="1">
                  <c:v>2026F</c:v>
                </c:pt>
                <c:pt idx="2">
                  <c:v>2027F</c:v>
                </c:pt>
                <c:pt idx="3">
                  <c:v>2028F</c:v>
                </c:pt>
                <c:pt idx="4">
                  <c:v>2029F</c:v>
                </c:pt>
              </c:strCache>
            </c:strRef>
          </c:cat>
          <c:val>
            <c:numRef>
              <c:f>'EXECUTIVE SUMMARY '!$E$7:$I$7</c:f>
              <c:numCache>
                <c:formatCode>_(* #,##0.00_);_(* \(#,##0.00\);_(* "-"??_);_(@_)</c:formatCode>
                <c:ptCount val="5"/>
                <c:pt idx="0">
                  <c:v>144675.71930000003</c:v>
                </c:pt>
                <c:pt idx="1">
                  <c:v>162340.62462653004</c:v>
                </c:pt>
                <c:pt idx="2">
                  <c:v>182162.41489342938</c:v>
                </c:pt>
                <c:pt idx="3">
                  <c:v>204404.44575191711</c:v>
                </c:pt>
                <c:pt idx="4">
                  <c:v>229362.2285782262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2-4B69-989F-8AD6FD21CDAF}"/>
            </c:ext>
          </c:extLst>
        </c:ser>
        <c:ser>
          <c:idx val="1"/>
          <c:order val="1"/>
          <c:tx>
            <c:v>EBITDA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'EXECUTIVE SUMMARY '!$E$5:$I$5</c:f>
              <c:strCache>
                <c:ptCount val="5"/>
                <c:pt idx="0">
                  <c:v>2025F</c:v>
                </c:pt>
                <c:pt idx="1">
                  <c:v>2026F</c:v>
                </c:pt>
                <c:pt idx="2">
                  <c:v>2027F</c:v>
                </c:pt>
                <c:pt idx="3">
                  <c:v>2028F</c:v>
                </c:pt>
                <c:pt idx="4">
                  <c:v>2029F</c:v>
                </c:pt>
              </c:strCache>
            </c:strRef>
          </c:cat>
          <c:val>
            <c:numRef>
              <c:f>'EXECUTIVE SUMMARY '!$E$15:$I$15</c:f>
              <c:numCache>
                <c:formatCode>_(* #,##0.00_);_(* \(#,##0.00\);_(* "-"??_);_(@_)</c:formatCode>
                <c:ptCount val="5"/>
                <c:pt idx="0">
                  <c:v>37615.687017999997</c:v>
                </c:pt>
                <c:pt idx="1">
                  <c:v>42208.562402897805</c:v>
                </c:pt>
                <c:pt idx="2">
                  <c:v>47362.227872291631</c:v>
                </c:pt>
                <c:pt idx="3">
                  <c:v>53145.155895498465</c:v>
                </c:pt>
                <c:pt idx="4">
                  <c:v>59634.179430338816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B-4537-870D-2098C5C84A87}"/>
            </c:ext>
          </c:extLst>
        </c:ser>
        <c:ser>
          <c:idx val="2"/>
          <c:order val="2"/>
          <c:tx>
            <c:v>Net P&amp;L</c:v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'EXECUTIVE SUMMARY '!$E$5:$I$5</c:f>
              <c:strCache>
                <c:ptCount val="5"/>
                <c:pt idx="0">
                  <c:v>2025F</c:v>
                </c:pt>
                <c:pt idx="1">
                  <c:v>2026F</c:v>
                </c:pt>
                <c:pt idx="2">
                  <c:v>2027F</c:v>
                </c:pt>
                <c:pt idx="3">
                  <c:v>2028F</c:v>
                </c:pt>
                <c:pt idx="4">
                  <c:v>2029F</c:v>
                </c:pt>
              </c:strCache>
            </c:strRef>
          </c:cat>
          <c:val>
            <c:numRef>
              <c:f>'EXECUTIVE SUMMARY '!$E$29:$I$29</c:f>
              <c:numCache>
                <c:formatCode>_(* #,##0.00_);_(* \(#,##0.00\);_(* "-"??_);_(@_)</c:formatCode>
                <c:ptCount val="5"/>
                <c:pt idx="0">
                  <c:v>31289.439091259312</c:v>
                </c:pt>
                <c:pt idx="1">
                  <c:v>35061.751594665213</c:v>
                </c:pt>
                <c:pt idx="2">
                  <c:v>38994.078517178968</c:v>
                </c:pt>
                <c:pt idx="3">
                  <c:v>43737.035888144914</c:v>
                </c:pt>
                <c:pt idx="4">
                  <c:v>48735.16564902947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D-43DC-ACED-1C906311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220040"/>
        <c:axId val="2058223112"/>
      </c:barChart>
      <c:catAx>
        <c:axId val="205822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23112"/>
        <c:crosses val="autoZero"/>
        <c:auto val="1"/>
        <c:lblAlgn val="ctr"/>
        <c:lblOffset val="100"/>
        <c:noMultiLvlLbl val="0"/>
      </c:catAx>
      <c:valAx>
        <c:axId val="2058223112"/>
        <c:scaling>
          <c:orientation val="minMax"/>
          <c:max val="300000"/>
          <c:min val="200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2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FCF</c:v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'EXECUTIVE SUMMARY '!$E$5:$I$5</c:f>
              <c:strCache>
                <c:ptCount val="5"/>
                <c:pt idx="0">
                  <c:v>2025F</c:v>
                </c:pt>
                <c:pt idx="1">
                  <c:v>2026F</c:v>
                </c:pt>
                <c:pt idx="2">
                  <c:v>2027F</c:v>
                </c:pt>
                <c:pt idx="3">
                  <c:v>2028F</c:v>
                </c:pt>
                <c:pt idx="4">
                  <c:v>2029F</c:v>
                </c:pt>
              </c:strCache>
            </c:strRef>
          </c:cat>
          <c:val>
            <c:numRef>
              <c:f>'Discounted Cash Flow'!$D$24:$H$24</c:f>
              <c:numCache>
                <c:formatCode>_(* #,##0.00_);_(* \(#,##0.00\);_(* "-"??_);_(@_)</c:formatCode>
                <c:ptCount val="5"/>
                <c:pt idx="0">
                  <c:v>30480.508859427217</c:v>
                </c:pt>
                <c:pt idx="1">
                  <c:v>27620.318778191213</c:v>
                </c:pt>
                <c:pt idx="2">
                  <c:v>31151.420820909705</c:v>
                </c:pt>
                <c:pt idx="3">
                  <c:v>35120.783505071784</c:v>
                </c:pt>
                <c:pt idx="4">
                  <c:v>39577.779335908832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6-4533-A66F-F77DF3874BCE}"/>
            </c:ext>
          </c:extLst>
        </c:ser>
        <c:ser>
          <c:idx val="1"/>
          <c:order val="1"/>
          <c:tx>
            <c:v>PV FCF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'EXECUTIVE SUMMARY '!$E$5:$I$5</c:f>
              <c:strCache>
                <c:ptCount val="5"/>
                <c:pt idx="0">
                  <c:v>2025F</c:v>
                </c:pt>
                <c:pt idx="1">
                  <c:v>2026F</c:v>
                </c:pt>
                <c:pt idx="2">
                  <c:v>2027F</c:v>
                </c:pt>
                <c:pt idx="3">
                  <c:v>2028F</c:v>
                </c:pt>
                <c:pt idx="4">
                  <c:v>2029F</c:v>
                </c:pt>
              </c:strCache>
            </c:strRef>
          </c:cat>
          <c:val>
            <c:numRef>
              <c:f>'Discounted Cash Flow'!$D$30:$H$30</c:f>
              <c:numCache>
                <c:formatCode>_(* #,##0.00_);_(* \(#,##0.00\);_(* "-"??_);_(@_)</c:formatCode>
                <c:ptCount val="5"/>
                <c:pt idx="0">
                  <c:v>27192.282141469961</c:v>
                </c:pt>
                <c:pt idx="1">
                  <c:v>21982.423778229731</c:v>
                </c:pt>
                <c:pt idx="2">
                  <c:v>22118.11916903983</c:v>
                </c:pt>
                <c:pt idx="3">
                  <c:v>22246.309477580449</c:v>
                </c:pt>
                <c:pt idx="4">
                  <c:v>22364.986793289005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6-4533-A66F-F77DF387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53663"/>
        <c:axId val="1948257023"/>
      </c:barChart>
      <c:catAx>
        <c:axId val="19482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57023"/>
        <c:crosses val="autoZero"/>
        <c:auto val="1"/>
        <c:lblAlgn val="ctr"/>
        <c:lblOffset val="100"/>
        <c:noMultiLvlLbl val="0"/>
      </c:catAx>
      <c:valAx>
        <c:axId val="1948257023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TV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Terminal Value</c:v>
              </c:pt>
            </c:strLit>
          </c:cat>
          <c:val>
            <c:numRef>
              <c:f>'Discounted Cash Flow'!$H$25</c:f>
              <c:numCache>
                <c:formatCode>_(* #,##0.00_);_(* \(#,##0.00\);_(* "-"??_);_(@_)</c:formatCode>
                <c:ptCount val="1"/>
                <c:pt idx="0">
                  <c:v>548207.87521907454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6-4984-8DE1-AC3440CAC2AA}"/>
            </c:ext>
          </c:extLst>
        </c:ser>
        <c:ser>
          <c:idx val="1"/>
          <c:order val="1"/>
          <c:tx>
            <c:v>PV of TV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Terminal Value</c:v>
              </c:pt>
            </c:strLit>
          </c:cat>
          <c:val>
            <c:numRef>
              <c:f>'Discounted Cash Flow'!$H$31</c:f>
              <c:numCache>
                <c:formatCode>_(* #,##0.00_);_(* \(#,##0.00\);_(* "-"??_);_(@_)</c:formatCode>
                <c:ptCount val="1"/>
                <c:pt idx="0">
                  <c:v>309786.50381547702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6-4984-8DE1-AC3440CA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411343"/>
        <c:axId val="2086411823"/>
      </c:barChart>
      <c:catAx>
        <c:axId val="20864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1823"/>
        <c:crosses val="autoZero"/>
        <c:auto val="1"/>
        <c:lblAlgn val="ctr"/>
        <c:lblOffset val="100"/>
        <c:noMultiLvlLbl val="0"/>
      </c:catAx>
      <c:valAx>
        <c:axId val="2086411823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1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'Discounted Cash Flow'!$B$45</c:f>
              <c:strCache>
                <c:ptCount val="1"/>
                <c:pt idx="0">
                  <c:v>PV of FCF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'Discounted Cash Flow'!$B$44</c:f>
              <c:strCache>
                <c:ptCount val="1"/>
                <c:pt idx="0">
                  <c:v>Enterprise Value </c:v>
                </c:pt>
              </c:strCache>
            </c:strRef>
          </c:cat>
          <c:val>
            <c:numRef>
              <c:f>'Discounted Cash Flow'!$C$45</c:f>
              <c:numCache>
                <c:formatCode>_(* #,##0.00_);_(* \(#,##0.00\);_(* "-"??_);_(@_)</c:formatCode>
                <c:ptCount val="1"/>
                <c:pt idx="0">
                  <c:v>115904.12135960898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5-4C4C-B707-5843BA6CCE2E}"/>
            </c:ext>
          </c:extLst>
        </c:ser>
        <c:ser>
          <c:idx val="1"/>
          <c:order val="1"/>
          <c:tx>
            <c:strRef>
              <c:f>'Discounted Cash Flow'!$B$46</c:f>
              <c:strCache>
                <c:ptCount val="1"/>
                <c:pt idx="0">
                  <c:v>PV of Terminal  Value 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bg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'Discounted Cash Flow'!$B$44</c:f>
              <c:strCache>
                <c:ptCount val="1"/>
                <c:pt idx="0">
                  <c:v>Enterprise Value </c:v>
                </c:pt>
              </c:strCache>
            </c:strRef>
          </c:cat>
          <c:val>
            <c:numRef>
              <c:f>'Discounted Cash Flow'!$C$46</c:f>
              <c:numCache>
                <c:formatCode>_(* #,##0.00_);_(* \(#,##0.00\);_(* "-"??_);_(@_)</c:formatCode>
                <c:ptCount val="1"/>
                <c:pt idx="0">
                  <c:v>309786.50381547702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5-4C4C-B707-5843BA6CCE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7927599"/>
        <c:axId val="957924239"/>
      </c:barChart>
      <c:catAx>
        <c:axId val="9579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24239"/>
        <c:crosses val="autoZero"/>
        <c:auto val="1"/>
        <c:lblAlgn val="ctr"/>
        <c:lblOffset val="100"/>
        <c:noMultiLvlLbl val="0"/>
      </c:catAx>
      <c:valAx>
        <c:axId val="95792423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2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0</xdr:rowOff>
    </xdr:from>
    <xdr:to>
      <xdr:col>8</xdr:col>
      <xdr:colOff>152400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D8821-78BE-4577-8A1C-30ED129EC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10582</xdr:colOff>
      <xdr:row>27</xdr:row>
      <xdr:rowOff>137583</xdr:rowOff>
    </xdr:from>
    <xdr:to>
      <xdr:col>18</xdr:col>
      <xdr:colOff>275616</xdr:colOff>
      <xdr:row>43</xdr:row>
      <xdr:rowOff>93134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783F8-43B2-47A3-8635-C05FE9E22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44</xdr:row>
      <xdr:rowOff>99391</xdr:rowOff>
    </xdr:from>
    <xdr:to>
      <xdr:col>18</xdr:col>
      <xdr:colOff>291830</xdr:colOff>
      <xdr:row>60</xdr:row>
      <xdr:rowOff>16565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419C5-7BCE-43F4-B013-6A858CAAE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440674</xdr:colOff>
      <xdr:row>6</xdr:row>
      <xdr:rowOff>0</xdr:rowOff>
    </xdr:from>
    <xdr:to>
      <xdr:col>18</xdr:col>
      <xdr:colOff>165253</xdr:colOff>
      <xdr:row>20</xdr:row>
      <xdr:rowOff>172597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BCB3097-D2B4-42DA-84D8-719397B4E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50"/>
      </a:accent1>
      <a:accent2>
        <a:srgbClr val="92D050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71F7-5B8B-4A9E-8B3A-79AE67969E70}">
  <sheetPr>
    <tabColor theme="1" tint="0.14999847407452621"/>
  </sheetPr>
  <dimension ref="B3:S90"/>
  <sheetViews>
    <sheetView showGridLines="0" tabSelected="1" topLeftCell="A54" zoomScale="83" zoomScaleNormal="10" workbookViewId="0">
      <selection activeCell="F60" sqref="F60"/>
    </sheetView>
  </sheetViews>
  <sheetFormatPr defaultRowHeight="14.45"/>
  <cols>
    <col min="3" max="3" width="25.42578125" bestFit="1" customWidth="1"/>
    <col min="4" max="4" width="5.42578125" customWidth="1"/>
    <col min="5" max="5" width="11" bestFit="1" customWidth="1"/>
    <col min="6" max="9" width="12.28515625" bestFit="1" customWidth="1"/>
    <col min="11" max="11" width="5.28515625" customWidth="1"/>
  </cols>
  <sheetData>
    <row r="3" spans="2:19" ht="21">
      <c r="C3" s="183" t="s">
        <v>0</v>
      </c>
    </row>
    <row r="4" spans="2:19" ht="14.45" customHeight="1">
      <c r="B4" s="55"/>
      <c r="C4" s="56" t="s">
        <v>1</v>
      </c>
      <c r="D4" s="56"/>
      <c r="E4" s="303"/>
      <c r="F4" s="303"/>
      <c r="G4" s="303"/>
      <c r="H4" s="303"/>
      <c r="I4" s="303"/>
    </row>
    <row r="5" spans="2:19" ht="15">
      <c r="B5" s="304" t="s">
        <v>2</v>
      </c>
      <c r="C5" s="305"/>
      <c r="D5" s="306"/>
      <c r="E5" s="96" t="s">
        <v>3</v>
      </c>
      <c r="F5" s="96" t="s">
        <v>4</v>
      </c>
      <c r="G5" s="96" t="s">
        <v>5</v>
      </c>
      <c r="H5" s="96" t="s">
        <v>6</v>
      </c>
      <c r="I5" s="97" t="s">
        <v>7</v>
      </c>
      <c r="K5" s="310" t="s">
        <v>8</v>
      </c>
      <c r="L5" s="311"/>
      <c r="M5" s="311"/>
      <c r="N5" s="311"/>
      <c r="O5" s="311"/>
      <c r="P5" s="311"/>
      <c r="Q5" s="311"/>
      <c r="R5" s="311"/>
      <c r="S5" s="312"/>
    </row>
    <row r="6" spans="2:19" ht="15">
      <c r="B6" s="64"/>
      <c r="C6" s="55"/>
      <c r="D6" s="81"/>
      <c r="E6" s="192"/>
      <c r="F6" s="192"/>
      <c r="G6" s="192"/>
      <c r="H6" s="192"/>
      <c r="I6" s="193"/>
      <c r="K6" s="288"/>
      <c r="L6" s="289"/>
      <c r="M6" s="289"/>
      <c r="N6" s="289"/>
      <c r="O6" s="289"/>
      <c r="P6" s="289"/>
      <c r="Q6" s="289"/>
      <c r="R6" s="289"/>
      <c r="S6" s="290"/>
    </row>
    <row r="7" spans="2:19">
      <c r="B7" s="57"/>
      <c r="C7" s="65" t="s">
        <v>9</v>
      </c>
      <c r="D7" s="273"/>
      <c r="E7" s="100">
        <f>FINANCIALS!F7</f>
        <v>144675.71930000003</v>
      </c>
      <c r="F7" s="100">
        <f>FINANCIALS!G7</f>
        <v>162340.62462653004</v>
      </c>
      <c r="G7" s="100">
        <f>FINANCIALS!H7</f>
        <v>182162.41489342938</v>
      </c>
      <c r="H7" s="100">
        <f>FINANCIALS!I7</f>
        <v>204404.44575191711</v>
      </c>
      <c r="I7" s="101">
        <f>FINANCIALS!J7</f>
        <v>229362.2285782262</v>
      </c>
      <c r="K7" s="288"/>
      <c r="L7" s="289"/>
      <c r="M7" s="289"/>
      <c r="N7" s="289"/>
      <c r="O7" s="289"/>
      <c r="P7" s="289"/>
      <c r="Q7" s="289"/>
      <c r="R7" s="289"/>
      <c r="S7" s="290"/>
    </row>
    <row r="8" spans="2:19">
      <c r="B8" s="57"/>
      <c r="C8" s="66" t="s">
        <v>10</v>
      </c>
      <c r="D8" s="274"/>
      <c r="E8" s="79">
        <f>FINANCIALS!F8</f>
        <v>0.1221</v>
      </c>
      <c r="F8" s="79">
        <f>FINANCIALS!G8</f>
        <v>0.1221</v>
      </c>
      <c r="G8" s="79">
        <f>FINANCIALS!H8</f>
        <v>0.1221</v>
      </c>
      <c r="H8" s="79">
        <f>FINANCIALS!I8</f>
        <v>0.1221</v>
      </c>
      <c r="I8" s="279">
        <f>FINANCIALS!J8</f>
        <v>0.1221</v>
      </c>
      <c r="K8" s="288"/>
      <c r="L8" s="289"/>
      <c r="M8" s="289"/>
      <c r="N8" s="289"/>
      <c r="O8" s="289"/>
      <c r="P8" s="289"/>
      <c r="Q8" s="289"/>
      <c r="R8" s="289"/>
      <c r="S8" s="290"/>
    </row>
    <row r="9" spans="2:19">
      <c r="B9" s="57"/>
      <c r="C9" s="28"/>
      <c r="D9" s="83"/>
      <c r="E9" s="100"/>
      <c r="F9" s="100"/>
      <c r="G9" s="100"/>
      <c r="H9" s="100"/>
      <c r="I9" s="101"/>
      <c r="K9" s="288"/>
      <c r="L9" s="289"/>
      <c r="M9" s="289"/>
      <c r="N9" s="289"/>
      <c r="O9" s="289"/>
      <c r="P9" s="289"/>
      <c r="Q9" s="289"/>
      <c r="R9" s="289"/>
      <c r="S9" s="290"/>
    </row>
    <row r="10" spans="2:19">
      <c r="B10" s="57"/>
      <c r="C10" s="58" t="s">
        <v>11</v>
      </c>
      <c r="D10" s="275"/>
      <c r="E10" s="104">
        <f>E7*('ASSUMPTION '!$F$8*-1)</f>
        <v>-97410.161804690026</v>
      </c>
      <c r="F10" s="104">
        <f>F7*('ASSUMPTION '!$F$8*-1)</f>
        <v>-109303.94256104268</v>
      </c>
      <c r="G10" s="104">
        <f>G7*('ASSUMPTION '!$F$8*-1)</f>
        <v>-122649.95394774601</v>
      </c>
      <c r="H10" s="104">
        <f>H7*('ASSUMPTION '!$F$8*-1)</f>
        <v>-137625.51332476578</v>
      </c>
      <c r="I10" s="105">
        <f>I7*('ASSUMPTION '!$F$8*-1)</f>
        <v>-154429.5885017197</v>
      </c>
      <c r="K10" s="288"/>
      <c r="L10" s="289"/>
      <c r="M10" s="289"/>
      <c r="N10" s="289"/>
      <c r="O10" s="289"/>
      <c r="P10" s="289"/>
      <c r="Q10" s="289"/>
      <c r="R10" s="289"/>
      <c r="S10" s="290"/>
    </row>
    <row r="11" spans="2:19">
      <c r="B11" s="57"/>
      <c r="C11" s="67" t="s">
        <v>12</v>
      </c>
      <c r="D11" s="276"/>
      <c r="E11" s="108">
        <f t="shared" ref="E11:I11" si="0">SUM(E7,E10)</f>
        <v>47265.55749531</v>
      </c>
      <c r="F11" s="108">
        <f t="shared" si="0"/>
        <v>53036.682065487359</v>
      </c>
      <c r="G11" s="108">
        <f t="shared" si="0"/>
        <v>59512.460945683371</v>
      </c>
      <c r="H11" s="108">
        <f t="shared" si="0"/>
        <v>66778.932427151332</v>
      </c>
      <c r="I11" s="109">
        <f t="shared" si="0"/>
        <v>74932.640076506505</v>
      </c>
      <c r="K11" s="288"/>
      <c r="L11" s="289"/>
      <c r="M11" s="289"/>
      <c r="N11" s="289"/>
      <c r="O11" s="289"/>
      <c r="P11" s="289"/>
      <c r="Q11" s="289"/>
      <c r="R11" s="289"/>
      <c r="S11" s="290"/>
    </row>
    <row r="12" spans="2:19">
      <c r="B12" s="57"/>
      <c r="C12" s="66" t="s">
        <v>13</v>
      </c>
      <c r="D12" s="274"/>
      <c r="E12" s="69">
        <f t="shared" ref="E12:I12" si="1">E11/E7</f>
        <v>0.32669999999999993</v>
      </c>
      <c r="F12" s="69">
        <f t="shared" si="1"/>
        <v>0.32669999999999993</v>
      </c>
      <c r="G12" s="69">
        <f t="shared" si="1"/>
        <v>0.32669999999999999</v>
      </c>
      <c r="H12" s="69">
        <f t="shared" si="1"/>
        <v>0.32670000000000005</v>
      </c>
      <c r="I12" s="61">
        <f t="shared" si="1"/>
        <v>0.32669999999999999</v>
      </c>
      <c r="K12" s="288"/>
      <c r="L12" s="289"/>
      <c r="M12" s="289"/>
      <c r="N12" s="289"/>
      <c r="O12" s="289"/>
      <c r="P12" s="289"/>
      <c r="Q12" s="289"/>
      <c r="R12" s="289"/>
      <c r="S12" s="290"/>
    </row>
    <row r="13" spans="2:19">
      <c r="B13" s="57"/>
      <c r="C13" s="28"/>
      <c r="D13" s="83"/>
      <c r="E13" s="77"/>
      <c r="F13" s="77"/>
      <c r="G13" s="77"/>
      <c r="H13" s="77"/>
      <c r="I13" s="78"/>
      <c r="K13" s="288"/>
      <c r="L13" s="289"/>
      <c r="M13" s="289"/>
      <c r="N13" s="289"/>
      <c r="O13" s="289"/>
      <c r="P13" s="289"/>
      <c r="Q13" s="289"/>
      <c r="R13" s="289"/>
      <c r="S13" s="290"/>
    </row>
    <row r="14" spans="2:19">
      <c r="B14" s="57"/>
      <c r="C14" s="58" t="s">
        <v>14</v>
      </c>
      <c r="D14" s="275"/>
      <c r="E14" s="104">
        <f>E7*('ASSUMPTION '!$F$9*-1)</f>
        <v>-9649.8704773100017</v>
      </c>
      <c r="F14" s="104">
        <f>F7*('ASSUMPTION '!$F$9*-1)</f>
        <v>-10828.119662589554</v>
      </c>
      <c r="G14" s="104">
        <f>G7*('ASSUMPTION '!$F$9*-1)</f>
        <v>-12150.233073391739</v>
      </c>
      <c r="H14" s="104">
        <f>H7*('ASSUMPTION '!$F$9*-1)</f>
        <v>-13633.776531652871</v>
      </c>
      <c r="I14" s="105">
        <f>I7*('ASSUMPTION '!$F$9*-1)</f>
        <v>-15298.460646167687</v>
      </c>
      <c r="K14" s="288"/>
      <c r="L14" s="289"/>
      <c r="M14" s="289"/>
      <c r="N14" s="289"/>
      <c r="O14" s="289"/>
      <c r="P14" s="289"/>
      <c r="Q14" s="289"/>
      <c r="R14" s="289"/>
      <c r="S14" s="290"/>
    </row>
    <row r="15" spans="2:19">
      <c r="B15" s="57"/>
      <c r="C15" s="67" t="s">
        <v>15</v>
      </c>
      <c r="D15" s="276"/>
      <c r="E15" s="108">
        <f t="shared" ref="E15:I15" si="2">SUM(E11,E14)</f>
        <v>37615.687017999997</v>
      </c>
      <c r="F15" s="108">
        <f t="shared" si="2"/>
        <v>42208.562402897805</v>
      </c>
      <c r="G15" s="108">
        <f t="shared" si="2"/>
        <v>47362.227872291631</v>
      </c>
      <c r="H15" s="108">
        <f t="shared" si="2"/>
        <v>53145.155895498465</v>
      </c>
      <c r="I15" s="109">
        <f t="shared" si="2"/>
        <v>59634.179430338816</v>
      </c>
      <c r="K15" s="288"/>
      <c r="L15" s="289"/>
      <c r="M15" s="289"/>
      <c r="N15" s="289"/>
      <c r="O15" s="289"/>
      <c r="P15" s="289"/>
      <c r="Q15" s="289"/>
      <c r="R15" s="289"/>
      <c r="S15" s="290"/>
    </row>
    <row r="16" spans="2:19">
      <c r="B16" s="57"/>
      <c r="C16" s="66" t="s">
        <v>16</v>
      </c>
      <c r="D16" s="274"/>
      <c r="E16" s="69">
        <f t="shared" ref="E16:I16" si="3">E15/E7</f>
        <v>0.25999999999999995</v>
      </c>
      <c r="F16" s="69">
        <f t="shared" si="3"/>
        <v>0.25999999999999995</v>
      </c>
      <c r="G16" s="69">
        <f t="shared" si="3"/>
        <v>0.25999999999999995</v>
      </c>
      <c r="H16" s="69">
        <f t="shared" si="3"/>
        <v>0.26000000000000006</v>
      </c>
      <c r="I16" s="61">
        <f t="shared" si="3"/>
        <v>0.26</v>
      </c>
      <c r="K16" s="288"/>
      <c r="L16" s="289"/>
      <c r="M16" s="289"/>
      <c r="N16" s="289"/>
      <c r="O16" s="289"/>
      <c r="P16" s="289"/>
      <c r="Q16" s="289"/>
      <c r="R16" s="289"/>
      <c r="S16" s="290"/>
    </row>
    <row r="17" spans="2:19">
      <c r="B17" s="57"/>
      <c r="C17" s="28"/>
      <c r="D17" s="83"/>
      <c r="E17" s="77"/>
      <c r="F17" s="77"/>
      <c r="G17" s="77"/>
      <c r="H17" s="77"/>
      <c r="I17" s="78"/>
      <c r="K17" s="288"/>
      <c r="L17" s="289"/>
      <c r="M17" s="289"/>
      <c r="N17" s="289"/>
      <c r="O17" s="289"/>
      <c r="P17" s="289"/>
      <c r="Q17" s="289"/>
      <c r="R17" s="289"/>
      <c r="S17" s="290"/>
    </row>
    <row r="18" spans="2:19">
      <c r="B18" s="57"/>
      <c r="C18" s="58" t="s">
        <v>17</v>
      </c>
      <c r="D18" s="275"/>
      <c r="E18" s="104">
        <v>-3543.4718631999999</v>
      </c>
      <c r="F18" s="104">
        <v>-4237.0754427519996</v>
      </c>
      <c r="G18" s="104">
        <v>-5014.6591708415999</v>
      </c>
      <c r="H18" s="104">
        <v>-5876.2861235553301</v>
      </c>
      <c r="I18" s="105">
        <v>-6814.4381772298002</v>
      </c>
      <c r="K18" s="288"/>
      <c r="L18" s="289"/>
      <c r="M18" s="289"/>
      <c r="N18" s="289"/>
      <c r="O18" s="289"/>
      <c r="P18" s="289"/>
      <c r="Q18" s="289"/>
      <c r="R18" s="289"/>
      <c r="S18" s="290"/>
    </row>
    <row r="19" spans="2:19">
      <c r="B19" s="57"/>
      <c r="C19" s="67" t="s">
        <v>18</v>
      </c>
      <c r="D19" s="276"/>
      <c r="E19" s="108">
        <f t="shared" ref="E19:I19" si="4">E15+E18</f>
        <v>34072.215154799997</v>
      </c>
      <c r="F19" s="108">
        <f t="shared" si="4"/>
        <v>37971.486960145805</v>
      </c>
      <c r="G19" s="108">
        <f t="shared" si="4"/>
        <v>42347.568701450029</v>
      </c>
      <c r="H19" s="108">
        <f t="shared" si="4"/>
        <v>47268.869771943137</v>
      </c>
      <c r="I19" s="109">
        <f t="shared" si="4"/>
        <v>52819.741253109016</v>
      </c>
      <c r="K19" s="288"/>
      <c r="L19" s="289"/>
      <c r="M19" s="289"/>
      <c r="N19" s="289"/>
      <c r="O19" s="289"/>
      <c r="P19" s="289"/>
      <c r="Q19" s="289"/>
      <c r="R19" s="289"/>
      <c r="S19" s="290"/>
    </row>
    <row r="20" spans="2:19">
      <c r="B20" s="57"/>
      <c r="C20" s="66" t="s">
        <v>19</v>
      </c>
      <c r="D20" s="274"/>
      <c r="E20" s="69">
        <f t="shared" ref="E20:I20" si="5">E19/E7</f>
        <v>0.23550748750139436</v>
      </c>
      <c r="F20" s="69">
        <f t="shared" si="5"/>
        <v>0.2339000915359323</v>
      </c>
      <c r="G20" s="69">
        <f t="shared" si="5"/>
        <v>0.23247149378330684</v>
      </c>
      <c r="H20" s="69">
        <f t="shared" si="5"/>
        <v>0.23125167164569757</v>
      </c>
      <c r="I20" s="61">
        <f t="shared" si="5"/>
        <v>0.23028962345076942</v>
      </c>
      <c r="K20" s="288"/>
      <c r="L20" s="289"/>
      <c r="M20" s="289"/>
      <c r="N20" s="289"/>
      <c r="O20" s="289"/>
      <c r="P20" s="289"/>
      <c r="Q20" s="289"/>
      <c r="R20" s="289"/>
      <c r="S20" s="290"/>
    </row>
    <row r="21" spans="2:19">
      <c r="B21" s="57"/>
      <c r="C21" s="28"/>
      <c r="D21" s="83"/>
      <c r="E21" s="77"/>
      <c r="F21" s="77"/>
      <c r="G21" s="77"/>
      <c r="H21" s="77"/>
      <c r="I21" s="78"/>
      <c r="K21" s="288"/>
      <c r="L21" s="289"/>
      <c r="M21" s="289"/>
      <c r="N21" s="289"/>
      <c r="O21" s="289"/>
      <c r="P21" s="289"/>
      <c r="Q21" s="289"/>
      <c r="R21" s="289"/>
      <c r="S21" s="290"/>
    </row>
    <row r="22" spans="2:19">
      <c r="B22" s="57"/>
      <c r="C22" s="28" t="s">
        <v>20</v>
      </c>
      <c r="D22" s="83"/>
      <c r="E22" s="100">
        <v>8463.3109131161946</v>
      </c>
      <c r="F22" s="100">
        <v>9693.1847109877272</v>
      </c>
      <c r="G22" s="100">
        <v>10666.319771235905</v>
      </c>
      <c r="H22" s="100">
        <v>12193.96260012856</v>
      </c>
      <c r="I22" s="101">
        <v>13441.625182738366</v>
      </c>
      <c r="K22" s="291"/>
      <c r="L22" s="292"/>
      <c r="M22" s="292"/>
      <c r="N22" s="292"/>
      <c r="O22" s="292"/>
      <c r="P22" s="292"/>
      <c r="Q22" s="292"/>
      <c r="R22" s="292"/>
      <c r="S22" s="293"/>
    </row>
    <row r="23" spans="2:19">
      <c r="B23" s="57"/>
      <c r="C23" s="70" t="s">
        <v>21</v>
      </c>
      <c r="D23" s="277"/>
      <c r="E23" s="76" t="s">
        <v>22</v>
      </c>
      <c r="F23" s="76" t="s">
        <v>22</v>
      </c>
      <c r="G23" s="76" t="s">
        <v>22</v>
      </c>
      <c r="H23" s="76" t="s">
        <v>22</v>
      </c>
      <c r="I23" s="118" t="s">
        <v>22</v>
      </c>
    </row>
    <row r="24" spans="2:19">
      <c r="B24" s="57"/>
      <c r="C24" s="58" t="s">
        <v>23</v>
      </c>
      <c r="D24" s="275"/>
      <c r="E24" s="104">
        <v>-252.5002689171171</v>
      </c>
      <c r="F24" s="104">
        <v>-283.92627293730112</v>
      </c>
      <c r="G24" s="104">
        <v>-319.18777379543121</v>
      </c>
      <c r="H24" s="104">
        <v>-358.7298205245101</v>
      </c>
      <c r="I24" s="105">
        <v>-403.03447769944268</v>
      </c>
    </row>
    <row r="25" spans="2:19" ht="21">
      <c r="B25" s="57"/>
      <c r="C25" s="67" t="s">
        <v>24</v>
      </c>
      <c r="D25" s="276"/>
      <c r="E25" s="108">
        <f t="shared" ref="E25:I25" si="6">SUM(E19,E22:E24)</f>
        <v>42283.025798999071</v>
      </c>
      <c r="F25" s="108">
        <f t="shared" si="6"/>
        <v>47380.745398196232</v>
      </c>
      <c r="G25" s="108">
        <f t="shared" si="6"/>
        <v>52694.700698890498</v>
      </c>
      <c r="H25" s="108">
        <f t="shared" si="6"/>
        <v>59104.102551547185</v>
      </c>
      <c r="I25" s="109">
        <f t="shared" si="6"/>
        <v>65858.33195814793</v>
      </c>
      <c r="L25" s="183" t="s">
        <v>25</v>
      </c>
    </row>
    <row r="26" spans="2:19" ht="15">
      <c r="B26" s="57"/>
      <c r="C26" s="66" t="s">
        <v>26</v>
      </c>
      <c r="D26" s="274"/>
      <c r="E26" s="69">
        <f t="shared" ref="E26:I26" si="7">E25/E7</f>
        <v>0.29226069172893382</v>
      </c>
      <c r="F26" s="69">
        <f t="shared" si="7"/>
        <v>0.29186006587813246</v>
      </c>
      <c r="G26" s="69">
        <f t="shared" si="7"/>
        <v>0.28927317816750792</v>
      </c>
      <c r="H26" s="69">
        <f t="shared" si="7"/>
        <v>0.28915272529483543</v>
      </c>
      <c r="I26" s="61">
        <f t="shared" si="7"/>
        <v>0.28713678083087824</v>
      </c>
      <c r="L26" s="216" t="s">
        <v>1</v>
      </c>
    </row>
    <row r="27" spans="2:19" ht="15">
      <c r="B27" s="57"/>
      <c r="C27" s="28"/>
      <c r="D27" s="83"/>
      <c r="E27" s="77"/>
      <c r="F27" s="77"/>
      <c r="G27" s="77"/>
      <c r="H27" s="77"/>
      <c r="I27" s="78"/>
      <c r="K27" s="313" t="s">
        <v>27</v>
      </c>
      <c r="L27" s="314"/>
      <c r="M27" s="314"/>
      <c r="N27" s="314"/>
      <c r="O27" s="314"/>
      <c r="P27" s="314"/>
      <c r="Q27" s="314"/>
      <c r="R27" s="314"/>
      <c r="S27" s="315"/>
    </row>
    <row r="28" spans="2:19">
      <c r="B28" s="57"/>
      <c r="C28" s="58" t="s">
        <v>28</v>
      </c>
      <c r="D28" s="275"/>
      <c r="E28" s="104">
        <f>E25*'ASSUMPTION '!$F$11*-1</f>
        <v>-10993.58670773976</v>
      </c>
      <c r="F28" s="104">
        <f>F25*'ASSUMPTION '!$F$11*-1</f>
        <v>-12318.993803531021</v>
      </c>
      <c r="G28" s="104">
        <f>G25*'ASSUMPTION '!$F$11*-1</f>
        <v>-13700.622181711529</v>
      </c>
      <c r="H28" s="104">
        <f>H25*'ASSUMPTION '!$F$11*-1</f>
        <v>-15367.066663402269</v>
      </c>
      <c r="I28" s="105">
        <f>I25*'ASSUMPTION '!$F$11*-1</f>
        <v>-17123.166309118464</v>
      </c>
      <c r="K28" s="288"/>
      <c r="L28" s="289"/>
      <c r="M28" s="289"/>
      <c r="N28" s="289"/>
      <c r="O28" s="289"/>
      <c r="P28" s="289"/>
      <c r="Q28" s="289"/>
      <c r="R28" s="289"/>
      <c r="S28" s="290"/>
    </row>
    <row r="29" spans="2:19">
      <c r="B29" s="57"/>
      <c r="C29" s="62" t="s">
        <v>29</v>
      </c>
      <c r="D29" s="278"/>
      <c r="E29" s="110">
        <f t="shared" ref="E29:I29" si="8">SUM(E25,E28)</f>
        <v>31289.439091259312</v>
      </c>
      <c r="F29" s="110">
        <f t="shared" si="8"/>
        <v>35061.751594665213</v>
      </c>
      <c r="G29" s="110">
        <f t="shared" si="8"/>
        <v>38994.078517178968</v>
      </c>
      <c r="H29" s="110">
        <f t="shared" si="8"/>
        <v>43737.035888144914</v>
      </c>
      <c r="I29" s="111">
        <f t="shared" si="8"/>
        <v>48735.16564902947</v>
      </c>
      <c r="K29" s="288"/>
      <c r="L29" s="289"/>
      <c r="M29" s="289"/>
      <c r="N29" s="289"/>
      <c r="O29" s="289"/>
      <c r="P29" s="289"/>
      <c r="Q29" s="289"/>
      <c r="R29" s="289"/>
      <c r="S29" s="290"/>
    </row>
    <row r="30" spans="2:19">
      <c r="B30" s="57"/>
      <c r="C30" s="66" t="s">
        <v>30</v>
      </c>
      <c r="D30" s="274"/>
      <c r="E30" s="69">
        <f t="shared" ref="E30:I30" si="9">E29/E7</f>
        <v>0.21627291187941103</v>
      </c>
      <c r="F30" s="69">
        <f t="shared" si="9"/>
        <v>0.21597644874981803</v>
      </c>
      <c r="G30" s="69">
        <f t="shared" si="9"/>
        <v>0.21406215184395588</v>
      </c>
      <c r="H30" s="69">
        <f t="shared" si="9"/>
        <v>0.21397301671817823</v>
      </c>
      <c r="I30" s="61">
        <f t="shared" si="9"/>
        <v>0.21248121781484988</v>
      </c>
      <c r="K30" s="288"/>
      <c r="L30" s="289"/>
      <c r="M30" s="289"/>
      <c r="N30" s="289"/>
      <c r="O30" s="289"/>
      <c r="P30" s="289"/>
      <c r="Q30" s="289"/>
      <c r="R30" s="289"/>
      <c r="S30" s="290"/>
    </row>
    <row r="31" spans="2:19">
      <c r="B31" s="63"/>
      <c r="C31" s="59"/>
      <c r="D31" s="84"/>
      <c r="E31" s="74"/>
      <c r="F31" s="74"/>
      <c r="G31" s="74"/>
      <c r="H31" s="74"/>
      <c r="I31" s="53"/>
      <c r="K31" s="288"/>
      <c r="L31" s="289"/>
      <c r="M31" s="289"/>
      <c r="N31" s="289"/>
      <c r="O31" s="289"/>
      <c r="P31" s="289"/>
      <c r="Q31" s="289"/>
      <c r="R31" s="289"/>
      <c r="S31" s="290"/>
    </row>
    <row r="32" spans="2:19">
      <c r="K32" s="288"/>
      <c r="L32" s="289"/>
      <c r="M32" s="289"/>
      <c r="N32" s="289"/>
      <c r="O32" s="289"/>
      <c r="P32" s="289"/>
      <c r="Q32" s="289"/>
      <c r="R32" s="289"/>
      <c r="S32" s="290"/>
    </row>
    <row r="33" spans="2:19">
      <c r="K33" s="288"/>
      <c r="L33" s="289"/>
      <c r="M33" s="289"/>
      <c r="N33" s="289"/>
      <c r="O33" s="289"/>
      <c r="P33" s="289"/>
      <c r="Q33" s="289"/>
      <c r="R33" s="289"/>
      <c r="S33" s="290"/>
    </row>
    <row r="34" spans="2:19">
      <c r="B34" s="307" t="s">
        <v>31</v>
      </c>
      <c r="C34" s="308"/>
      <c r="D34" s="308"/>
      <c r="E34" s="308"/>
      <c r="F34" s="308"/>
      <c r="G34" s="308"/>
      <c r="H34" s="308"/>
      <c r="I34" s="309"/>
      <c r="K34" s="288"/>
      <c r="L34" s="289"/>
      <c r="M34" s="289"/>
      <c r="N34" s="289"/>
      <c r="O34" s="289"/>
      <c r="P34" s="289"/>
      <c r="Q34" s="289"/>
      <c r="R34" s="289"/>
      <c r="S34" s="290"/>
    </row>
    <row r="35" spans="2:19">
      <c r="B35" s="50"/>
      <c r="I35" s="280"/>
      <c r="K35" s="288"/>
      <c r="L35" s="289"/>
      <c r="M35" s="289"/>
      <c r="N35" s="289"/>
      <c r="O35" s="289"/>
      <c r="P35" s="289"/>
      <c r="Q35" s="289"/>
      <c r="R35" s="289"/>
      <c r="S35" s="290"/>
    </row>
    <row r="36" spans="2:19">
      <c r="B36" s="50"/>
      <c r="I36" s="280"/>
      <c r="K36" s="288"/>
      <c r="L36" s="289"/>
      <c r="M36" s="289"/>
      <c r="N36" s="289"/>
      <c r="O36" s="289"/>
      <c r="P36" s="289"/>
      <c r="Q36" s="289"/>
      <c r="R36" s="289"/>
      <c r="S36" s="290"/>
    </row>
    <row r="37" spans="2:19">
      <c r="B37" s="50"/>
      <c r="I37" s="280"/>
      <c r="K37" s="288"/>
      <c r="L37" s="289"/>
      <c r="M37" s="289"/>
      <c r="N37" s="289"/>
      <c r="O37" s="289"/>
      <c r="P37" s="289"/>
      <c r="Q37" s="289"/>
      <c r="R37" s="289"/>
      <c r="S37" s="290"/>
    </row>
    <row r="38" spans="2:19">
      <c r="B38" s="50"/>
      <c r="I38" s="280"/>
      <c r="K38" s="288"/>
      <c r="L38" s="289"/>
      <c r="M38" s="289"/>
      <c r="N38" s="289"/>
      <c r="O38" s="289"/>
      <c r="P38" s="289"/>
      <c r="Q38" s="289"/>
      <c r="R38" s="289"/>
      <c r="S38" s="290"/>
    </row>
    <row r="39" spans="2:19">
      <c r="B39" s="50"/>
      <c r="C39" s="2"/>
      <c r="I39" s="280"/>
      <c r="K39" s="288"/>
      <c r="L39" s="289"/>
      <c r="M39" s="289"/>
      <c r="N39" s="289"/>
      <c r="O39" s="289"/>
      <c r="P39" s="289"/>
      <c r="Q39" s="289"/>
      <c r="R39" s="289"/>
      <c r="S39" s="290"/>
    </row>
    <row r="40" spans="2:19">
      <c r="B40" s="50"/>
      <c r="I40" s="280"/>
      <c r="K40" s="288"/>
      <c r="L40" s="289"/>
      <c r="M40" s="289"/>
      <c r="N40" s="289"/>
      <c r="O40" s="289"/>
      <c r="P40" s="289"/>
      <c r="Q40" s="289"/>
      <c r="R40" s="289"/>
      <c r="S40" s="290"/>
    </row>
    <row r="41" spans="2:19">
      <c r="B41" s="50"/>
      <c r="I41" s="280"/>
      <c r="K41" s="288"/>
      <c r="L41" s="289"/>
      <c r="M41" s="289"/>
      <c r="N41" s="289"/>
      <c r="O41" s="289"/>
      <c r="P41" s="289"/>
      <c r="Q41" s="289"/>
      <c r="R41" s="289"/>
      <c r="S41" s="290"/>
    </row>
    <row r="42" spans="2:19">
      <c r="B42" s="50"/>
      <c r="I42" s="280"/>
      <c r="K42" s="288"/>
      <c r="L42" s="289"/>
      <c r="M42" s="289"/>
      <c r="N42" s="289"/>
      <c r="O42" s="289"/>
      <c r="P42" s="289"/>
      <c r="Q42" s="289"/>
      <c r="R42" s="289"/>
      <c r="S42" s="290"/>
    </row>
    <row r="43" spans="2:19">
      <c r="B43" s="50"/>
      <c r="I43" s="280"/>
      <c r="K43" s="288"/>
      <c r="L43" s="289"/>
      <c r="M43" s="289"/>
      <c r="N43" s="289"/>
      <c r="O43" s="289"/>
      <c r="P43" s="289"/>
      <c r="Q43" s="289"/>
      <c r="R43" s="289"/>
      <c r="S43" s="290"/>
    </row>
    <row r="44" spans="2:19">
      <c r="B44" s="50"/>
      <c r="I44" s="280"/>
      <c r="K44" s="288"/>
      <c r="L44" s="289"/>
      <c r="M44" s="289"/>
      <c r="N44" s="289"/>
      <c r="O44" s="289"/>
      <c r="P44" s="289"/>
      <c r="Q44" s="289"/>
      <c r="R44" s="289"/>
      <c r="S44" s="290"/>
    </row>
    <row r="45" spans="2:19">
      <c r="B45" s="50"/>
      <c r="I45" s="280"/>
      <c r="K45" s="288"/>
      <c r="L45" s="289"/>
      <c r="M45" s="289"/>
      <c r="N45" s="289"/>
      <c r="O45" s="289"/>
      <c r="P45" s="289"/>
      <c r="Q45" s="289"/>
      <c r="R45" s="289"/>
      <c r="S45" s="290"/>
    </row>
    <row r="46" spans="2:19">
      <c r="B46" s="50"/>
      <c r="I46" s="280"/>
      <c r="K46" s="288"/>
      <c r="L46" s="289"/>
      <c r="M46" s="289"/>
      <c r="N46" s="289"/>
      <c r="O46" s="289"/>
      <c r="P46" s="289"/>
      <c r="Q46" s="289"/>
      <c r="R46" s="289"/>
      <c r="S46" s="290"/>
    </row>
    <row r="47" spans="2:19">
      <c r="B47" s="50"/>
      <c r="I47" s="280"/>
      <c r="K47" s="288"/>
      <c r="L47" s="289"/>
      <c r="M47" s="289"/>
      <c r="N47" s="289"/>
      <c r="O47" s="289"/>
      <c r="P47" s="289"/>
      <c r="Q47" s="289"/>
      <c r="R47" s="289"/>
      <c r="S47" s="290"/>
    </row>
    <row r="48" spans="2:19">
      <c r="B48" s="50"/>
      <c r="I48" s="280"/>
      <c r="K48" s="288"/>
      <c r="L48" s="289"/>
      <c r="M48" s="289"/>
      <c r="N48" s="289"/>
      <c r="O48" s="289"/>
      <c r="P48" s="289"/>
      <c r="Q48" s="289"/>
      <c r="R48" s="289"/>
      <c r="S48" s="290"/>
    </row>
    <row r="49" spans="2:19">
      <c r="B49" s="50"/>
      <c r="I49" s="280"/>
      <c r="K49" s="288"/>
      <c r="L49" s="289"/>
      <c r="M49" s="289"/>
      <c r="N49" s="289"/>
      <c r="O49" s="289"/>
      <c r="P49" s="289"/>
      <c r="Q49" s="289"/>
      <c r="R49" s="289"/>
      <c r="S49" s="290"/>
    </row>
    <row r="50" spans="2:19">
      <c r="B50" s="50"/>
      <c r="I50" s="280"/>
      <c r="K50" s="288"/>
      <c r="L50" s="289"/>
      <c r="M50" s="289"/>
      <c r="N50" s="289"/>
      <c r="O50" s="289"/>
      <c r="P50" s="289"/>
      <c r="Q50" s="289"/>
      <c r="R50" s="289"/>
      <c r="S50" s="290"/>
    </row>
    <row r="51" spans="2:19">
      <c r="B51" s="51"/>
      <c r="C51" s="74"/>
      <c r="D51" s="74"/>
      <c r="E51" s="74"/>
      <c r="F51" s="74"/>
      <c r="G51" s="74"/>
      <c r="H51" s="74"/>
      <c r="I51" s="53"/>
      <c r="K51" s="288"/>
      <c r="L51" s="289"/>
      <c r="M51" s="289"/>
      <c r="N51" s="289"/>
      <c r="O51" s="289"/>
      <c r="P51" s="289"/>
      <c r="Q51" s="289"/>
      <c r="R51" s="289"/>
      <c r="S51" s="290"/>
    </row>
    <row r="52" spans="2:19">
      <c r="K52" s="288"/>
      <c r="L52" s="289"/>
      <c r="M52" s="289"/>
      <c r="N52" s="289"/>
      <c r="O52" s="289"/>
      <c r="P52" s="289"/>
      <c r="Q52" s="289"/>
      <c r="R52" s="289"/>
      <c r="S52" s="290"/>
    </row>
    <row r="53" spans="2:19" ht="15">
      <c r="K53" s="288"/>
      <c r="L53" s="289"/>
      <c r="M53" s="289"/>
      <c r="N53" s="289"/>
      <c r="O53" s="289"/>
      <c r="P53" s="289"/>
      <c r="Q53" s="289"/>
      <c r="R53" s="289"/>
      <c r="S53" s="290"/>
    </row>
    <row r="54" spans="2:19" ht="15">
      <c r="K54" s="288"/>
      <c r="L54" s="289"/>
      <c r="M54" s="289"/>
      <c r="N54" s="289"/>
      <c r="O54" s="289"/>
      <c r="P54" s="289"/>
      <c r="Q54" s="289"/>
      <c r="R54" s="289"/>
      <c r="S54" s="290"/>
    </row>
    <row r="55" spans="2:19" ht="15">
      <c r="K55" s="288"/>
      <c r="L55" s="289"/>
      <c r="M55" s="289"/>
      <c r="N55" s="289"/>
      <c r="O55" s="289"/>
      <c r="P55" s="289"/>
      <c r="Q55" s="289"/>
      <c r="R55" s="289"/>
      <c r="S55" s="290"/>
    </row>
    <row r="56" spans="2:19" ht="15">
      <c r="K56" s="288"/>
      <c r="L56" s="289"/>
      <c r="M56" s="289"/>
      <c r="N56" s="289"/>
      <c r="O56" s="289"/>
      <c r="P56" s="289"/>
      <c r="Q56" s="289"/>
      <c r="R56" s="289"/>
      <c r="S56" s="290"/>
    </row>
    <row r="57" spans="2:19" ht="15">
      <c r="K57" s="288"/>
      <c r="L57" s="289"/>
      <c r="M57" s="289"/>
      <c r="N57" s="289"/>
      <c r="O57" s="289"/>
      <c r="P57" s="289"/>
      <c r="Q57" s="289"/>
      <c r="R57" s="289"/>
      <c r="S57" s="290"/>
    </row>
    <row r="58" spans="2:19" ht="15">
      <c r="K58" s="288"/>
      <c r="L58" s="289"/>
      <c r="M58" s="289"/>
      <c r="N58" s="289"/>
      <c r="O58" s="289"/>
      <c r="P58" s="289"/>
      <c r="Q58" s="289"/>
      <c r="R58" s="289"/>
      <c r="S58" s="290"/>
    </row>
    <row r="59" spans="2:19" ht="15">
      <c r="K59" s="288"/>
      <c r="L59" s="289"/>
      <c r="M59" s="289"/>
      <c r="N59" s="289"/>
      <c r="O59" s="289"/>
      <c r="P59" s="289"/>
      <c r="Q59" s="289"/>
      <c r="R59" s="289"/>
      <c r="S59" s="290"/>
    </row>
    <row r="60" spans="2:19" ht="15">
      <c r="K60" s="288"/>
      <c r="L60" s="289"/>
      <c r="M60" s="289"/>
      <c r="N60" s="289"/>
      <c r="O60" s="289"/>
      <c r="P60" s="289"/>
      <c r="Q60" s="289"/>
      <c r="R60" s="289"/>
      <c r="S60" s="290"/>
    </row>
    <row r="61" spans="2:19" ht="15">
      <c r="K61" s="291"/>
      <c r="L61" s="292"/>
      <c r="M61" s="292"/>
      <c r="N61" s="292"/>
      <c r="O61" s="292"/>
      <c r="P61" s="292"/>
      <c r="Q61" s="292"/>
      <c r="R61" s="292"/>
      <c r="S61" s="293"/>
    </row>
    <row r="62" spans="2:19" ht="15"/>
    <row r="63" spans="2:19" ht="15"/>
    <row r="64" spans="2:19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</sheetData>
  <mergeCells count="5">
    <mergeCell ref="E4:I4"/>
    <mergeCell ref="B5:D5"/>
    <mergeCell ref="B34:I34"/>
    <mergeCell ref="K5:S5"/>
    <mergeCell ref="K27:S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4F83-E281-4E6A-855F-02F95F4C2DFC}">
  <sheetPr>
    <tabColor rgb="FF7030A0"/>
  </sheetPr>
  <dimension ref="B3:I49"/>
  <sheetViews>
    <sheetView showGridLines="0" topLeftCell="A20" zoomScale="83" workbookViewId="0">
      <selection activeCell="O46" sqref="O46"/>
    </sheetView>
  </sheetViews>
  <sheetFormatPr defaultRowHeight="14.45"/>
  <cols>
    <col min="2" max="2" width="28.85546875" customWidth="1"/>
    <col min="3" max="3" width="12.5703125" bestFit="1" customWidth="1"/>
    <col min="4" max="4" width="11" bestFit="1" customWidth="1"/>
    <col min="5" max="5" width="13.140625" customWidth="1"/>
    <col min="6" max="6" width="12.5703125" bestFit="1" customWidth="1"/>
    <col min="7" max="7" width="11.28515625" bestFit="1" customWidth="1"/>
    <col min="8" max="8" width="12.5703125" bestFit="1" customWidth="1"/>
  </cols>
  <sheetData>
    <row r="3" spans="2:9" ht="26.25" customHeight="1">
      <c r="B3" s="183" t="s">
        <v>312</v>
      </c>
    </row>
    <row r="4" spans="2:9">
      <c r="B4" s="216" t="s">
        <v>33</v>
      </c>
    </row>
    <row r="5" spans="2:9">
      <c r="B5" s="186"/>
      <c r="C5" s="187" t="s">
        <v>190</v>
      </c>
      <c r="D5" s="334" t="s">
        <v>313</v>
      </c>
      <c r="E5" s="334"/>
      <c r="F5" s="334"/>
      <c r="G5" s="334"/>
      <c r="H5" s="335"/>
    </row>
    <row r="6" spans="2:9">
      <c r="B6" s="188" t="s">
        <v>312</v>
      </c>
      <c r="C6" s="189">
        <v>2024</v>
      </c>
      <c r="D6" s="96" t="s">
        <v>3</v>
      </c>
      <c r="E6" s="96" t="s">
        <v>4</v>
      </c>
      <c r="F6" s="96" t="s">
        <v>5</v>
      </c>
      <c r="G6" s="96" t="s">
        <v>6</v>
      </c>
      <c r="H6" s="97" t="s">
        <v>7</v>
      </c>
    </row>
    <row r="7" spans="2:9">
      <c r="B7" s="194"/>
      <c r="C7" s="192"/>
      <c r="D7" s="192"/>
      <c r="E7" s="192"/>
      <c r="F7" s="192"/>
      <c r="G7" s="192"/>
      <c r="H7" s="193"/>
    </row>
    <row r="8" spans="2:9">
      <c r="B8" s="190" t="s">
        <v>314</v>
      </c>
      <c r="C8" s="191">
        <f>'ASSUMPTION '!C26</f>
        <v>0.120925</v>
      </c>
      <c r="D8" s="192"/>
      <c r="E8" s="192"/>
      <c r="F8" s="192"/>
      <c r="G8" s="192"/>
      <c r="H8" s="193"/>
    </row>
    <row r="9" spans="2:9">
      <c r="B9" s="194"/>
      <c r="C9" s="192"/>
      <c r="D9" s="192"/>
      <c r="E9" s="192"/>
      <c r="F9" s="192"/>
      <c r="G9" s="192"/>
      <c r="H9" s="193"/>
    </row>
    <row r="10" spans="2:9">
      <c r="B10" s="190" t="s">
        <v>315</v>
      </c>
      <c r="C10" s="192"/>
      <c r="D10" s="192"/>
      <c r="E10" s="192"/>
      <c r="F10" s="192"/>
      <c r="G10" s="192"/>
      <c r="H10" s="193"/>
    </row>
    <row r="11" spans="2:9">
      <c r="B11" s="194" t="s">
        <v>18</v>
      </c>
      <c r="C11" s="192"/>
      <c r="D11" s="100">
        <f>FINANCIALS!F19</f>
        <v>34072.215154799997</v>
      </c>
      <c r="E11" s="100">
        <f>FINANCIALS!G19</f>
        <v>37971.486960145805</v>
      </c>
      <c r="F11" s="100">
        <f>FINANCIALS!H19</f>
        <v>42347.568701450029</v>
      </c>
      <c r="G11" s="100">
        <f>FINANCIALS!I19</f>
        <v>47268.869771943137</v>
      </c>
      <c r="H11" s="101">
        <f>FINANCIALS!J19</f>
        <v>52819.741253109016</v>
      </c>
    </row>
    <row r="12" spans="2:9">
      <c r="B12" s="194" t="s">
        <v>316</v>
      </c>
      <c r="C12" s="192"/>
      <c r="D12" s="100">
        <f>D11*-'ASSUMPTION '!$F$11</f>
        <v>-8858.7759402479987</v>
      </c>
      <c r="E12" s="100">
        <f>E11*-'ASSUMPTION '!$F$11</f>
        <v>-9872.5866096379104</v>
      </c>
      <c r="F12" s="100">
        <f>F11*-'ASSUMPTION '!$F$11</f>
        <v>-11010.367862377008</v>
      </c>
      <c r="G12" s="100">
        <f>G11*-'ASSUMPTION '!$F$11</f>
        <v>-12289.906140705216</v>
      </c>
      <c r="H12" s="101">
        <f>H11*-'ASSUMPTION '!$F$11</f>
        <v>-13733.132725808344</v>
      </c>
    </row>
    <row r="13" spans="2:9">
      <c r="B13" s="194" t="s">
        <v>17</v>
      </c>
      <c r="C13" s="192"/>
      <c r="D13" s="100">
        <f>-FINANCIALS!F18</f>
        <v>3543.4718631999999</v>
      </c>
      <c r="E13" s="100">
        <f>-FINANCIALS!G18</f>
        <v>4237.0754427519996</v>
      </c>
      <c r="F13" s="100">
        <f>-FINANCIALS!H18</f>
        <v>5014.6591708415999</v>
      </c>
      <c r="G13" s="100">
        <f>-FINANCIALS!I18</f>
        <v>5876.2861235553301</v>
      </c>
      <c r="H13" s="101">
        <f>-FINANCIALS!J18</f>
        <v>6814.4381772298002</v>
      </c>
      <c r="I13" s="15"/>
    </row>
    <row r="14" spans="2:9">
      <c r="B14" s="194" t="s">
        <v>317</v>
      </c>
      <c r="C14" s="192"/>
      <c r="D14" s="100">
        <f>(FINANCIALS!F124-FINANCIALS!E124)*-1</f>
        <v>3604.3821325752215</v>
      </c>
      <c r="E14" s="100">
        <f>(FINANCIALS!G124-FINANCIALS!F124)*-1</f>
        <v>-2767.5695195503213</v>
      </c>
      <c r="F14" s="100">
        <f>(FINANCIALS!H124-FINANCIALS!G124)*-1</f>
        <v>-3105.5714177304762</v>
      </c>
      <c r="G14" s="100">
        <f>(FINANCIALS!I124-FINANCIALS!H124)*-1</f>
        <v>-3486.017346450386</v>
      </c>
      <c r="H14" s="101">
        <f>(FINANCIALS!J124-FINANCIALS!I124)*-1</f>
        <v>-3914.9639685502661</v>
      </c>
    </row>
    <row r="15" spans="2:9">
      <c r="B15" s="194" t="s">
        <v>100</v>
      </c>
      <c r="C15" s="192"/>
      <c r="D15" s="100">
        <f>FINANCIALS!F86</f>
        <v>-1880.7843509000002</v>
      </c>
      <c r="E15" s="100">
        <f>FINANCIALS!G86</f>
        <v>-1948.0874955183606</v>
      </c>
      <c r="F15" s="100">
        <f>FINANCIALS!H86</f>
        <v>-2094.8677712744379</v>
      </c>
      <c r="G15" s="100">
        <f>FINANCIALS!I86</f>
        <v>-2248.4489032710881</v>
      </c>
      <c r="H15" s="101">
        <f>FINANCIALS!J86</f>
        <v>-2408.3034000713751</v>
      </c>
    </row>
    <row r="16" spans="2:9">
      <c r="B16" s="195" t="s">
        <v>312</v>
      </c>
      <c r="C16" s="184"/>
      <c r="D16" s="185">
        <f>SUM(D11:D15)</f>
        <v>30480.508859427217</v>
      </c>
      <c r="E16" s="185">
        <f t="shared" ref="E16:H16" si="0">SUM(E11:E15)</f>
        <v>27620.318778191213</v>
      </c>
      <c r="F16" s="185">
        <f t="shared" si="0"/>
        <v>31151.420820909705</v>
      </c>
      <c r="G16" s="185">
        <f t="shared" si="0"/>
        <v>35120.783505071784</v>
      </c>
      <c r="H16" s="196">
        <f t="shared" si="0"/>
        <v>39577.779335908832</v>
      </c>
    </row>
    <row r="17" spans="2:8">
      <c r="B17" s="197"/>
      <c r="C17" s="198"/>
      <c r="D17" s="198"/>
      <c r="E17" s="198"/>
      <c r="F17" s="198"/>
      <c r="G17" s="198"/>
      <c r="H17" s="199"/>
    </row>
    <row r="20" spans="2:8" ht="21">
      <c r="B20" s="183" t="s">
        <v>318</v>
      </c>
    </row>
    <row r="22" spans="2:8">
      <c r="B22" s="269" t="s">
        <v>318</v>
      </c>
      <c r="C22" s="200">
        <v>2024</v>
      </c>
      <c r="D22" s="164" t="s">
        <v>3</v>
      </c>
      <c r="E22" s="164" t="s">
        <v>4</v>
      </c>
      <c r="F22" s="164" t="s">
        <v>5</v>
      </c>
      <c r="G22" s="164" t="s">
        <v>6</v>
      </c>
      <c r="H22" s="165" t="s">
        <v>7</v>
      </c>
    </row>
    <row r="23" spans="2:8">
      <c r="B23" s="194"/>
      <c r="C23" s="192"/>
      <c r="D23" s="192"/>
      <c r="E23" s="192"/>
      <c r="F23" s="192"/>
      <c r="G23" s="192"/>
      <c r="H23" s="193"/>
    </row>
    <row r="24" spans="2:8">
      <c r="B24" s="194" t="s">
        <v>27</v>
      </c>
      <c r="C24" s="192"/>
      <c r="D24" s="100">
        <f>D16</f>
        <v>30480.508859427217</v>
      </c>
      <c r="E24" s="100">
        <f t="shared" ref="E24:H24" si="1">E16</f>
        <v>27620.318778191213</v>
      </c>
      <c r="F24" s="100">
        <f t="shared" si="1"/>
        <v>31151.420820909705</v>
      </c>
      <c r="G24" s="100">
        <f t="shared" si="1"/>
        <v>35120.783505071784</v>
      </c>
      <c r="H24" s="101">
        <f t="shared" si="1"/>
        <v>39577.779335908832</v>
      </c>
    </row>
    <row r="25" spans="2:8">
      <c r="B25" s="194" t="s">
        <v>319</v>
      </c>
      <c r="C25" s="192"/>
      <c r="D25" s="192"/>
      <c r="E25" s="192"/>
      <c r="F25" s="192"/>
      <c r="G25" s="192"/>
      <c r="H25" s="101">
        <f>C42</f>
        <v>548207.87521907454</v>
      </c>
    </row>
    <row r="26" spans="2:8">
      <c r="B26" s="195" t="s">
        <v>320</v>
      </c>
      <c r="C26" s="184"/>
      <c r="D26" s="184"/>
      <c r="E26" s="184"/>
      <c r="F26" s="184"/>
      <c r="G26" s="184"/>
      <c r="H26" s="196">
        <f>SUM(H24:H25)</f>
        <v>587785.65455498337</v>
      </c>
    </row>
    <row r="27" spans="2:8">
      <c r="B27" s="194"/>
      <c r="C27" s="192"/>
      <c r="D27" s="192"/>
      <c r="E27" s="192"/>
      <c r="F27" s="192"/>
      <c r="G27" s="192"/>
      <c r="H27" s="193"/>
    </row>
    <row r="28" spans="2:8">
      <c r="B28" s="194" t="s">
        <v>321</v>
      </c>
      <c r="C28" s="192"/>
      <c r="D28" s="77">
        <f>1/(1+$C$8)^1</f>
        <v>0.89212034703481502</v>
      </c>
      <c r="E28" s="77">
        <f>1/(1+$C$8)^2</f>
        <v>0.79587871359351869</v>
      </c>
      <c r="F28" s="77">
        <f>1/(1+$C$8)^3</f>
        <v>0.71001959416867211</v>
      </c>
      <c r="G28" s="77">
        <f>1/(1+$C$8)^4</f>
        <v>0.63342292675127432</v>
      </c>
      <c r="H28" s="78">
        <f>1/(1+$C$8)^5</f>
        <v>0.56508948123315506</v>
      </c>
    </row>
    <row r="29" spans="2:8">
      <c r="B29" s="194"/>
      <c r="C29" s="192"/>
      <c r="D29" s="192"/>
      <c r="E29" s="192"/>
      <c r="F29" s="192"/>
      <c r="G29" s="192"/>
      <c r="H29" s="193"/>
    </row>
    <row r="30" spans="2:8">
      <c r="B30" s="194" t="s">
        <v>322</v>
      </c>
      <c r="C30" s="192"/>
      <c r="D30" s="100">
        <f>D24*D28</f>
        <v>27192.282141469961</v>
      </c>
      <c r="E30" s="100">
        <f t="shared" ref="E30:H30" si="2">E24*E28</f>
        <v>21982.423778229731</v>
      </c>
      <c r="F30" s="100">
        <f t="shared" si="2"/>
        <v>22118.11916903983</v>
      </c>
      <c r="G30" s="100">
        <f t="shared" si="2"/>
        <v>22246.309477580449</v>
      </c>
      <c r="H30" s="101">
        <f t="shared" si="2"/>
        <v>22364.986793289005</v>
      </c>
    </row>
    <row r="31" spans="2:8">
      <c r="B31" s="194" t="s">
        <v>323</v>
      </c>
      <c r="C31" s="192"/>
      <c r="D31" s="192"/>
      <c r="E31" s="192"/>
      <c r="F31" s="192"/>
      <c r="G31" s="192"/>
      <c r="H31" s="101">
        <f>H25*H28</f>
        <v>309786.50381547702</v>
      </c>
    </row>
    <row r="32" spans="2:8">
      <c r="B32" s="195" t="s">
        <v>324</v>
      </c>
      <c r="C32" s="184"/>
      <c r="D32" s="184"/>
      <c r="E32" s="184"/>
      <c r="F32" s="184"/>
      <c r="G32" s="184"/>
      <c r="H32" s="196">
        <f>H30+H31</f>
        <v>332151.49060876603</v>
      </c>
    </row>
    <row r="33" spans="2:8">
      <c r="B33" s="197"/>
      <c r="C33" s="198"/>
      <c r="D33" s="198"/>
      <c r="E33" s="198"/>
      <c r="F33" s="198"/>
      <c r="G33" s="198"/>
      <c r="H33" s="199"/>
    </row>
    <row r="34" spans="2:8">
      <c r="B34" s="192"/>
      <c r="C34" s="192"/>
      <c r="D34" s="192"/>
      <c r="E34" s="192"/>
      <c r="F34" s="192"/>
      <c r="G34" s="192"/>
      <c r="H34" s="192"/>
    </row>
    <row r="35" spans="2:8">
      <c r="B35" s="307" t="s">
        <v>325</v>
      </c>
      <c r="C35" s="308"/>
      <c r="D35" s="308"/>
      <c r="E35" s="308"/>
      <c r="F35" s="308"/>
      <c r="G35" s="308"/>
      <c r="H35" s="309"/>
    </row>
    <row r="36" spans="2:8">
      <c r="B36" s="194"/>
      <c r="C36" s="192"/>
      <c r="D36" s="192"/>
      <c r="E36" s="192"/>
      <c r="F36" s="192"/>
      <c r="G36" s="192"/>
      <c r="H36" s="193"/>
    </row>
    <row r="37" spans="2:8">
      <c r="B37" s="194"/>
      <c r="C37" s="192"/>
      <c r="D37" s="192"/>
      <c r="E37" s="192"/>
      <c r="F37" s="192"/>
      <c r="G37" s="192"/>
      <c r="H37" s="193"/>
    </row>
    <row r="38" spans="2:8">
      <c r="B38" s="282" t="s">
        <v>326</v>
      </c>
      <c r="C38" s="192"/>
      <c r="D38" s="192"/>
      <c r="E38" s="283" t="s">
        <v>15</v>
      </c>
      <c r="F38" s="192"/>
      <c r="G38" s="192"/>
      <c r="H38" s="193"/>
    </row>
    <row r="39" spans="2:8">
      <c r="B39" s="194" t="s">
        <v>327</v>
      </c>
      <c r="C39" s="100">
        <f>H24</f>
        <v>39577.779335908832</v>
      </c>
      <c r="D39" s="192"/>
      <c r="E39" s="192" t="s">
        <v>15</v>
      </c>
      <c r="F39" s="100">
        <f>FINANCIALS!J15</f>
        <v>59634.179430338816</v>
      </c>
      <c r="G39" s="192"/>
      <c r="H39" s="193"/>
    </row>
    <row r="40" spans="2:8">
      <c r="B40" s="194" t="s">
        <v>328</v>
      </c>
      <c r="C40" s="261">
        <f>C8</f>
        <v>0.120925</v>
      </c>
      <c r="D40" s="192"/>
      <c r="E40" s="192" t="s">
        <v>329</v>
      </c>
      <c r="F40" s="192">
        <v>15</v>
      </c>
      <c r="G40" s="192"/>
      <c r="H40" s="193"/>
    </row>
    <row r="41" spans="2:8">
      <c r="B41" s="194" t="s">
        <v>330</v>
      </c>
      <c r="C41" s="270">
        <v>0.04</v>
      </c>
      <c r="D41" s="192"/>
      <c r="E41" s="286" t="s">
        <v>331</v>
      </c>
      <c r="F41" s="294">
        <f>F39*F40</f>
        <v>894512.69145508227</v>
      </c>
      <c r="G41" s="192"/>
      <c r="H41" s="193"/>
    </row>
    <row r="42" spans="2:8">
      <c r="B42" s="195" t="s">
        <v>332</v>
      </c>
      <c r="C42" s="185">
        <f>(C39*(1+C40))/(C40-C41)</f>
        <v>548207.87521907454</v>
      </c>
      <c r="D42" s="192"/>
      <c r="E42" s="192"/>
      <c r="F42" s="285"/>
      <c r="G42" s="192"/>
      <c r="H42" s="193"/>
    </row>
    <row r="43" spans="2:8">
      <c r="B43" s="194"/>
      <c r="C43" s="192"/>
      <c r="D43" s="192"/>
      <c r="E43" s="286" t="s">
        <v>333</v>
      </c>
      <c r="F43" s="284">
        <f>PV(C8, 5,0,-F41)</f>
        <v>505479.71277082566</v>
      </c>
      <c r="G43" s="192"/>
      <c r="H43" s="193"/>
    </row>
    <row r="44" spans="2:8">
      <c r="B44" s="282" t="s">
        <v>334</v>
      </c>
      <c r="C44" s="192"/>
      <c r="D44" s="192"/>
      <c r="E44" s="287"/>
      <c r="F44" s="192"/>
      <c r="G44" s="192"/>
      <c r="H44" s="193"/>
    </row>
    <row r="45" spans="2:8">
      <c r="B45" s="194" t="s">
        <v>322</v>
      </c>
      <c r="C45" s="100">
        <f>SUM(D30:H30)</f>
        <v>115904.12135960898</v>
      </c>
      <c r="D45" s="192"/>
      <c r="E45" s="192"/>
      <c r="F45" s="192"/>
      <c r="G45" s="192"/>
      <c r="H45" s="193"/>
    </row>
    <row r="46" spans="2:8">
      <c r="B46" s="194" t="s">
        <v>335</v>
      </c>
      <c r="C46" s="100">
        <f>H31</f>
        <v>309786.50381547702</v>
      </c>
      <c r="D46" s="192"/>
      <c r="E46" s="192"/>
      <c r="F46" s="192"/>
      <c r="G46" s="192"/>
      <c r="H46" s="193"/>
    </row>
    <row r="47" spans="2:8">
      <c r="B47" s="195" t="s">
        <v>334</v>
      </c>
      <c r="C47" s="185">
        <f>SUM(C45:C46)</f>
        <v>425690.62517508597</v>
      </c>
      <c r="D47" s="192"/>
      <c r="E47" s="192"/>
      <c r="F47" s="192"/>
      <c r="G47" s="192"/>
      <c r="H47" s="193"/>
    </row>
    <row r="48" spans="2:8">
      <c r="B48" s="194"/>
      <c r="C48" s="192"/>
      <c r="D48" s="192"/>
      <c r="E48" s="192"/>
      <c r="F48" s="192"/>
      <c r="G48" s="192"/>
      <c r="H48" s="193"/>
    </row>
    <row r="49" spans="2:8">
      <c r="B49" s="51"/>
      <c r="C49" s="74"/>
      <c r="D49" s="74"/>
      <c r="E49" s="74"/>
      <c r="F49" s="74"/>
      <c r="G49" s="74"/>
      <c r="H49" s="53"/>
    </row>
  </sheetData>
  <mergeCells count="2">
    <mergeCell ref="D5:H5"/>
    <mergeCell ref="B35:H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opLeftCell="J117" zoomScale="43" workbookViewId="0">
      <selection activeCell="D5" sqref="D5"/>
    </sheetView>
  </sheetViews>
  <sheetFormatPr defaultRowHeight="14.45"/>
  <cols>
    <col min="3" max="3" width="26.140625" bestFit="1" customWidth="1"/>
    <col min="4" max="6" width="11.5703125" bestFit="1" customWidth="1"/>
    <col min="7" max="8" width="12" bestFit="1" customWidth="1"/>
  </cols>
  <sheetData>
    <row r="1" spans="1:8">
      <c r="A1" s="316" t="s">
        <v>32</v>
      </c>
      <c r="B1" s="316"/>
      <c r="C1" s="316"/>
    </row>
    <row r="2" spans="1:8">
      <c r="A2" s="316"/>
      <c r="B2" s="316"/>
      <c r="C2" s="316"/>
    </row>
    <row r="3" spans="1:8">
      <c r="A3" s="295"/>
      <c r="B3" s="295"/>
      <c r="C3" s="295"/>
    </row>
    <row r="4" spans="1:8">
      <c r="C4" s="215" t="s">
        <v>33</v>
      </c>
      <c r="D4" s="201" t="s">
        <v>34</v>
      </c>
      <c r="E4" s="201" t="s">
        <v>34</v>
      </c>
      <c r="F4" s="201" t="s">
        <v>34</v>
      </c>
      <c r="G4" s="201" t="s">
        <v>34</v>
      </c>
      <c r="H4" s="201" t="s">
        <v>34</v>
      </c>
    </row>
    <row r="5" spans="1:8">
      <c r="C5" s="202" t="s">
        <v>35</v>
      </c>
      <c r="D5" s="203">
        <v>2020</v>
      </c>
      <c r="E5" s="204">
        <v>2021</v>
      </c>
      <c r="F5" s="204">
        <v>2022</v>
      </c>
      <c r="G5" s="204">
        <v>2023</v>
      </c>
      <c r="H5" s="204">
        <v>2024</v>
      </c>
    </row>
    <row r="6" spans="1:8">
      <c r="C6" s="2"/>
      <c r="D6" s="295"/>
      <c r="E6" s="295"/>
      <c r="F6" s="295"/>
      <c r="G6" s="295"/>
      <c r="H6" s="295"/>
    </row>
    <row r="7" spans="1:8">
      <c r="A7" s="317" t="s">
        <v>36</v>
      </c>
      <c r="C7" s="3" t="s">
        <v>37</v>
      </c>
      <c r="D7" s="1"/>
      <c r="E7" s="1"/>
      <c r="F7" s="1"/>
      <c r="G7" s="1"/>
      <c r="H7" s="1"/>
    </row>
    <row r="8" spans="1:8">
      <c r="A8" s="317"/>
      <c r="C8" t="s">
        <v>38</v>
      </c>
      <c r="D8" s="211">
        <v>13562</v>
      </c>
      <c r="E8" s="113">
        <v>17612</v>
      </c>
      <c r="F8" s="113">
        <v>12270</v>
      </c>
      <c r="G8" s="113">
        <v>6534</v>
      </c>
      <c r="H8" s="113">
        <v>8191</v>
      </c>
    </row>
    <row r="9" spans="1:8">
      <c r="A9" s="317"/>
      <c r="C9" t="s">
        <v>39</v>
      </c>
      <c r="D9" s="211">
        <v>15459</v>
      </c>
      <c r="E9" s="113">
        <v>16394</v>
      </c>
      <c r="F9" s="113">
        <v>18966</v>
      </c>
      <c r="G9" s="114">
        <v>20773</v>
      </c>
      <c r="H9" s="114">
        <v>25152</v>
      </c>
    </row>
    <row r="10" spans="1:8">
      <c r="A10" s="317"/>
      <c r="C10" t="s">
        <v>40</v>
      </c>
      <c r="D10" s="211">
        <v>4006</v>
      </c>
      <c r="E10" s="114">
        <v>2037</v>
      </c>
      <c r="F10" s="114">
        <v>5467</v>
      </c>
      <c r="G10" s="113">
        <v>4476</v>
      </c>
      <c r="H10" s="113">
        <v>11307</v>
      </c>
    </row>
    <row r="11" spans="1:8">
      <c r="A11" s="317"/>
      <c r="C11" t="s">
        <v>41</v>
      </c>
      <c r="D11" s="114">
        <v>4705</v>
      </c>
      <c r="E11" s="114">
        <v>5455</v>
      </c>
      <c r="F11" s="114">
        <v>6799</v>
      </c>
      <c r="G11" s="114">
        <v>9379</v>
      </c>
      <c r="H11" s="114">
        <v>10337</v>
      </c>
    </row>
    <row r="12" spans="1:8">
      <c r="A12" s="317"/>
      <c r="C12" t="s">
        <v>42</v>
      </c>
      <c r="D12" s="114">
        <v>6088</v>
      </c>
      <c r="E12" s="114">
        <v>6784</v>
      </c>
      <c r="F12" s="114">
        <v>8935</v>
      </c>
      <c r="G12" s="114">
        <v>10920</v>
      </c>
      <c r="H12" s="114">
        <v>15965</v>
      </c>
    </row>
    <row r="13" spans="1:8">
      <c r="A13" s="317"/>
      <c r="C13" s="2" t="s">
        <v>43</v>
      </c>
      <c r="D13" s="117">
        <f t="shared" ref="D13:F13" si="0">SUM(D8:D12)</f>
        <v>43820</v>
      </c>
      <c r="E13" s="117">
        <f t="shared" si="0"/>
        <v>48282</v>
      </c>
      <c r="F13" s="117">
        <f t="shared" si="0"/>
        <v>52437</v>
      </c>
      <c r="G13" s="117">
        <f>SUM(G8:G12)</f>
        <v>52082</v>
      </c>
      <c r="H13" s="117">
        <f t="shared" ref="H13" si="1">SUM(H8:H12)</f>
        <v>70952</v>
      </c>
    </row>
    <row r="14" spans="1:8">
      <c r="A14" s="317"/>
      <c r="D14" s="114"/>
      <c r="E14" s="114"/>
      <c r="F14" s="114"/>
      <c r="G14" s="114"/>
      <c r="H14" s="114"/>
    </row>
    <row r="15" spans="1:8">
      <c r="A15" s="317"/>
      <c r="C15" t="s">
        <v>44</v>
      </c>
      <c r="D15" s="114">
        <v>14919</v>
      </c>
      <c r="E15" s="114">
        <v>15505</v>
      </c>
      <c r="F15" s="114">
        <v>15349</v>
      </c>
      <c r="G15" s="114">
        <v>15706</v>
      </c>
      <c r="H15" s="114">
        <v>14604</v>
      </c>
    </row>
    <row r="16" spans="1:8">
      <c r="A16" s="317"/>
      <c r="C16" t="s">
        <v>45</v>
      </c>
      <c r="D16" s="211">
        <v>13916</v>
      </c>
      <c r="E16" s="114">
        <v>22118</v>
      </c>
      <c r="F16" s="114">
        <v>22869</v>
      </c>
      <c r="G16" s="114">
        <v>23686</v>
      </c>
      <c r="H16" s="114">
        <v>23352</v>
      </c>
    </row>
    <row r="17" spans="1:8">
      <c r="A17" s="317"/>
      <c r="C17" t="s">
        <v>41</v>
      </c>
      <c r="D17" s="114">
        <v>911</v>
      </c>
      <c r="E17" s="114">
        <v>643</v>
      </c>
      <c r="F17" s="114">
        <v>761</v>
      </c>
      <c r="G17" s="114">
        <v>1380</v>
      </c>
      <c r="H17" s="114">
        <v>1790</v>
      </c>
    </row>
    <row r="18" spans="1:8">
      <c r="A18" s="317"/>
      <c r="C18" t="s">
        <v>46</v>
      </c>
      <c r="D18" s="114">
        <v>7475</v>
      </c>
      <c r="E18" s="114">
        <v>7391</v>
      </c>
      <c r="F18" s="114">
        <v>7971</v>
      </c>
      <c r="G18" s="114">
        <v>8483</v>
      </c>
      <c r="H18" s="114">
        <v>4252</v>
      </c>
    </row>
    <row r="19" spans="1:8">
      <c r="A19" s="317"/>
      <c r="C19" s="2" t="s">
        <v>47</v>
      </c>
      <c r="D19" s="117">
        <f>SUM(D15:D18)</f>
        <v>37221</v>
      </c>
      <c r="E19" s="117">
        <f t="shared" ref="E19:H19" si="2">SUM(E15:E18)</f>
        <v>45657</v>
      </c>
      <c r="F19" s="117">
        <f t="shared" si="2"/>
        <v>46950</v>
      </c>
      <c r="G19" s="117">
        <f t="shared" si="2"/>
        <v>49255</v>
      </c>
      <c r="H19" s="117">
        <f t="shared" si="2"/>
        <v>43998</v>
      </c>
    </row>
    <row r="20" spans="1:8">
      <c r="A20" s="317"/>
      <c r="D20" s="114"/>
      <c r="E20" s="114"/>
      <c r="F20" s="114"/>
      <c r="G20" s="114"/>
      <c r="H20" s="114"/>
    </row>
    <row r="21" spans="1:8">
      <c r="A21" s="317"/>
      <c r="C21" s="4" t="s">
        <v>48</v>
      </c>
      <c r="D21" s="116">
        <f>SUM(D13,D19)</f>
        <v>81041</v>
      </c>
      <c r="E21" s="116">
        <f t="shared" ref="E21:H21" si="3">SUM(E13,E19)</f>
        <v>93939</v>
      </c>
      <c r="F21" s="116">
        <f t="shared" si="3"/>
        <v>99387</v>
      </c>
      <c r="G21" s="116">
        <f t="shared" si="3"/>
        <v>101337</v>
      </c>
      <c r="H21" s="116">
        <f t="shared" si="3"/>
        <v>114950</v>
      </c>
    </row>
    <row r="22" spans="1:8">
      <c r="D22" s="114"/>
      <c r="E22" s="114"/>
      <c r="F22" s="114"/>
      <c r="G22" s="114"/>
      <c r="H22" s="114"/>
    </row>
    <row r="23" spans="1:8">
      <c r="A23" s="317" t="s">
        <v>49</v>
      </c>
      <c r="C23" s="3" t="s">
        <v>50</v>
      </c>
      <c r="D23" s="114"/>
      <c r="E23" s="114"/>
      <c r="F23" s="114"/>
      <c r="G23" s="114"/>
      <c r="H23" s="114"/>
    </row>
    <row r="24" spans="1:8">
      <c r="A24" s="317"/>
      <c r="C24" t="s">
        <v>51</v>
      </c>
      <c r="D24" s="114">
        <v>1529</v>
      </c>
      <c r="E24" s="114">
        <v>1562</v>
      </c>
      <c r="F24" s="114">
        <v>2669</v>
      </c>
      <c r="G24" s="114">
        <v>2426</v>
      </c>
      <c r="H24" s="114">
        <v>2493</v>
      </c>
    </row>
    <row r="25" spans="1:8">
      <c r="A25" s="317"/>
      <c r="C25" t="s">
        <v>52</v>
      </c>
      <c r="D25" s="114">
        <v>8326</v>
      </c>
      <c r="E25" s="114">
        <v>8846</v>
      </c>
      <c r="F25" s="114">
        <v>11827</v>
      </c>
      <c r="G25" s="114">
        <v>13410</v>
      </c>
      <c r="H25" s="114">
        <v>12486</v>
      </c>
    </row>
    <row r="26" spans="1:8">
      <c r="A26" s="317"/>
      <c r="C26" t="s">
        <v>53</v>
      </c>
      <c r="D26" s="114">
        <v>5365</v>
      </c>
      <c r="E26" s="114">
        <v>7214</v>
      </c>
      <c r="F26" s="114">
        <v>10480</v>
      </c>
      <c r="G26" s="114">
        <v>11606</v>
      </c>
      <c r="H26" s="114">
        <v>12107</v>
      </c>
    </row>
    <row r="27" spans="1:8">
      <c r="A27" s="317"/>
      <c r="C27" s="2" t="s">
        <v>54</v>
      </c>
      <c r="D27" s="117">
        <f>SUM(D24:D26)</f>
        <v>15220</v>
      </c>
      <c r="E27" s="117">
        <f t="shared" ref="E27:H27" si="4">SUM(E24:E26)</f>
        <v>17622</v>
      </c>
      <c r="F27" s="117">
        <f t="shared" si="4"/>
        <v>24976</v>
      </c>
      <c r="G27" s="117">
        <f t="shared" si="4"/>
        <v>27442</v>
      </c>
      <c r="H27" s="117">
        <f t="shared" si="4"/>
        <v>27086</v>
      </c>
    </row>
    <row r="28" spans="1:8">
      <c r="A28" s="317"/>
      <c r="D28" s="114"/>
      <c r="E28" s="114"/>
      <c r="F28" s="114"/>
      <c r="G28" s="114"/>
      <c r="H28" s="114"/>
    </row>
    <row r="29" spans="1:8">
      <c r="A29" s="317"/>
      <c r="C29" t="s">
        <v>55</v>
      </c>
      <c r="D29" s="114">
        <v>2824</v>
      </c>
      <c r="E29" s="114">
        <v>3626</v>
      </c>
      <c r="F29" s="114">
        <v>3904</v>
      </c>
      <c r="G29" s="114">
        <v>4870</v>
      </c>
      <c r="H29" s="114">
        <v>5029</v>
      </c>
    </row>
    <row r="30" spans="1:8">
      <c r="A30" s="317"/>
      <c r="C30" t="s">
        <v>56</v>
      </c>
      <c r="D30" s="114">
        <v>763</v>
      </c>
      <c r="E30" s="114">
        <v>1160</v>
      </c>
      <c r="F30" s="114">
        <v>1201</v>
      </c>
      <c r="G30" s="114">
        <v>1280</v>
      </c>
      <c r="H30" s="114">
        <v>1659</v>
      </c>
    </row>
    <row r="31" spans="1:8">
      <c r="A31" s="317"/>
      <c r="C31" s="2" t="s">
        <v>57</v>
      </c>
      <c r="D31" s="117">
        <f>SUM(D29:D30)</f>
        <v>3587</v>
      </c>
      <c r="E31" s="117">
        <f t="shared" ref="E31:H31" si="5">SUM(E29:E30)</f>
        <v>4786</v>
      </c>
      <c r="F31" s="117">
        <f t="shared" si="5"/>
        <v>5105</v>
      </c>
      <c r="G31" s="117">
        <f t="shared" si="5"/>
        <v>6150</v>
      </c>
      <c r="H31" s="117">
        <f t="shared" si="5"/>
        <v>6688</v>
      </c>
    </row>
    <row r="32" spans="1:8">
      <c r="A32" s="317"/>
      <c r="D32" s="114"/>
      <c r="E32" s="114"/>
      <c r="F32" s="114"/>
      <c r="G32" s="114"/>
      <c r="H32" s="114"/>
    </row>
    <row r="33" spans="1:8">
      <c r="A33" s="317"/>
      <c r="C33" s="2" t="s">
        <v>58</v>
      </c>
      <c r="D33" s="117">
        <f>D27+D31</f>
        <v>18807</v>
      </c>
      <c r="E33" s="117">
        <f t="shared" ref="E33:H33" si="6">E27+E31</f>
        <v>22408</v>
      </c>
      <c r="F33" s="117">
        <f t="shared" si="6"/>
        <v>30081</v>
      </c>
      <c r="G33" s="117">
        <f t="shared" si="6"/>
        <v>33592</v>
      </c>
      <c r="H33" s="117">
        <f t="shared" si="6"/>
        <v>33774</v>
      </c>
    </row>
    <row r="34" spans="1:8">
      <c r="D34" s="114"/>
      <c r="E34" s="114"/>
      <c r="F34" s="114"/>
      <c r="G34" s="114"/>
      <c r="H34" s="114"/>
    </row>
    <row r="35" spans="1:8">
      <c r="A35" s="317" t="s">
        <v>59</v>
      </c>
      <c r="C35" t="s">
        <v>60</v>
      </c>
      <c r="D35" s="211">
        <v>2129</v>
      </c>
      <c r="E35" s="113">
        <v>2130</v>
      </c>
      <c r="F35" s="113">
        <v>2103</v>
      </c>
      <c r="G35" s="113">
        <v>2074</v>
      </c>
      <c r="H35" s="113">
        <v>2075</v>
      </c>
    </row>
    <row r="36" spans="1:8">
      <c r="A36" s="317"/>
      <c r="C36" t="s">
        <v>61</v>
      </c>
      <c r="D36" s="211">
        <v>60105</v>
      </c>
      <c r="E36" s="113">
        <v>69401</v>
      </c>
      <c r="F36" s="113">
        <v>67203</v>
      </c>
      <c r="G36" s="113">
        <v>65671</v>
      </c>
      <c r="H36" s="113">
        <v>79101</v>
      </c>
    </row>
    <row r="37" spans="1:8">
      <c r="A37" s="317"/>
      <c r="C37" s="2" t="s">
        <v>62</v>
      </c>
      <c r="D37" s="212">
        <f t="shared" ref="D37:F37" si="7">SUM(D35:D36)</f>
        <v>62234</v>
      </c>
      <c r="E37" s="212">
        <f t="shared" si="7"/>
        <v>71531</v>
      </c>
      <c r="F37" s="212">
        <f t="shared" si="7"/>
        <v>69306</v>
      </c>
      <c r="G37" s="212">
        <f>SUM(G35:G36)</f>
        <v>67745</v>
      </c>
      <c r="H37" s="212">
        <f t="shared" ref="H37" si="8">SUM(H35:H36)</f>
        <v>81176</v>
      </c>
    </row>
    <row r="38" spans="1:8">
      <c r="D38" s="114"/>
      <c r="E38" s="114"/>
      <c r="F38" s="114"/>
      <c r="G38" s="114"/>
      <c r="H38" s="114"/>
    </row>
    <row r="39" spans="1:8">
      <c r="C39" s="4" t="s">
        <v>63</v>
      </c>
      <c r="D39" s="116">
        <f>D33+D37</f>
        <v>81041</v>
      </c>
      <c r="E39" s="116">
        <f t="shared" ref="E39:H39" si="9">E33+E37</f>
        <v>93939</v>
      </c>
      <c r="F39" s="116">
        <f t="shared" si="9"/>
        <v>99387</v>
      </c>
      <c r="G39" s="116">
        <f t="shared" si="9"/>
        <v>101337</v>
      </c>
      <c r="H39" s="116">
        <f t="shared" si="9"/>
        <v>114950</v>
      </c>
    </row>
    <row r="40" spans="1:8">
      <c r="D40" s="6"/>
      <c r="E40" s="6"/>
      <c r="F40" s="6"/>
      <c r="G40" s="6"/>
      <c r="H40" s="6"/>
    </row>
    <row r="41" spans="1:8">
      <c r="C41" s="2" t="s">
        <v>64</v>
      </c>
      <c r="D41" s="213" t="str">
        <f t="shared" ref="D41:F41" si="10">IF(D21=D39,"BALANCED","")</f>
        <v>BALANCED</v>
      </c>
      <c r="E41" s="213" t="str">
        <f t="shared" si="10"/>
        <v>BALANCED</v>
      </c>
      <c r="F41" s="213" t="str">
        <f t="shared" si="10"/>
        <v>BALANCED</v>
      </c>
      <c r="G41" s="213" t="str">
        <f>IF(G21=G39,"BALANCED","")</f>
        <v>BALANCED</v>
      </c>
      <c r="H41" s="213" t="str">
        <f t="shared" ref="H41" si="11">IF(H21=H39,"BALANCED","")</f>
        <v>BALANCED</v>
      </c>
    </row>
    <row r="42" spans="1:8">
      <c r="D42" s="6"/>
      <c r="E42" s="6"/>
      <c r="F42" s="6"/>
      <c r="G42" s="6"/>
      <c r="H42" s="6"/>
    </row>
    <row r="43" spans="1:8">
      <c r="A43" s="317" t="s">
        <v>65</v>
      </c>
      <c r="C43" s="7" t="s">
        <v>66</v>
      </c>
      <c r="D43" s="8"/>
      <c r="E43" s="8"/>
      <c r="F43" s="8"/>
      <c r="G43" s="8"/>
      <c r="H43" s="8"/>
    </row>
    <row r="44" spans="1:8">
      <c r="A44" s="317"/>
      <c r="C44" t="s">
        <v>67</v>
      </c>
      <c r="D44" s="15">
        <v>427.7030249</v>
      </c>
      <c r="E44" s="15">
        <v>425.943895</v>
      </c>
      <c r="F44" s="15">
        <v>422.43395620000001</v>
      </c>
      <c r="G44" s="15">
        <v>419.38138809999998</v>
      </c>
      <c r="H44" s="15">
        <v>415.00997960000001</v>
      </c>
    </row>
    <row r="45" spans="1:8">
      <c r="A45" s="317"/>
      <c r="C45" t="s">
        <v>68</v>
      </c>
      <c r="D45" s="15">
        <v>427.98088259999997</v>
      </c>
      <c r="E45" s="15">
        <v>426.30925139999999</v>
      </c>
      <c r="F45" s="15">
        <v>422.95463280000001</v>
      </c>
      <c r="G45" s="15">
        <v>419.82343780000002</v>
      </c>
      <c r="H45" s="15">
        <v>415.3994624</v>
      </c>
    </row>
    <row r="46" spans="1:8">
      <c r="A46" s="317"/>
      <c r="C46" t="s">
        <v>69</v>
      </c>
      <c r="D46" s="15">
        <v>751</v>
      </c>
      <c r="E46" s="15">
        <v>1253</v>
      </c>
      <c r="F46" s="15">
        <v>1791</v>
      </c>
      <c r="G46" s="15">
        <v>1525</v>
      </c>
      <c r="H46" s="15">
        <v>1588</v>
      </c>
    </row>
    <row r="47" spans="1:8">
      <c r="A47" s="317"/>
      <c r="C47" t="s">
        <v>70</v>
      </c>
      <c r="D47" s="15">
        <v>5</v>
      </c>
      <c r="E47" s="15">
        <v>5</v>
      </c>
      <c r="F47" s="15">
        <v>5</v>
      </c>
      <c r="G47" s="15">
        <v>5</v>
      </c>
      <c r="H47" s="15">
        <v>5</v>
      </c>
    </row>
    <row r="48" spans="1:8">
      <c r="A48" s="317"/>
      <c r="C48" t="s">
        <v>71</v>
      </c>
      <c r="D48" s="15">
        <f>(D21-D33)/D44</f>
        <v>145.5075049201505</v>
      </c>
      <c r="E48" s="15">
        <f>(E21-E33)/E44</f>
        <v>167.9352629294053</v>
      </c>
      <c r="F48" s="15">
        <f>(F21-F33)/F44</f>
        <v>164.06351568761508</v>
      </c>
      <c r="G48" s="15">
        <f>(G21-G33)/G44</f>
        <v>161.53554240191139</v>
      </c>
      <c r="H48" s="15">
        <f>(H21-H33)/H44</f>
        <v>195.6001156363518</v>
      </c>
    </row>
    <row r="49" spans="1:8">
      <c r="A49" s="317"/>
      <c r="C49" t="s">
        <v>72</v>
      </c>
      <c r="D49" s="15">
        <v>18.5</v>
      </c>
      <c r="E49" s="15">
        <v>21.5</v>
      </c>
      <c r="F49" s="15">
        <v>30</v>
      </c>
      <c r="G49" s="15">
        <v>32.5</v>
      </c>
      <c r="H49" s="15">
        <v>35.5</v>
      </c>
    </row>
    <row r="50" spans="1:8">
      <c r="A50" s="317"/>
      <c r="C50" t="s">
        <v>73</v>
      </c>
      <c r="D50" s="5">
        <f>(D44*D49)/'INCOME STATEMENT'!D16</f>
        <v>0.50907199129189984</v>
      </c>
      <c r="E50" s="5">
        <f>(E44*E49)/'INCOME STATEMENT'!E16</f>
        <v>0.50741321711546983</v>
      </c>
      <c r="F50" s="5">
        <f>(F44*F49)/'INCOME STATEMENT'!F16</f>
        <v>0.5967986195432069</v>
      </c>
      <c r="G50" s="5">
        <f>(G44*G49)/'INCOME STATEMENT'!G16</f>
        <v>0.58577854191378709</v>
      </c>
      <c r="H50" s="5">
        <f>(H44*H49)/'INCOME STATEMENT'!H16</f>
        <v>0.54097283820959097</v>
      </c>
    </row>
  </sheetData>
  <mergeCells count="5">
    <mergeCell ref="A1:C2"/>
    <mergeCell ref="A7:A21"/>
    <mergeCell ref="A23:A33"/>
    <mergeCell ref="A35:A37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412F-2CD7-4C78-91A1-D32CC8D70257}">
  <dimension ref="A1:H27"/>
  <sheetViews>
    <sheetView workbookViewId="0">
      <selection activeCell="C83" sqref="C83"/>
    </sheetView>
  </sheetViews>
  <sheetFormatPr defaultRowHeight="14.45"/>
  <cols>
    <col min="3" max="3" width="25.140625" bestFit="1" customWidth="1"/>
    <col min="4" max="5" width="12.28515625" bestFit="1" customWidth="1"/>
    <col min="6" max="8" width="13.42578125" bestFit="1" customWidth="1"/>
  </cols>
  <sheetData>
    <row r="1" spans="1:8">
      <c r="A1" s="316" t="s">
        <v>74</v>
      </c>
      <c r="B1" s="316"/>
      <c r="C1" s="316"/>
      <c r="D1" s="1"/>
    </row>
    <row r="2" spans="1:8">
      <c r="A2" s="316"/>
      <c r="B2" s="316"/>
      <c r="C2" s="316"/>
      <c r="D2" s="1"/>
    </row>
    <row r="3" spans="1:8">
      <c r="D3" s="318"/>
      <c r="E3" s="318"/>
      <c r="F3" s="318"/>
      <c r="G3" s="318"/>
      <c r="H3" s="318"/>
    </row>
    <row r="4" spans="1:8">
      <c r="C4" s="216" t="s">
        <v>33</v>
      </c>
      <c r="D4" s="10" t="s">
        <v>34</v>
      </c>
      <c r="E4" s="10" t="s">
        <v>34</v>
      </c>
      <c r="F4" s="10" t="s">
        <v>34</v>
      </c>
      <c r="G4" s="10" t="s">
        <v>34</v>
      </c>
      <c r="H4" s="10" t="s">
        <v>34</v>
      </c>
    </row>
    <row r="5" spans="1:8">
      <c r="C5" s="9" t="s">
        <v>35</v>
      </c>
      <c r="D5" s="11">
        <v>2020</v>
      </c>
      <c r="E5" s="11">
        <v>2021</v>
      </c>
      <c r="F5" s="11">
        <v>2022</v>
      </c>
      <c r="G5" s="11">
        <v>2023</v>
      </c>
      <c r="H5" s="11">
        <v>2024</v>
      </c>
    </row>
    <row r="7" spans="1:8">
      <c r="A7" s="317" t="s">
        <v>75</v>
      </c>
      <c r="C7" s="208" t="s">
        <v>9</v>
      </c>
      <c r="D7" s="113">
        <v>79047</v>
      </c>
      <c r="E7" s="113">
        <v>85912</v>
      </c>
      <c r="F7" s="113">
        <v>103940</v>
      </c>
      <c r="G7" s="113">
        <v>124014</v>
      </c>
      <c r="H7" s="113">
        <v>128933</v>
      </c>
    </row>
    <row r="8" spans="1:8">
      <c r="A8" s="317"/>
      <c r="C8" s="208" t="s">
        <v>76</v>
      </c>
      <c r="D8" s="113">
        <v>-52816</v>
      </c>
      <c r="E8" s="113">
        <v>-55541</v>
      </c>
      <c r="F8" s="113">
        <v>-69629</v>
      </c>
      <c r="G8" s="113">
        <v>-85762</v>
      </c>
      <c r="H8" s="113">
        <v>-89032</v>
      </c>
    </row>
    <row r="9" spans="1:8">
      <c r="A9" s="317"/>
      <c r="C9" s="208" t="s">
        <v>14</v>
      </c>
      <c r="D9" s="115">
        <v>-8340</v>
      </c>
      <c r="E9" s="113">
        <v>-8235</v>
      </c>
      <c r="F9" s="113">
        <v>-8912</v>
      </c>
      <c r="G9" s="113">
        <v>-10311</v>
      </c>
      <c r="H9" s="113">
        <v>-11088</v>
      </c>
    </row>
    <row r="10" spans="1:8">
      <c r="C10" s="209" t="s">
        <v>77</v>
      </c>
      <c r="D10" s="116">
        <f>SUM(D7:D9)</f>
        <v>17891</v>
      </c>
      <c r="E10" s="116">
        <f t="shared" ref="E10:H10" si="0">SUM(E7:E9)</f>
        <v>22136</v>
      </c>
      <c r="F10" s="116">
        <f t="shared" si="0"/>
        <v>25399</v>
      </c>
      <c r="G10" s="116">
        <f t="shared" si="0"/>
        <v>27941</v>
      </c>
      <c r="H10" s="116">
        <f t="shared" si="0"/>
        <v>28813</v>
      </c>
    </row>
    <row r="11" spans="1:8">
      <c r="C11" s="208"/>
      <c r="D11" s="114"/>
      <c r="E11" s="114"/>
      <c r="F11" s="114"/>
      <c r="G11" s="114"/>
      <c r="H11" s="114"/>
    </row>
    <row r="12" spans="1:8">
      <c r="A12" s="317" t="s">
        <v>78</v>
      </c>
      <c r="C12" s="208" t="s">
        <v>20</v>
      </c>
      <c r="D12" s="115">
        <v>2700</v>
      </c>
      <c r="E12" s="113">
        <v>2467</v>
      </c>
      <c r="F12" s="113">
        <v>3224</v>
      </c>
      <c r="G12" s="113">
        <v>3859</v>
      </c>
      <c r="H12" s="113">
        <v>7417</v>
      </c>
    </row>
    <row r="13" spans="1:8">
      <c r="A13" s="317"/>
      <c r="C13" s="208" t="s">
        <v>79</v>
      </c>
      <c r="D13" s="114">
        <v>0</v>
      </c>
      <c r="E13" s="114">
        <v>0</v>
      </c>
      <c r="F13" s="114">
        <v>0</v>
      </c>
      <c r="G13" s="114">
        <v>0</v>
      </c>
      <c r="H13" s="114">
        <v>0</v>
      </c>
    </row>
    <row r="14" spans="1:8">
      <c r="A14" s="317"/>
      <c r="C14" s="208" t="s">
        <v>23</v>
      </c>
      <c r="D14" s="115">
        <v>-114</v>
      </c>
      <c r="E14" s="113">
        <v>-126</v>
      </c>
      <c r="F14" s="113">
        <v>-128</v>
      </c>
      <c r="G14" s="113">
        <v>-157</v>
      </c>
      <c r="H14" s="113">
        <v>-277</v>
      </c>
    </row>
    <row r="15" spans="1:8">
      <c r="A15" s="317"/>
      <c r="C15" s="208" t="s">
        <v>28</v>
      </c>
      <c r="D15" s="115">
        <v>-4934</v>
      </c>
      <c r="E15" s="113">
        <v>-6429</v>
      </c>
      <c r="F15" s="113">
        <v>-7260</v>
      </c>
      <c r="G15" s="113">
        <v>-8375</v>
      </c>
      <c r="H15" s="113">
        <v>-8719</v>
      </c>
    </row>
    <row r="16" spans="1:8">
      <c r="C16" s="209" t="s">
        <v>80</v>
      </c>
      <c r="D16" s="116">
        <f>SUM(D10,D12:D15)</f>
        <v>15543</v>
      </c>
      <c r="E16" s="116">
        <f t="shared" ref="E16:H16" si="1">SUM(E10,E12:E15)</f>
        <v>18048</v>
      </c>
      <c r="F16" s="116">
        <f t="shared" si="1"/>
        <v>21235</v>
      </c>
      <c r="G16" s="116">
        <f t="shared" si="1"/>
        <v>23268</v>
      </c>
      <c r="H16" s="116">
        <f t="shared" si="1"/>
        <v>27234</v>
      </c>
    </row>
    <row r="17" spans="1:8">
      <c r="C17" s="208"/>
      <c r="D17" s="114"/>
      <c r="E17" s="114"/>
      <c r="F17" s="114"/>
      <c r="G17" s="114"/>
      <c r="H17" s="114"/>
    </row>
    <row r="18" spans="1:8">
      <c r="A18" s="317" t="s">
        <v>65</v>
      </c>
      <c r="C18" s="210" t="s">
        <v>81</v>
      </c>
      <c r="D18" s="205"/>
      <c r="E18" s="205"/>
      <c r="F18" s="205"/>
      <c r="G18" s="205"/>
      <c r="H18" s="205"/>
    </row>
    <row r="19" spans="1:8">
      <c r="A19" s="317"/>
      <c r="C19" s="208" t="s">
        <v>82</v>
      </c>
      <c r="D19" s="114">
        <v>2144</v>
      </c>
      <c r="E19" s="114">
        <v>2321</v>
      </c>
      <c r="F19" s="114">
        <v>2429</v>
      </c>
      <c r="G19" s="114">
        <v>2753</v>
      </c>
      <c r="H19" s="114">
        <v>2944</v>
      </c>
    </row>
    <row r="20" spans="1:8">
      <c r="A20" s="317"/>
      <c r="C20" s="208" t="s">
        <v>83</v>
      </c>
      <c r="D20" s="114">
        <f>SUM(D7:D8)</f>
        <v>26231</v>
      </c>
      <c r="E20" s="114">
        <f t="shared" ref="E20:H20" si="2">SUM(E7:E8)</f>
        <v>30371</v>
      </c>
      <c r="F20" s="114">
        <f t="shared" si="2"/>
        <v>34311</v>
      </c>
      <c r="G20" s="114">
        <f t="shared" si="2"/>
        <v>38252</v>
      </c>
      <c r="H20" s="114">
        <f t="shared" si="2"/>
        <v>39901</v>
      </c>
    </row>
    <row r="21" spans="1:8">
      <c r="A21" s="317"/>
      <c r="C21" s="208" t="s">
        <v>15</v>
      </c>
      <c r="D21" s="114">
        <f>D10+D19</f>
        <v>20035</v>
      </c>
      <c r="E21" s="114">
        <f t="shared" ref="E21:H21" si="3">E10+E19</f>
        <v>24457</v>
      </c>
      <c r="F21" s="114">
        <f t="shared" si="3"/>
        <v>27828</v>
      </c>
      <c r="G21" s="114">
        <f t="shared" si="3"/>
        <v>30694</v>
      </c>
      <c r="H21" s="114">
        <f t="shared" si="3"/>
        <v>31757</v>
      </c>
    </row>
    <row r="22" spans="1:8">
      <c r="A22" s="317"/>
      <c r="C22" s="208" t="s">
        <v>84</v>
      </c>
      <c r="D22" s="206">
        <f>D16/'BALANCE SHEET '!D44</f>
        <v>36.340636130955737</v>
      </c>
      <c r="E22" s="206">
        <f>E16/'BALANCE SHEET '!E44</f>
        <v>42.371777625783324</v>
      </c>
      <c r="F22" s="206">
        <f>F16/'BALANCE SHEET '!F44</f>
        <v>50.268212790039911</v>
      </c>
      <c r="G22" s="206">
        <f>G16/'BALANCE SHEET '!G44</f>
        <v>55.481718216955848</v>
      </c>
      <c r="H22" s="206">
        <f>H16/'BALANCE SHEET '!H44</f>
        <v>65.62251834582149</v>
      </c>
    </row>
    <row r="23" spans="1:8">
      <c r="A23" s="317"/>
      <c r="C23" s="208" t="s">
        <v>85</v>
      </c>
      <c r="D23" s="206">
        <f>D16/'BALANCE SHEET '!D45</f>
        <v>36.31704272764636</v>
      </c>
      <c r="E23" s="206">
        <f>E16/'BALANCE SHEET '!E45</f>
        <v>42.33546408089984</v>
      </c>
      <c r="F23" s="206">
        <f>F16/'BALANCE SHEET '!F45</f>
        <v>50.206330308814152</v>
      </c>
      <c r="G23" s="206">
        <f>G16/'BALANCE SHEET '!G45</f>
        <v>55.423299189609942</v>
      </c>
      <c r="H23" s="206">
        <f>H16/'BALANCE SHEET '!H45</f>
        <v>65.560989999008726</v>
      </c>
    </row>
    <row r="24" spans="1:8">
      <c r="A24" s="317"/>
      <c r="C24" s="208" t="s">
        <v>86</v>
      </c>
      <c r="D24" s="207">
        <v>0.24099999999999999</v>
      </c>
      <c r="E24" s="207">
        <v>0.26300000000000001</v>
      </c>
      <c r="F24" s="207">
        <v>0.255</v>
      </c>
      <c r="G24" s="207">
        <v>0.26500000000000001</v>
      </c>
      <c r="H24" s="207">
        <v>0.24299999999999999</v>
      </c>
    </row>
    <row r="26" spans="1:8">
      <c r="D26" s="6"/>
      <c r="E26" s="6"/>
      <c r="F26" s="6"/>
      <c r="G26" s="6"/>
      <c r="H26" s="6"/>
    </row>
    <row r="27" spans="1:8">
      <c r="D27" s="6"/>
      <c r="E27" s="6"/>
      <c r="F27" s="6"/>
      <c r="G27" s="6"/>
      <c r="H27" s="6"/>
    </row>
  </sheetData>
  <mergeCells count="5">
    <mergeCell ref="A1:C2"/>
    <mergeCell ref="D3:H3"/>
    <mergeCell ref="A18:A24"/>
    <mergeCell ref="A12:A15"/>
    <mergeCell ref="A7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A87-84B9-46F3-9E94-618351D3D74B}">
  <dimension ref="A1:H40"/>
  <sheetViews>
    <sheetView topLeftCell="A11" zoomScale="77" workbookViewId="0">
      <selection activeCell="H72" sqref="H72"/>
    </sheetView>
  </sheetViews>
  <sheetFormatPr defaultRowHeight="14.45"/>
  <cols>
    <col min="3" max="3" width="36.5703125" bestFit="1" customWidth="1"/>
    <col min="4" max="6" width="11.5703125" bestFit="1" customWidth="1"/>
    <col min="7" max="7" width="11" bestFit="1" customWidth="1"/>
    <col min="8" max="8" width="11.140625" bestFit="1" customWidth="1"/>
  </cols>
  <sheetData>
    <row r="1" spans="1:8">
      <c r="A1" s="316" t="s">
        <v>87</v>
      </c>
      <c r="B1" s="316"/>
      <c r="C1" s="316"/>
    </row>
    <row r="2" spans="1:8">
      <c r="A2" s="316"/>
      <c r="B2" s="316"/>
      <c r="C2" s="316"/>
    </row>
    <row r="4" spans="1:8">
      <c r="C4" s="216" t="s">
        <v>33</v>
      </c>
      <c r="D4" s="10" t="s">
        <v>34</v>
      </c>
      <c r="E4" s="10" t="s">
        <v>34</v>
      </c>
      <c r="F4" s="10" t="s">
        <v>34</v>
      </c>
      <c r="G4" s="10" t="s">
        <v>34</v>
      </c>
      <c r="H4" s="10" t="s">
        <v>34</v>
      </c>
    </row>
    <row r="5" spans="1:8">
      <c r="C5" s="9" t="s">
        <v>35</v>
      </c>
      <c r="D5" s="11">
        <v>2020</v>
      </c>
      <c r="E5" s="11">
        <v>2021</v>
      </c>
      <c r="F5" s="11">
        <v>2022</v>
      </c>
      <c r="G5" s="11">
        <v>2023</v>
      </c>
      <c r="H5" s="11">
        <v>2024</v>
      </c>
    </row>
    <row r="7" spans="1:8">
      <c r="A7" s="317" t="s">
        <v>88</v>
      </c>
      <c r="C7" s="3" t="s">
        <v>89</v>
      </c>
    </row>
    <row r="8" spans="1:8">
      <c r="A8" s="317"/>
      <c r="C8" t="s">
        <v>80</v>
      </c>
      <c r="D8" s="114">
        <f>'INCOME STATEMENT'!D16</f>
        <v>15543</v>
      </c>
      <c r="E8" s="114">
        <f>'INCOME STATEMENT'!E16</f>
        <v>18048</v>
      </c>
      <c r="F8" s="114">
        <f>'INCOME STATEMENT'!F16</f>
        <v>21235</v>
      </c>
      <c r="G8" s="114">
        <f>'INCOME STATEMENT'!G16</f>
        <v>23268</v>
      </c>
      <c r="H8" s="114">
        <f>'INCOME STATEMENT'!H16</f>
        <v>27234</v>
      </c>
    </row>
    <row r="9" spans="1:8">
      <c r="A9" s="317"/>
      <c r="C9" t="s">
        <v>90</v>
      </c>
      <c r="D9" s="115">
        <v>2288</v>
      </c>
      <c r="E9" s="113">
        <v>2724</v>
      </c>
      <c r="F9" s="113">
        <v>2633</v>
      </c>
      <c r="G9" s="113">
        <v>2941</v>
      </c>
      <c r="H9" s="113">
        <v>3214</v>
      </c>
    </row>
    <row r="10" spans="1:8">
      <c r="A10" s="317"/>
      <c r="C10" t="s">
        <v>91</v>
      </c>
      <c r="D10" s="115">
        <v>4934</v>
      </c>
      <c r="E10" s="113">
        <v>6429</v>
      </c>
      <c r="F10" s="113">
        <v>7260</v>
      </c>
      <c r="G10" s="113">
        <v>8375</v>
      </c>
      <c r="H10" s="113">
        <v>8719</v>
      </c>
    </row>
    <row r="11" spans="1:8">
      <c r="A11" s="317"/>
      <c r="C11" t="s">
        <v>92</v>
      </c>
      <c r="D11" s="115">
        <v>114</v>
      </c>
      <c r="E11" s="113">
        <v>126</v>
      </c>
      <c r="F11" s="113">
        <v>128</v>
      </c>
      <c r="G11" s="113">
        <v>157</v>
      </c>
      <c r="H11" s="113">
        <v>277</v>
      </c>
    </row>
    <row r="12" spans="1:8">
      <c r="A12" s="317"/>
      <c r="C12" t="s">
        <v>93</v>
      </c>
      <c r="D12" s="114">
        <v>-1502</v>
      </c>
      <c r="E12" s="114">
        <v>-1795</v>
      </c>
      <c r="F12" s="114">
        <v>-2617</v>
      </c>
      <c r="G12" s="114">
        <v>-3028</v>
      </c>
      <c r="H12" s="114">
        <v>-4670</v>
      </c>
    </row>
    <row r="13" spans="1:8">
      <c r="A13" s="317"/>
      <c r="C13" t="s">
        <v>94</v>
      </c>
      <c r="D13" s="114">
        <v>-22</v>
      </c>
      <c r="E13" s="113">
        <v>250</v>
      </c>
      <c r="F13" s="113">
        <v>444</v>
      </c>
      <c r="G13" s="113">
        <v>494</v>
      </c>
      <c r="H13" s="113">
        <v>-1124</v>
      </c>
    </row>
    <row r="14" spans="1:8">
      <c r="A14" s="317"/>
      <c r="C14" t="s">
        <v>95</v>
      </c>
      <c r="D14" s="114">
        <v>-1902</v>
      </c>
      <c r="E14" s="113">
        <v>181</v>
      </c>
      <c r="F14" s="113">
        <v>-251</v>
      </c>
      <c r="G14" s="114">
        <v>-5231</v>
      </c>
      <c r="H14" s="114">
        <v>-4628</v>
      </c>
    </row>
    <row r="15" spans="1:8">
      <c r="A15" s="317"/>
      <c r="C15" t="s">
        <v>96</v>
      </c>
      <c r="D15" s="115">
        <v>-3881</v>
      </c>
      <c r="E15" s="114">
        <v>-6061</v>
      </c>
      <c r="F15" s="114">
        <v>-6736</v>
      </c>
      <c r="G15" s="114">
        <v>-7807</v>
      </c>
      <c r="H15" s="114">
        <v>-8235</v>
      </c>
    </row>
    <row r="16" spans="1:8">
      <c r="A16" s="317"/>
      <c r="C16" s="4" t="s">
        <v>97</v>
      </c>
      <c r="D16" s="116">
        <f>SUM(D8:D15)</f>
        <v>15572</v>
      </c>
      <c r="E16" s="116">
        <f t="shared" ref="E16:H16" si="0">SUM(E8:E15)</f>
        <v>19902</v>
      </c>
      <c r="F16" s="116">
        <f t="shared" si="0"/>
        <v>22096</v>
      </c>
      <c r="G16" s="116">
        <f t="shared" si="0"/>
        <v>19169</v>
      </c>
      <c r="H16" s="116">
        <f t="shared" si="0"/>
        <v>20787</v>
      </c>
    </row>
    <row r="17" spans="1:8">
      <c r="D17" s="114"/>
      <c r="E17" s="114"/>
      <c r="F17" s="114"/>
      <c r="G17" s="114"/>
      <c r="H17" s="114"/>
    </row>
    <row r="18" spans="1:8">
      <c r="A18" s="317" t="s">
        <v>98</v>
      </c>
      <c r="C18" s="3" t="s">
        <v>99</v>
      </c>
      <c r="D18" s="114"/>
      <c r="E18" s="114"/>
      <c r="F18" s="114"/>
      <c r="G18" s="114"/>
      <c r="H18" s="114"/>
    </row>
    <row r="19" spans="1:8">
      <c r="A19" s="317"/>
      <c r="C19" t="s">
        <v>100</v>
      </c>
      <c r="D19" s="114">
        <v>-3063</v>
      </c>
      <c r="E19" s="114">
        <v>-1720</v>
      </c>
      <c r="F19" s="114">
        <v>-1787</v>
      </c>
      <c r="G19" s="114">
        <v>-2130</v>
      </c>
      <c r="H19" s="114">
        <v>-1832</v>
      </c>
    </row>
    <row r="20" spans="1:8">
      <c r="A20" s="317"/>
      <c r="C20" s="12" t="s">
        <v>101</v>
      </c>
      <c r="D20" s="114">
        <v>-880</v>
      </c>
      <c r="E20" s="114">
        <v>-336</v>
      </c>
      <c r="F20" s="114">
        <v>-672</v>
      </c>
      <c r="G20" s="114">
        <v>-668</v>
      </c>
      <c r="H20" s="114">
        <v>-684</v>
      </c>
    </row>
    <row r="21" spans="1:8">
      <c r="A21" s="317"/>
      <c r="C21" s="12" t="s">
        <v>102</v>
      </c>
      <c r="D21" s="114">
        <v>-35062</v>
      </c>
      <c r="E21" s="114">
        <v>-44419</v>
      </c>
      <c r="F21" s="114">
        <v>-57079</v>
      </c>
      <c r="G21" s="114">
        <v>-77664</v>
      </c>
      <c r="H21" s="114">
        <v>-75613</v>
      </c>
    </row>
    <row r="22" spans="1:8">
      <c r="A22" s="317"/>
      <c r="C22" s="13" t="s">
        <v>103</v>
      </c>
      <c r="D22" s="113">
        <v>36775</v>
      </c>
      <c r="E22" s="113">
        <v>38645</v>
      </c>
      <c r="F22" s="113">
        <v>53574</v>
      </c>
      <c r="G22" s="114">
        <v>78441</v>
      </c>
      <c r="H22" s="114">
        <v>70213</v>
      </c>
    </row>
    <row r="23" spans="1:8">
      <c r="A23" s="317"/>
      <c r="C23" s="13" t="s">
        <v>104</v>
      </c>
      <c r="D23" s="113">
        <v>1817</v>
      </c>
      <c r="E23" s="113">
        <v>1661</v>
      </c>
      <c r="F23" s="113">
        <v>2876</v>
      </c>
      <c r="G23" s="113">
        <v>2762</v>
      </c>
      <c r="H23" s="113">
        <v>4417</v>
      </c>
    </row>
    <row r="24" spans="1:8">
      <c r="A24" s="317"/>
      <c r="C24" s="13" t="s">
        <v>105</v>
      </c>
      <c r="D24" s="113">
        <v>297</v>
      </c>
      <c r="E24" s="114">
        <v>-140</v>
      </c>
      <c r="F24" s="114">
        <v>-62</v>
      </c>
      <c r="G24" s="113">
        <v>80</v>
      </c>
      <c r="H24" s="113">
        <v>238</v>
      </c>
    </row>
    <row r="25" spans="1:8">
      <c r="A25" s="317"/>
      <c r="C25" s="4" t="s">
        <v>106</v>
      </c>
      <c r="D25" s="116">
        <f>SUM(D19:D24)</f>
        <v>-116</v>
      </c>
      <c r="E25" s="116">
        <f t="shared" ref="E25:H25" si="1">SUM(E19:E24)</f>
        <v>-6309</v>
      </c>
      <c r="F25" s="116">
        <f t="shared" si="1"/>
        <v>-3150</v>
      </c>
      <c r="G25" s="116">
        <f t="shared" si="1"/>
        <v>821</v>
      </c>
      <c r="H25" s="116">
        <f t="shared" si="1"/>
        <v>-3261</v>
      </c>
    </row>
    <row r="26" spans="1:8">
      <c r="D26" s="114"/>
      <c r="E26" s="114"/>
      <c r="F26" s="114"/>
      <c r="G26" s="114"/>
      <c r="H26" s="114"/>
    </row>
    <row r="27" spans="1:8" ht="19.5" customHeight="1">
      <c r="A27" s="317" t="s">
        <v>107</v>
      </c>
      <c r="C27" s="3" t="s">
        <v>108</v>
      </c>
      <c r="D27" s="114"/>
      <c r="E27" s="114"/>
      <c r="F27" s="114"/>
      <c r="G27" s="114"/>
      <c r="H27" s="114"/>
    </row>
    <row r="28" spans="1:8">
      <c r="A28" s="317"/>
      <c r="C28" s="13" t="s">
        <v>109</v>
      </c>
      <c r="D28" s="113">
        <v>-364</v>
      </c>
      <c r="E28" s="114">
        <v>-420</v>
      </c>
      <c r="F28" s="114">
        <v>-598</v>
      </c>
      <c r="G28" s="114">
        <v>-694</v>
      </c>
      <c r="H28" s="114">
        <v>-850</v>
      </c>
    </row>
    <row r="29" spans="1:8">
      <c r="A29" s="317"/>
      <c r="C29" t="s">
        <v>110</v>
      </c>
      <c r="D29" s="114">
        <v>-7476</v>
      </c>
      <c r="E29" s="114">
        <v>9</v>
      </c>
      <c r="F29" s="114">
        <v>-11114</v>
      </c>
      <c r="G29" s="114">
        <v>-11469</v>
      </c>
      <c r="H29" s="114">
        <v>1</v>
      </c>
    </row>
    <row r="30" spans="1:8">
      <c r="A30" s="317"/>
      <c r="C30" t="s">
        <v>111</v>
      </c>
      <c r="D30" s="114">
        <v>-9551</v>
      </c>
      <c r="E30" s="114">
        <v>-9155</v>
      </c>
      <c r="F30" s="114">
        <v>-12697</v>
      </c>
      <c r="G30" s="114">
        <v>-13674</v>
      </c>
      <c r="H30" s="114">
        <v>-14733</v>
      </c>
    </row>
    <row r="31" spans="1:8">
      <c r="A31" s="317"/>
      <c r="C31" t="s">
        <v>112</v>
      </c>
      <c r="D31" s="114">
        <v>0</v>
      </c>
      <c r="E31" s="114">
        <v>0</v>
      </c>
      <c r="F31" s="114">
        <v>134</v>
      </c>
      <c r="G31" s="114">
        <v>-20</v>
      </c>
      <c r="H31" s="114">
        <v>-243</v>
      </c>
    </row>
    <row r="32" spans="1:8" ht="21.75" customHeight="1">
      <c r="A32" s="317"/>
      <c r="C32" s="4" t="s">
        <v>113</v>
      </c>
      <c r="D32" s="116">
        <f>SUM(D28:D31)</f>
        <v>-17391</v>
      </c>
      <c r="E32" s="116">
        <f t="shared" ref="E32:H32" si="2">SUM(E28:E31)</f>
        <v>-9566</v>
      </c>
      <c r="F32" s="116">
        <f t="shared" si="2"/>
        <v>-24275</v>
      </c>
      <c r="G32" s="116">
        <f t="shared" si="2"/>
        <v>-25857</v>
      </c>
      <c r="H32" s="116">
        <f t="shared" si="2"/>
        <v>-15825</v>
      </c>
    </row>
    <row r="33" spans="3:8">
      <c r="D33" s="114"/>
      <c r="E33" s="114"/>
      <c r="F33" s="114"/>
      <c r="G33" s="114"/>
      <c r="H33" s="114"/>
    </row>
    <row r="34" spans="3:8">
      <c r="C34" t="s">
        <v>114</v>
      </c>
      <c r="D34" s="114">
        <v>-54</v>
      </c>
      <c r="E34" s="114">
        <v>23</v>
      </c>
      <c r="F34" s="114">
        <v>-13</v>
      </c>
      <c r="G34" s="114">
        <v>131</v>
      </c>
      <c r="H34" s="114">
        <v>-44</v>
      </c>
    </row>
    <row r="35" spans="3:8">
      <c r="D35" s="114"/>
      <c r="E35" s="114"/>
      <c r="F35" s="114"/>
      <c r="G35" s="114"/>
      <c r="H35" s="114"/>
    </row>
    <row r="36" spans="3:8">
      <c r="C36" s="2" t="s">
        <v>115</v>
      </c>
      <c r="D36" s="117">
        <f>SUM(D16,D25,D32)</f>
        <v>-1935</v>
      </c>
      <c r="E36" s="117">
        <f t="shared" ref="E36:H36" si="3">SUM(E16,E25,E32)</f>
        <v>4027</v>
      </c>
      <c r="F36" s="117">
        <f t="shared" si="3"/>
        <v>-5329</v>
      </c>
      <c r="G36" s="117">
        <f t="shared" si="3"/>
        <v>-5867</v>
      </c>
      <c r="H36" s="117">
        <f t="shared" si="3"/>
        <v>1701</v>
      </c>
    </row>
    <row r="37" spans="3:8">
      <c r="C37" s="14" t="s">
        <v>116</v>
      </c>
      <c r="D37" s="114">
        <v>15551</v>
      </c>
      <c r="E37" s="114">
        <f>'BALANCE SHEET '!D8</f>
        <v>13562</v>
      </c>
      <c r="F37" s="114">
        <f>'BALANCE SHEET '!E8</f>
        <v>17612</v>
      </c>
      <c r="G37" s="114">
        <f>'BALANCE SHEET '!F8</f>
        <v>12270</v>
      </c>
      <c r="H37" s="114">
        <f>'BALANCE SHEET '!G8</f>
        <v>6534</v>
      </c>
    </row>
    <row r="38" spans="3:8">
      <c r="C38" s="2" t="s">
        <v>117</v>
      </c>
      <c r="D38" s="117">
        <f>D36+D37+D34</f>
        <v>13562</v>
      </c>
      <c r="E38" s="117">
        <f t="shared" ref="E38:H38" si="4">E36+E37+E34</f>
        <v>17612</v>
      </c>
      <c r="F38" s="117">
        <f t="shared" si="4"/>
        <v>12270</v>
      </c>
      <c r="G38" s="117">
        <f t="shared" si="4"/>
        <v>6534</v>
      </c>
      <c r="H38" s="117">
        <f t="shared" si="4"/>
        <v>8191</v>
      </c>
    </row>
    <row r="40" spans="3:8">
      <c r="C40" s="2" t="s">
        <v>118</v>
      </c>
      <c r="D40" s="214" t="str">
        <f>IF('BALANCE SHEET '!D8='CASH FLOW STATEMENT '!D38,"MATCHED","NOT MATCHED")</f>
        <v>MATCHED</v>
      </c>
      <c r="E40" s="214" t="str">
        <f>IF('BALANCE SHEET '!E8='CASH FLOW STATEMENT '!E38,"MATCHED","NOT MATCHED")</f>
        <v>MATCHED</v>
      </c>
      <c r="F40" s="214" t="str">
        <f>IF('BALANCE SHEET '!F8='CASH FLOW STATEMENT '!F38,"MATCHED","NOT MATCHED")</f>
        <v>MATCHED</v>
      </c>
      <c r="G40" s="214" t="str">
        <f>IF('BALANCE SHEET '!G8='CASH FLOW STATEMENT '!G38,"MATCHED","NOT MATCHED")</f>
        <v>MATCHED</v>
      </c>
      <c r="H40" s="214" t="str">
        <f>IF('BALANCE SHEET '!H8='CASH FLOW STATEMENT '!H38,"MATCHED","NOT MATCHED")</f>
        <v>MATCHED</v>
      </c>
    </row>
  </sheetData>
  <mergeCells count="4">
    <mergeCell ref="A1:C2"/>
    <mergeCell ref="A7:A16"/>
    <mergeCell ref="A18:A25"/>
    <mergeCell ref="A27:A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B673-2DCA-414F-A65A-1F665C592DDC}">
  <dimension ref="A1:H54"/>
  <sheetViews>
    <sheetView zoomScale="75" workbookViewId="0">
      <selection activeCell="K25" sqref="K25"/>
    </sheetView>
  </sheetViews>
  <sheetFormatPr defaultRowHeight="14.45"/>
  <cols>
    <col min="3" max="3" width="26" bestFit="1" customWidth="1"/>
  </cols>
  <sheetData>
    <row r="1" spans="1:8">
      <c r="A1" s="316" t="s">
        <v>119</v>
      </c>
      <c r="B1" s="316"/>
      <c r="C1" s="316"/>
    </row>
    <row r="2" spans="1:8">
      <c r="A2" s="316"/>
      <c r="B2" s="316"/>
      <c r="C2" s="316"/>
    </row>
    <row r="4" spans="1:8">
      <c r="D4" s="10" t="s">
        <v>34</v>
      </c>
      <c r="E4" s="10" t="s">
        <v>34</v>
      </c>
      <c r="F4" s="10" t="s">
        <v>34</v>
      </c>
      <c r="G4" s="10" t="s">
        <v>34</v>
      </c>
      <c r="H4" s="10" t="s">
        <v>34</v>
      </c>
    </row>
    <row r="5" spans="1:8">
      <c r="C5" s="9" t="s">
        <v>35</v>
      </c>
      <c r="D5" s="11">
        <v>2020</v>
      </c>
      <c r="E5" s="11">
        <v>2021</v>
      </c>
      <c r="F5" s="11">
        <v>2022</v>
      </c>
      <c r="G5" s="11">
        <v>2023</v>
      </c>
      <c r="H5" s="11">
        <v>2024</v>
      </c>
    </row>
    <row r="7" spans="1:8">
      <c r="A7" s="317" t="s">
        <v>120</v>
      </c>
      <c r="C7" t="s">
        <v>121</v>
      </c>
      <c r="D7" s="5">
        <f>('INCOME STATEMENT'!D20/'INCOME STATEMENT'!D7)</f>
        <v>0.33184055055852846</v>
      </c>
      <c r="E7" s="5">
        <f>('INCOME STATEMENT'!E20/'INCOME STATEMENT'!E7)</f>
        <v>0.35351289691777632</v>
      </c>
      <c r="F7" s="5">
        <f>('INCOME STATEMENT'!F20/'INCOME STATEMENT'!F7)</f>
        <v>0.33010390609967288</v>
      </c>
      <c r="G7" s="5">
        <f>('INCOME STATEMENT'!G20/'INCOME STATEMENT'!G7)</f>
        <v>0.3084490460754431</v>
      </c>
      <c r="H7" s="5">
        <f>('INCOME STATEMENT'!H20/'INCOME STATEMENT'!H7)</f>
        <v>0.30947081042091629</v>
      </c>
    </row>
    <row r="8" spans="1:8">
      <c r="A8" s="317"/>
      <c r="D8" s="6"/>
      <c r="E8" s="6"/>
      <c r="F8" s="6"/>
      <c r="G8" s="6"/>
      <c r="H8" s="6"/>
    </row>
    <row r="9" spans="1:8">
      <c r="A9" s="317"/>
      <c r="C9" t="s">
        <v>122</v>
      </c>
      <c r="D9" s="6">
        <f>('INCOME STATEMENT'!D10/'INCOME STATEMENT'!D7)*100</f>
        <v>22.633370020367629</v>
      </c>
      <c r="E9" s="6">
        <f>('INCOME STATEMENT'!E10/'INCOME STATEMENT'!E7)*100</f>
        <v>25.765899990688148</v>
      </c>
      <c r="F9" s="6">
        <f>('INCOME STATEMENT'!F10/'INCOME STATEMENT'!F7)*100</f>
        <v>24.436213199923031</v>
      </c>
      <c r="G9" s="6">
        <f>('INCOME STATEMENT'!G10/'INCOME STATEMENT'!G7)*100</f>
        <v>22.530520747657523</v>
      </c>
      <c r="H9" s="6">
        <f>('INCOME STATEMENT'!H10/'INCOME STATEMENT'!H7)*100</f>
        <v>22.347265634089023</v>
      </c>
    </row>
    <row r="10" spans="1:8">
      <c r="A10" s="317"/>
      <c r="D10" s="6"/>
      <c r="E10" s="6"/>
      <c r="F10" s="6"/>
      <c r="G10" s="6"/>
      <c r="H10" s="6"/>
    </row>
    <row r="11" spans="1:8">
      <c r="A11" s="317"/>
      <c r="C11" t="s">
        <v>123</v>
      </c>
      <c r="D11" s="6">
        <f>(('INCOME STATEMENT'!D10+'INCOME STATEMENT'!D19)/'INCOME STATEMENT'!D7)*100</f>
        <v>25.345680417979178</v>
      </c>
      <c r="E11" s="6">
        <f>(('INCOME STATEMENT'!E10+'INCOME STATEMENT'!E19)/'INCOME STATEMENT'!E7)*100</f>
        <v>28.46750162957445</v>
      </c>
      <c r="F11" s="6">
        <f>(('INCOME STATEMENT'!F10+'INCOME STATEMENT'!F19)/'INCOME STATEMENT'!F7)*100</f>
        <v>26.773138349047525</v>
      </c>
      <c r="G11" s="6">
        <f>(('INCOME STATEMENT'!G10+'INCOME STATEMENT'!G19)/'INCOME STATEMENT'!G7)*100</f>
        <v>24.750431402906123</v>
      </c>
      <c r="H11" s="6">
        <f>(('INCOME STATEMENT'!H10+'INCOME STATEMENT'!H19)/'INCOME STATEMENT'!H7)*100</f>
        <v>24.630622106055082</v>
      </c>
    </row>
    <row r="12" spans="1:8">
      <c r="A12" s="317"/>
      <c r="D12" s="6"/>
      <c r="E12" s="6"/>
      <c r="F12" s="6"/>
      <c r="G12" s="6"/>
      <c r="H12" s="6"/>
    </row>
    <row r="13" spans="1:8">
      <c r="A13" s="317"/>
      <c r="C13" t="s">
        <v>124</v>
      </c>
      <c r="D13" s="6">
        <f>('INCOME STATEMENT'!D16/'INCOME STATEMENT'!D7)*100</f>
        <v>19.662985312535579</v>
      </c>
      <c r="E13" s="6">
        <f>('INCOME STATEMENT'!E16/'INCOME STATEMENT'!E7)*100</f>
        <v>21.007542601732005</v>
      </c>
      <c r="F13" s="6">
        <f>('INCOME STATEMENT'!F16/'INCOME STATEMENT'!F7)*100</f>
        <v>20.430055801423901</v>
      </c>
      <c r="G13" s="6">
        <f>('INCOME STATEMENT'!G16/'INCOME STATEMENT'!G7)*100</f>
        <v>18.762397793797476</v>
      </c>
      <c r="H13" s="6">
        <f>('INCOME STATEMENT'!H16/'INCOME STATEMENT'!H7)*100</f>
        <v>21.122598558941466</v>
      </c>
    </row>
    <row r="14" spans="1:8">
      <c r="A14" s="317"/>
      <c r="D14" s="6"/>
      <c r="E14" s="6"/>
      <c r="F14" s="6"/>
      <c r="G14" s="6"/>
      <c r="H14" s="6"/>
    </row>
    <row r="15" spans="1:8">
      <c r="A15" s="317"/>
      <c r="C15" t="s">
        <v>125</v>
      </c>
      <c r="D15" s="6">
        <f>('INCOME STATEMENT'!D16/'BALANCE SHEET '!D21)*100</f>
        <v>19.179180908429068</v>
      </c>
      <c r="E15" s="6">
        <f>('INCOME STATEMENT'!E16/'BALANCE SHEET '!E21)*100</f>
        <v>19.212467665186985</v>
      </c>
      <c r="F15" s="6">
        <f>('INCOME STATEMENT'!F16/'BALANCE SHEET '!F21)*100</f>
        <v>21.365973417046494</v>
      </c>
      <c r="G15" s="6">
        <f>('INCOME STATEMENT'!G16/'BALANCE SHEET '!G21)*100</f>
        <v>22.961011279197134</v>
      </c>
      <c r="H15" s="6">
        <f>('INCOME STATEMENT'!H16/'BALANCE SHEET '!H21)*100</f>
        <v>23.69204001739887</v>
      </c>
    </row>
    <row r="18" spans="1:8">
      <c r="A18" s="317" t="s">
        <v>126</v>
      </c>
      <c r="C18" t="s">
        <v>127</v>
      </c>
      <c r="D18" s="6">
        <f>'BALANCE SHEET '!D13/'BALANCE SHEET '!D27</f>
        <v>2.8791064388961893</v>
      </c>
      <c r="E18" s="6">
        <f>'BALANCE SHEET '!E13/'BALANCE SHEET '!E27</f>
        <v>2.7398706162751107</v>
      </c>
      <c r="F18" s="6">
        <f>'BALANCE SHEET '!F13/'BALANCE SHEET '!F27</f>
        <v>2.0994955156950672</v>
      </c>
      <c r="G18" s="6">
        <f>'BALANCE SHEET '!G13/'BALANCE SHEET '!G27</f>
        <v>1.8978937395233584</v>
      </c>
      <c r="H18" s="6">
        <f>'BALANCE SHEET '!H13/'BALANCE SHEET '!H27</f>
        <v>2.6195082330355164</v>
      </c>
    </row>
    <row r="19" spans="1:8">
      <c r="A19" s="317"/>
    </row>
    <row r="20" spans="1:8">
      <c r="A20" s="317"/>
      <c r="C20" t="s">
        <v>128</v>
      </c>
      <c r="D20" s="6">
        <f>('BALANCE SHEET '!D8+'BALANCE SHEET '!D9+'BALANCE SHEET '!D10)/'BALANCE SHEET '!D27</f>
        <v>2.1699737187910646</v>
      </c>
      <c r="E20" s="6">
        <f>('BALANCE SHEET '!E8+'BALANCE SHEET '!E9+'BALANCE SHEET '!E10)/'BALANCE SHEET '!E27</f>
        <v>2.0453410509590286</v>
      </c>
      <c r="F20" s="6">
        <f>('BALANCE SHEET '!F8+'BALANCE SHEET '!F9+'BALANCE SHEET '!F10)/'BALANCE SHEET '!F27</f>
        <v>1.4695307495195387</v>
      </c>
      <c r="G20" s="6">
        <f>('BALANCE SHEET '!G8+'BALANCE SHEET '!G9+'BALANCE SHEET '!G10)/'BALANCE SHEET '!G27</f>
        <v>1.1581881787041761</v>
      </c>
      <c r="H20" s="6">
        <f>('BALANCE SHEET '!H8+'BALANCE SHEET '!H9+'BALANCE SHEET '!H10)/'BALANCE SHEET '!H27</f>
        <v>1.6484530753895001</v>
      </c>
    </row>
    <row r="21" spans="1:8">
      <c r="A21" s="317"/>
    </row>
    <row r="22" spans="1:8">
      <c r="A22" s="317"/>
      <c r="C22" t="s">
        <v>129</v>
      </c>
      <c r="D22" s="15">
        <f>'CASH FLOW STATEMENT '!D16/'INCOME STATEMENT'!D16</f>
        <v>1.0018657916747089</v>
      </c>
      <c r="E22" s="6">
        <f>'CASH FLOW STATEMENT '!E16/'INCOME STATEMENT'!E16</f>
        <v>1.1027260638297873</v>
      </c>
      <c r="F22" s="6">
        <f>'CASH FLOW STATEMENT '!F16/'INCOME STATEMENT'!F16</f>
        <v>1.0405462679538497</v>
      </c>
      <c r="G22" s="6">
        <f>'CASH FLOW STATEMENT '!G16/'INCOME STATEMENT'!G16</f>
        <v>0.8238353102974042</v>
      </c>
      <c r="H22" s="6">
        <f>'CASH FLOW STATEMENT '!H16/'INCOME STATEMENT'!H16</f>
        <v>0.76327384886538885</v>
      </c>
    </row>
    <row r="25" spans="1:8" ht="15" customHeight="1">
      <c r="A25" s="317" t="s">
        <v>130</v>
      </c>
      <c r="C25" t="s">
        <v>131</v>
      </c>
      <c r="D25" s="6">
        <f>'INCOME STATEMENT'!D7/'BALANCE SHEET '!D21</f>
        <v>0.97539517034587431</v>
      </c>
      <c r="E25" s="6">
        <f>'INCOME STATEMENT'!E7/(('BALANCE SHEET '!D21+'BALANCE SHEET '!E21)/2)</f>
        <v>0.98196365298891297</v>
      </c>
      <c r="F25" s="6">
        <f>'INCOME STATEMENT'!F7/(('BALANCE SHEET '!E21+'BALANCE SHEET '!F21)/2)</f>
        <v>1.0752821658752574</v>
      </c>
      <c r="G25" s="6">
        <f>'INCOME STATEMENT'!G7/(('BALANCE SHEET '!F21+'BALANCE SHEET '!G21)/2)</f>
        <v>1.2356668858731392</v>
      </c>
      <c r="H25" s="6">
        <f>'INCOME STATEMENT'!H7/(('BALANCE SHEET '!G21+'BALANCE SHEET '!H21)/2)</f>
        <v>1.1922399404494954</v>
      </c>
    </row>
    <row r="26" spans="1:8">
      <c r="A26" s="317"/>
    </row>
    <row r="27" spans="1:8">
      <c r="A27" s="317"/>
      <c r="C27" s="3" t="s">
        <v>132</v>
      </c>
    </row>
    <row r="28" spans="1:8">
      <c r="A28" s="317"/>
      <c r="C28" t="s">
        <v>133</v>
      </c>
      <c r="D28" s="6">
        <f>(13370+'BALANCE SHEET '!D9)/2</f>
        <v>14414.5</v>
      </c>
      <c r="E28" s="6">
        <f>('BALANCE SHEET '!D9+'BALANCE SHEET '!E9)/2</f>
        <v>15926.5</v>
      </c>
      <c r="F28" s="6">
        <f>('BALANCE SHEET '!E9+'BALANCE SHEET '!F9)/2</f>
        <v>17680</v>
      </c>
      <c r="G28" s="6">
        <f>('BALANCE SHEET '!F9+'BALANCE SHEET '!G9)/2</f>
        <v>19869.5</v>
      </c>
      <c r="H28" s="6">
        <f>('BALANCE SHEET '!G9+'BALANCE SHEET '!H9)/2</f>
        <v>22962.5</v>
      </c>
    </row>
    <row r="29" spans="1:8">
      <c r="A29" s="317"/>
      <c r="C29" t="s">
        <v>134</v>
      </c>
      <c r="D29" s="6">
        <f>'INCOME STATEMENT'!D7/'RATIO ANALYSIS '!D28</f>
        <v>5.4838530646224291</v>
      </c>
      <c r="E29" s="6">
        <f>'INCOME STATEMENT'!E7/'RATIO ANALYSIS '!E28</f>
        <v>5.3942799736288576</v>
      </c>
      <c r="F29" s="6">
        <f>'INCOME STATEMENT'!F7/'RATIO ANALYSIS '!F28</f>
        <v>5.8789592760181</v>
      </c>
      <c r="G29" s="6">
        <f>'INCOME STATEMENT'!G7/'RATIO ANALYSIS '!G28</f>
        <v>6.2414253000830415</v>
      </c>
      <c r="H29" s="6">
        <f>'INCOME STATEMENT'!H7/'RATIO ANALYSIS '!H28</f>
        <v>5.6149373979314099</v>
      </c>
    </row>
    <row r="30" spans="1:8">
      <c r="A30" s="317"/>
    </row>
    <row r="31" spans="1:8">
      <c r="A31" s="317"/>
      <c r="C31" s="2" t="s">
        <v>135</v>
      </c>
      <c r="D31" s="6">
        <f>365/D29</f>
        <v>66.559040823813675</v>
      </c>
      <c r="E31" s="6">
        <f t="shared" ref="E31:H31" si="0">365/E29</f>
        <v>67.664266924294623</v>
      </c>
      <c r="F31" s="6">
        <f t="shared" si="0"/>
        <v>62.085818741581676</v>
      </c>
      <c r="G31" s="6">
        <f t="shared" si="0"/>
        <v>58.480232070572683</v>
      </c>
      <c r="H31" s="6">
        <f t="shared" si="0"/>
        <v>65.005177107489942</v>
      </c>
    </row>
    <row r="32" spans="1:8">
      <c r="A32" s="317"/>
      <c r="D32" s="6"/>
      <c r="E32" s="6"/>
      <c r="F32" s="6"/>
      <c r="G32" s="6"/>
      <c r="H32" s="6"/>
    </row>
    <row r="33" spans="1:8">
      <c r="A33" s="317"/>
      <c r="C33" s="3" t="s">
        <v>136</v>
      </c>
      <c r="D33" s="6"/>
      <c r="E33" s="6"/>
      <c r="F33" s="6"/>
      <c r="G33" s="6"/>
      <c r="H33" s="6"/>
    </row>
    <row r="34" spans="1:8">
      <c r="A34" s="317"/>
      <c r="C34" t="s">
        <v>137</v>
      </c>
      <c r="D34" s="6">
        <f>(1604+'BALANCE SHEET '!D24)/2</f>
        <v>1566.5</v>
      </c>
      <c r="E34" s="6">
        <f>('BALANCE SHEET '!D24+'BALANCE SHEET '!E24)/2</f>
        <v>1545.5</v>
      </c>
      <c r="F34" s="6">
        <f>('BALANCE SHEET '!E24+'BALANCE SHEET '!F24)/2</f>
        <v>2115.5</v>
      </c>
      <c r="G34" s="6">
        <f>('BALANCE SHEET '!F24+'BALANCE SHEET '!G24)/2</f>
        <v>2547.5</v>
      </c>
      <c r="H34" s="6">
        <f>('BALANCE SHEET '!G24+'BALANCE SHEET '!H24)/2</f>
        <v>2459.5</v>
      </c>
    </row>
    <row r="35" spans="1:8">
      <c r="A35" s="317"/>
      <c r="C35" t="s">
        <v>138</v>
      </c>
      <c r="D35" s="6">
        <f>('INCOME STATEMENT'!D8*-1)/'RATIO ANALYSIS '!D34</f>
        <v>33.715927226300671</v>
      </c>
      <c r="E35" s="6">
        <f>('INCOME STATEMENT'!E8*-1)/'RATIO ANALYSIS '!E34</f>
        <v>35.937237140084115</v>
      </c>
      <c r="F35" s="6">
        <f>('INCOME STATEMENT'!F8*-1)/'RATIO ANALYSIS '!F34</f>
        <v>32.913731978255733</v>
      </c>
      <c r="G35" s="6">
        <f>('INCOME STATEMENT'!G8*-1)/'RATIO ANALYSIS '!G34</f>
        <v>33.66516192345437</v>
      </c>
      <c r="H35" s="6">
        <f>('INCOME STATEMENT'!H8*-1)/'RATIO ANALYSIS '!H34</f>
        <v>36.199227485261233</v>
      </c>
    </row>
    <row r="36" spans="1:8">
      <c r="A36" s="317"/>
      <c r="D36" s="6"/>
      <c r="E36" s="6"/>
      <c r="F36" s="6"/>
      <c r="G36" s="6"/>
      <c r="H36" s="6"/>
    </row>
    <row r="37" spans="1:8">
      <c r="A37" s="317"/>
      <c r="C37" s="2" t="s">
        <v>139</v>
      </c>
      <c r="D37" s="6">
        <f>365/D35</f>
        <v>10.825744092699182</v>
      </c>
      <c r="E37" s="6">
        <f t="shared" ref="E37:H37" si="1">365/E35</f>
        <v>10.156596028159377</v>
      </c>
      <c r="F37" s="6">
        <f t="shared" si="1"/>
        <v>11.089596288902612</v>
      </c>
      <c r="G37" s="6">
        <f t="shared" si="1"/>
        <v>10.842068748396725</v>
      </c>
      <c r="H37" s="6">
        <f t="shared" si="1"/>
        <v>10.083088103153923</v>
      </c>
    </row>
    <row r="38" spans="1:8">
      <c r="A38" s="317"/>
      <c r="D38" s="6"/>
      <c r="E38" s="6"/>
      <c r="F38" s="6"/>
      <c r="G38" s="6"/>
      <c r="H38" s="6"/>
    </row>
    <row r="39" spans="1:8">
      <c r="A39" s="317"/>
      <c r="C39" t="s">
        <v>140</v>
      </c>
      <c r="D39" s="6">
        <f>('INCOME STATEMENT'!D9*-1)/'INCOME STATEMENT'!D7</f>
        <v>0.10550685035485217</v>
      </c>
      <c r="E39" s="6">
        <f>('INCOME STATEMENT'!E9*-1)/'INCOME STATEMENT'!E7</f>
        <v>9.5853897010894876E-2</v>
      </c>
      <c r="F39" s="6">
        <f>('INCOME STATEMENT'!F9*-1)/'INCOME STATEMENT'!F7</f>
        <v>8.5741774100442564E-2</v>
      </c>
      <c r="G39" s="6">
        <f>('INCOME STATEMENT'!G9*-1)/'INCOME STATEMENT'!G7</f>
        <v>8.314383859886787E-2</v>
      </c>
      <c r="H39" s="6">
        <f>('INCOME STATEMENT'!H9*-1)/'INCOME STATEMENT'!H7</f>
        <v>8.5998154080026062E-2</v>
      </c>
    </row>
    <row r="42" spans="1:8">
      <c r="A42" s="317" t="s">
        <v>141</v>
      </c>
    </row>
    <row r="43" spans="1:8">
      <c r="A43" s="317"/>
      <c r="C43" t="s">
        <v>142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</row>
    <row r="44" spans="1:8">
      <c r="A44" s="317"/>
    </row>
    <row r="45" spans="1:8">
      <c r="A45" s="317"/>
      <c r="C45" t="s">
        <v>143</v>
      </c>
      <c r="D45" s="15">
        <f>'INCOME STATEMENT'!D21/('INCOME STATEMENT'!D14*-1)</f>
        <v>175.74561403508773</v>
      </c>
      <c r="E45" s="15">
        <f>'INCOME STATEMENT'!E21/('INCOME STATEMENT'!E14*-1)</f>
        <v>194.10317460317461</v>
      </c>
      <c r="F45" s="15">
        <f>'INCOME STATEMENT'!F21/('INCOME STATEMENT'!F14*-1)</f>
        <v>217.40625</v>
      </c>
      <c r="G45" s="15">
        <f>'INCOME STATEMENT'!G21/('INCOME STATEMENT'!G14*-1)</f>
        <v>195.50318471337579</v>
      </c>
      <c r="H45" s="15">
        <f>'INCOME STATEMENT'!H21/('INCOME STATEMENT'!H14*-1)</f>
        <v>114.64620938628158</v>
      </c>
    </row>
    <row r="46" spans="1:8">
      <c r="A46" s="317"/>
      <c r="D46" s="15"/>
      <c r="E46" s="15"/>
      <c r="F46" s="15"/>
      <c r="G46" s="15"/>
      <c r="H46" s="15"/>
    </row>
    <row r="47" spans="1:8">
      <c r="A47" s="317"/>
      <c r="C47" t="s">
        <v>144</v>
      </c>
      <c r="D47" s="15">
        <f>('INCOME STATEMENT'!D21+'CASH FLOW STATEMENT '!D19)/('INCOME STATEMENT'!D14*-1)</f>
        <v>148.87719298245614</v>
      </c>
      <c r="E47" s="15">
        <f>('INCOME STATEMENT'!E21+'CASH FLOW STATEMENT '!E19)/('INCOME STATEMENT'!E14*-1)</f>
        <v>180.45238095238096</v>
      </c>
      <c r="F47" s="15">
        <f>('INCOME STATEMENT'!F21+'CASH FLOW STATEMENT '!F19)/('INCOME STATEMENT'!F14*-1)</f>
        <v>203.4453125</v>
      </c>
      <c r="G47" s="15">
        <f>('INCOME STATEMENT'!G21+'CASH FLOW STATEMENT '!G19)/('INCOME STATEMENT'!G14*-1)</f>
        <v>181.93630573248407</v>
      </c>
      <c r="H47" s="15">
        <f>('INCOME STATEMENT'!H21+'CASH FLOW STATEMENT '!H19)/('INCOME STATEMENT'!H14*-1)</f>
        <v>108.03249097472924</v>
      </c>
    </row>
    <row r="50" spans="1:8">
      <c r="A50" s="317" t="s">
        <v>145</v>
      </c>
      <c r="C50" t="s">
        <v>146</v>
      </c>
      <c r="D50" s="15">
        <f>'BALANCE SHEET '!D46/'INCOME STATEMENT'!D22</f>
        <v>20.665571105957664</v>
      </c>
      <c r="E50" s="15">
        <f>'BALANCE SHEET '!E46/'INCOME STATEMENT'!E22</f>
        <v>29.571570281194589</v>
      </c>
      <c r="F50" s="15">
        <f>'BALANCE SHEET '!F46/'INCOME STATEMENT'!F22</f>
        <v>35.628877586729459</v>
      </c>
      <c r="G50" s="15">
        <f>'BALANCE SHEET '!G46/'INCOME STATEMENT'!G22</f>
        <v>27.486531582108476</v>
      </c>
      <c r="H50" s="15">
        <f>'BALANCE SHEET '!H46/'INCOME STATEMENT'!H22</f>
        <v>24.199010340192405</v>
      </c>
    </row>
    <row r="51" spans="1:8">
      <c r="A51" s="317"/>
      <c r="D51" s="15"/>
      <c r="E51" s="15"/>
      <c r="F51" s="15"/>
      <c r="G51" s="15"/>
      <c r="H51" s="15"/>
    </row>
    <row r="52" spans="1:8">
      <c r="A52" s="317"/>
      <c r="C52" t="s">
        <v>147</v>
      </c>
      <c r="D52" s="15">
        <f>'BALANCE SHEET '!D46/'BALANCE SHEET '!D48</f>
        <v>5.1612458093630496</v>
      </c>
      <c r="E52" s="15">
        <f>'BALANCE SHEET '!E46/'BALANCE SHEET '!E48</f>
        <v>7.4612084331967958</v>
      </c>
      <c r="F52" s="15">
        <f>'BALANCE SHEET '!F46/'BALANCE SHEET '!F48</f>
        <v>10.916503846047961</v>
      </c>
      <c r="G52" s="15">
        <f>'BALANCE SHEET '!G46/'BALANCE SHEET '!G48</f>
        <v>9.4406467909439797</v>
      </c>
      <c r="H52" s="15">
        <f>'BALANCE SHEET '!H46/'BALANCE SHEET '!H48</f>
        <v>8.118604607332216</v>
      </c>
    </row>
    <row r="53" spans="1:8">
      <c r="A53" s="317"/>
      <c r="D53" s="15"/>
      <c r="E53" s="15"/>
      <c r="F53" s="15"/>
      <c r="G53" s="15"/>
      <c r="H53" s="15"/>
    </row>
    <row r="54" spans="1:8">
      <c r="A54" s="317"/>
      <c r="C54" t="s">
        <v>148</v>
      </c>
      <c r="D54" s="15">
        <f>'BALANCE SHEET '!D49/'BALANCE SHEET '!D46</f>
        <v>2.4633821571238348E-2</v>
      </c>
      <c r="E54" s="15">
        <f>'BALANCE SHEET '!E49/'BALANCE SHEET '!E46</f>
        <v>1.7158818834796488E-2</v>
      </c>
      <c r="F54" s="15">
        <f>'BALANCE SHEET '!F49/'BALANCE SHEET '!F46</f>
        <v>1.675041876046901E-2</v>
      </c>
      <c r="G54" s="15">
        <f>'BALANCE SHEET '!G49/'BALANCE SHEET '!G46</f>
        <v>2.1311475409836064E-2</v>
      </c>
      <c r="H54" s="15">
        <f>'BALANCE SHEET '!H49/'BALANCE SHEET '!H46</f>
        <v>2.2355163727959697E-2</v>
      </c>
    </row>
  </sheetData>
  <mergeCells count="6">
    <mergeCell ref="A50:A54"/>
    <mergeCell ref="A1:C2"/>
    <mergeCell ref="A7:A15"/>
    <mergeCell ref="A18:A22"/>
    <mergeCell ref="A25:A39"/>
    <mergeCell ref="A42:A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619D-B0B9-43E9-A6B0-44EEFE21570F}">
  <dimension ref="A1:H52"/>
  <sheetViews>
    <sheetView topLeftCell="A21" workbookViewId="0">
      <selection activeCell="A47" sqref="A47"/>
    </sheetView>
  </sheetViews>
  <sheetFormatPr defaultRowHeight="14.45"/>
  <cols>
    <col min="3" max="3" width="26.140625" bestFit="1" customWidth="1"/>
  </cols>
  <sheetData>
    <row r="1" spans="1:8">
      <c r="A1" s="316" t="s">
        <v>149</v>
      </c>
      <c r="B1" s="316"/>
      <c r="C1" s="316"/>
    </row>
    <row r="2" spans="1:8">
      <c r="A2" s="316"/>
      <c r="B2" s="316"/>
      <c r="C2" s="316"/>
    </row>
    <row r="4" spans="1:8">
      <c r="D4" s="10" t="s">
        <v>34</v>
      </c>
      <c r="E4" s="10" t="s">
        <v>34</v>
      </c>
      <c r="F4" s="10" t="s">
        <v>34</v>
      </c>
      <c r="G4" s="10" t="s">
        <v>34</v>
      </c>
      <c r="H4" s="10" t="s">
        <v>34</v>
      </c>
    </row>
    <row r="5" spans="1:8">
      <c r="C5" s="9" t="s">
        <v>35</v>
      </c>
      <c r="D5" s="11">
        <v>2020</v>
      </c>
      <c r="E5" s="11">
        <v>2021</v>
      </c>
      <c r="F5" s="11">
        <v>2022</v>
      </c>
      <c r="G5" s="11">
        <v>2023</v>
      </c>
      <c r="H5" s="11">
        <v>2024</v>
      </c>
    </row>
    <row r="7" spans="1:8">
      <c r="C7" t="s">
        <v>150</v>
      </c>
      <c r="D7" s="5">
        <v>8.1199999999999994E-2</v>
      </c>
      <c r="E7" s="5">
        <f>('INCOME STATEMENT'!E7-'INCOME STATEMENT'!D7)/'INCOME STATEMENT'!D7</f>
        <v>8.684706566979139E-2</v>
      </c>
      <c r="F7" s="5">
        <f>('INCOME STATEMENT'!F7-'INCOME STATEMENT'!E7)/'INCOME STATEMENT'!E7</f>
        <v>0.20984262966756681</v>
      </c>
      <c r="G7" s="5">
        <f>('INCOME STATEMENT'!G7-'INCOME STATEMENT'!F7)/'INCOME STATEMENT'!F7</f>
        <v>0.19313065229940352</v>
      </c>
      <c r="H7" s="5">
        <f>('INCOME STATEMENT'!H7-'INCOME STATEMENT'!G7)/'INCOME STATEMENT'!G7</f>
        <v>3.9664876546196395E-2</v>
      </c>
    </row>
    <row r="8" spans="1:8">
      <c r="C8" t="s">
        <v>151</v>
      </c>
      <c r="D8" s="5">
        <v>0.1139</v>
      </c>
      <c r="E8" s="5">
        <f>(('INCOME STATEMENT'!E8*-1)-('INCOME STATEMENT'!D8*-1))/('INCOME STATEMENT'!D8*-1)</f>
        <v>5.1594213874583461E-2</v>
      </c>
      <c r="F8" s="5">
        <f>(('INCOME STATEMENT'!F8*-1)-('INCOME STATEMENT'!E8*-1))/('INCOME STATEMENT'!E8*-1)</f>
        <v>0.25365045641958195</v>
      </c>
      <c r="G8" s="5">
        <f>(('INCOME STATEMENT'!G8*-1)-('INCOME STATEMENT'!F8*-1))/('INCOME STATEMENT'!F8*-1)</f>
        <v>0.23169943558000258</v>
      </c>
      <c r="H8" s="5">
        <f>(('INCOME STATEMENT'!H8*-1)-('INCOME STATEMENT'!G8*-1))/('INCOME STATEMENT'!G8*-1)</f>
        <v>3.8128774981926725E-2</v>
      </c>
    </row>
    <row r="9" spans="1:8">
      <c r="C9" s="2" t="s">
        <v>152</v>
      </c>
      <c r="D9" s="18">
        <v>2.0799999999999999E-2</v>
      </c>
      <c r="E9" s="18">
        <f>('INCOME STATEMENT'!E20-'INCOME STATEMENT'!D20)/'INCOME STATEMENT'!D20</f>
        <v>0.15782852350272578</v>
      </c>
      <c r="F9" s="18">
        <f>('INCOME STATEMENT'!F20-'INCOME STATEMENT'!E20)/'INCOME STATEMENT'!E20</f>
        <v>0.12972901781304533</v>
      </c>
      <c r="G9" s="18">
        <f>('INCOME STATEMENT'!G20-'INCOME STATEMENT'!F20)/'INCOME STATEMENT'!F20</f>
        <v>0.11486112325493282</v>
      </c>
      <c r="H9" s="18">
        <f>('INCOME STATEMENT'!H20-'INCOME STATEMENT'!G20)/'INCOME STATEMENT'!G20</f>
        <v>4.3108857053225973E-2</v>
      </c>
    </row>
    <row r="10" spans="1:8">
      <c r="E10" s="5"/>
      <c r="F10" s="5"/>
      <c r="G10" s="5"/>
      <c r="H10" s="5"/>
    </row>
    <row r="11" spans="1:8">
      <c r="C11" t="s">
        <v>153</v>
      </c>
      <c r="D11" s="5">
        <v>5.7500000000000002E-2</v>
      </c>
      <c r="E11" s="5">
        <f>(('INCOME STATEMENT'!E9*-1)-('INCOME STATEMENT'!D9*-1))/('INCOME STATEMENT'!D9*-1)</f>
        <v>-1.2589928057553957E-2</v>
      </c>
      <c r="F11" s="5">
        <f>(('INCOME STATEMENT'!F9*-1)-('INCOME STATEMENT'!E9*-1))/('INCOME STATEMENT'!E9*-1)</f>
        <v>8.2210078931390401E-2</v>
      </c>
      <c r="G11" s="5">
        <f>(('INCOME STATEMENT'!G9*-1)-('INCOME STATEMENT'!F9*-1))/('INCOME STATEMENT'!F9*-1)</f>
        <v>0.15697935368043087</v>
      </c>
      <c r="H11" s="5">
        <f>(('INCOME STATEMENT'!H9*-1)-('INCOME STATEMENT'!G9*-1))/('INCOME STATEMENT'!G9*-1)</f>
        <v>7.5356415478615074E-2</v>
      </c>
    </row>
    <row r="12" spans="1:8">
      <c r="C12" s="16" t="s">
        <v>77</v>
      </c>
      <c r="D12" s="19">
        <v>4.5999999999999999E-3</v>
      </c>
      <c r="E12" s="18">
        <f>('INCOME STATEMENT'!E10-'INCOME STATEMENT'!D10)/'INCOME STATEMENT'!D10</f>
        <v>0.23727013582248058</v>
      </c>
      <c r="F12" s="18">
        <f>('INCOME STATEMENT'!F10-'INCOME STATEMENT'!E10)/'INCOME STATEMENT'!E10</f>
        <v>0.14740693892302131</v>
      </c>
      <c r="G12" s="18">
        <f>('INCOME STATEMENT'!G10-'INCOME STATEMENT'!F10)/'INCOME STATEMENT'!F10</f>
        <v>0.100082680420489</v>
      </c>
      <c r="H12" s="18">
        <f>('INCOME STATEMENT'!H10-'INCOME STATEMENT'!G10)/'INCOME STATEMENT'!G10</f>
        <v>3.1208618159693641E-2</v>
      </c>
    </row>
    <row r="13" spans="1:8">
      <c r="E13" s="5"/>
      <c r="F13" s="5"/>
      <c r="G13" s="5"/>
      <c r="H13" s="5"/>
    </row>
    <row r="14" spans="1:8">
      <c r="C14" t="s">
        <v>154</v>
      </c>
      <c r="D14" s="5">
        <v>-5.3199999999999997E-2</v>
      </c>
      <c r="E14" s="5">
        <f>('INCOME STATEMENT'!E12-'INCOME STATEMENT'!D12)/'INCOME STATEMENT'!D12</f>
        <v>-8.6296296296296301E-2</v>
      </c>
      <c r="F14" s="5">
        <f>('INCOME STATEMENT'!F12-'INCOME STATEMENT'!E12)/'INCOME STATEMENT'!E12</f>
        <v>0.30685042561815973</v>
      </c>
      <c r="G14" s="5">
        <f>('INCOME STATEMENT'!G12-'INCOME STATEMENT'!F12)/'INCOME STATEMENT'!F12</f>
        <v>0.19696029776674939</v>
      </c>
      <c r="H14" s="5">
        <f>('INCOME STATEMENT'!H12-'INCOME STATEMENT'!G12)/'INCOME STATEMENT'!G12</f>
        <v>0.92200051826898155</v>
      </c>
    </row>
    <row r="15" spans="1:8">
      <c r="C15" t="s">
        <v>155</v>
      </c>
      <c r="D15" s="17">
        <v>1.1399999999999999</v>
      </c>
      <c r="E15" s="5">
        <f>(('INCOME STATEMENT'!E14*-1)-('INCOME STATEMENT'!D14*-1))/('INCOME STATEMENT'!D14*-1)</f>
        <v>0.10526315789473684</v>
      </c>
      <c r="F15" s="5">
        <f>(('INCOME STATEMENT'!F14*-1)-('INCOME STATEMENT'!E14*-1))/('INCOME STATEMENT'!E14*-1)</f>
        <v>1.5873015873015872E-2</v>
      </c>
      <c r="G15" s="5">
        <f>(('INCOME STATEMENT'!G14*-1)-('INCOME STATEMENT'!F14*-1))/('INCOME STATEMENT'!F14*-1)</f>
        <v>0.2265625</v>
      </c>
      <c r="H15" s="5">
        <f>(('INCOME STATEMENT'!H14*-1)-('INCOME STATEMENT'!G14*-1))/('INCOME STATEMENT'!G14*-1)</f>
        <v>0.76433121019108285</v>
      </c>
    </row>
    <row r="16" spans="1:8">
      <c r="C16" t="s">
        <v>156</v>
      </c>
      <c r="D16" s="5">
        <v>-5.5599999999999997E-2</v>
      </c>
      <c r="E16" s="5">
        <f>(('INCOME STATEMENT'!E15*-1)-('INCOME STATEMENT'!D15*-1))/('INCOME STATEMENT'!D15*-1)</f>
        <v>0.30299959464937171</v>
      </c>
      <c r="F16" s="5">
        <f>(('INCOME STATEMENT'!F15*-1)-('INCOME STATEMENT'!E15*-1))/('INCOME STATEMENT'!E15*-1)</f>
        <v>0.12925804946336911</v>
      </c>
      <c r="G16" s="5">
        <f>(('INCOME STATEMENT'!G15*-1)-('INCOME STATEMENT'!F15*-1))/('INCOME STATEMENT'!F15*-1)</f>
        <v>0.15358126721763085</v>
      </c>
      <c r="H16" s="5">
        <f>(('INCOME STATEMENT'!H15*-1)-('INCOME STATEMENT'!G15*-1))/('INCOME STATEMENT'!G15*-1)</f>
        <v>4.1074626865671642E-2</v>
      </c>
    </row>
    <row r="17" spans="3:8">
      <c r="C17" s="2" t="s">
        <v>157</v>
      </c>
      <c r="D17" s="18">
        <v>5.7200000000000001E-2</v>
      </c>
      <c r="E17" s="18">
        <f>('INCOME STATEMENT'!E16-'INCOME STATEMENT'!D16)/'INCOME STATEMENT'!D16</f>
        <v>0.16116579810847326</v>
      </c>
      <c r="F17" s="18">
        <f>('INCOME STATEMENT'!F16-'INCOME STATEMENT'!E16)/'INCOME STATEMENT'!E16</f>
        <v>0.17658466312056736</v>
      </c>
      <c r="G17" s="18">
        <f>('INCOME STATEMENT'!G16-'INCOME STATEMENT'!F16)/'INCOME STATEMENT'!F16</f>
        <v>9.5738168118672001E-2</v>
      </c>
      <c r="H17" s="18">
        <f>('INCOME STATEMENT'!H16-'INCOME STATEMENT'!G16)/'INCOME STATEMENT'!G16</f>
        <v>0.1704486848891181</v>
      </c>
    </row>
    <row r="20" spans="3:8">
      <c r="C20" s="3" t="s">
        <v>37</v>
      </c>
    </row>
    <row r="21" spans="3:8">
      <c r="C21" t="s">
        <v>38</v>
      </c>
      <c r="D21" s="5">
        <v>0.12790000000000001</v>
      </c>
      <c r="E21" s="5">
        <f>('BALANCE SHEET '!E8-'BALANCE SHEET '!D8)/'BALANCE SHEET '!D8</f>
        <v>0.29862852086712877</v>
      </c>
      <c r="F21" s="5">
        <f>('BALANCE SHEET '!F8-'BALANCE SHEET '!E8)/'BALANCE SHEET '!E8</f>
        <v>-0.30331592096297977</v>
      </c>
      <c r="G21" s="5">
        <f>('BALANCE SHEET '!G8-'BALANCE SHEET '!F8)/'BALANCE SHEET '!F8</f>
        <v>-0.46748166259168705</v>
      </c>
      <c r="H21" s="5">
        <f>('BALANCE SHEET '!H8-'BALANCE SHEET '!G8)/'BALANCE SHEET '!G8</f>
        <v>0.25359657177838996</v>
      </c>
    </row>
    <row r="22" spans="3:8">
      <c r="C22" t="s">
        <v>39</v>
      </c>
      <c r="D22" s="5">
        <v>0.15620000000000001</v>
      </c>
      <c r="E22" s="5">
        <f>('BALANCE SHEET '!E9-'BALANCE SHEET '!D9)/'BALANCE SHEET '!D9</f>
        <v>6.0482566789572416E-2</v>
      </c>
      <c r="F22" s="5">
        <f>('BALANCE SHEET '!F9-'BALANCE SHEET '!E9)/'BALANCE SHEET '!E9</f>
        <v>0.15688666585336097</v>
      </c>
      <c r="G22" s="5">
        <f>('BALANCE SHEET '!G9-'BALANCE SHEET '!F9)/'BALANCE SHEET '!F9</f>
        <v>9.5275756617104287E-2</v>
      </c>
      <c r="H22" s="5">
        <f>('BALANCE SHEET '!H9-'BALANCE SHEET '!G9)/'BALANCE SHEET '!G9</f>
        <v>0.2108024839936456</v>
      </c>
    </row>
    <row r="23" spans="3:8">
      <c r="C23" t="s">
        <v>40</v>
      </c>
      <c r="D23" s="5">
        <v>-0.3407</v>
      </c>
      <c r="E23" s="5">
        <f>('BALANCE SHEET '!E10-'BALANCE SHEET '!D10)/'BALANCE SHEET '!D10</f>
        <v>-0.49151273090364456</v>
      </c>
      <c r="F23" s="5">
        <f>('BALANCE SHEET '!F10-'BALANCE SHEET '!E10)/'BALANCE SHEET '!E10</f>
        <v>1.6838487972508591</v>
      </c>
      <c r="G23" s="5">
        <f>('BALANCE SHEET '!G10-'BALANCE SHEET '!F10)/'BALANCE SHEET '!F10</f>
        <v>-0.18126943479056154</v>
      </c>
      <c r="H23" s="5">
        <f>('BALANCE SHEET '!H10-'BALANCE SHEET '!G10)/'BALANCE SHEET '!G10</f>
        <v>1.5261394101876675</v>
      </c>
    </row>
    <row r="24" spans="3:8">
      <c r="C24" t="s">
        <v>41</v>
      </c>
      <c r="D24">
        <v>-20.010000000000002</v>
      </c>
      <c r="E24" s="5">
        <f>('BALANCE SHEET '!E11-'BALANCE SHEET '!D11)/'BALANCE SHEET '!D11</f>
        <v>0.1594048884165781</v>
      </c>
      <c r="F24" s="5">
        <f>('BALANCE SHEET '!F11-'BALANCE SHEET '!E11)/'BALANCE SHEET '!E11</f>
        <v>0.24637946837763519</v>
      </c>
      <c r="G24" s="5">
        <f>('BALANCE SHEET '!G11-'BALANCE SHEET '!F11)/'BALANCE SHEET '!F11</f>
        <v>0.37946756876011178</v>
      </c>
      <c r="H24" s="5">
        <f>('BALANCE SHEET '!H11-'BALANCE SHEET '!G11)/'BALANCE SHEET '!G11</f>
        <v>0.10214308561680349</v>
      </c>
    </row>
    <row r="25" spans="3:8">
      <c r="C25" t="s">
        <v>42</v>
      </c>
      <c r="D25" s="5">
        <v>0.1394</v>
      </c>
      <c r="E25" s="5">
        <f>('BALANCE SHEET '!E12-'BALANCE SHEET '!D12)/'BALANCE SHEET '!D12</f>
        <v>0.11432325886990802</v>
      </c>
      <c r="F25" s="5">
        <f>('BALANCE SHEET '!F12-'BALANCE SHEET '!E12)/'BALANCE SHEET '!E12</f>
        <v>0.31706957547169812</v>
      </c>
      <c r="G25" s="5">
        <f>('BALANCE SHEET '!G12-'BALANCE SHEET '!F12)/'BALANCE SHEET '!F12</f>
        <v>0.22216004476776721</v>
      </c>
      <c r="H25" s="5">
        <f>('BALANCE SHEET '!H12-'BALANCE SHEET '!G12)/'BALANCE SHEET '!G12</f>
        <v>0.46199633699633702</v>
      </c>
    </row>
    <row r="26" spans="3:8">
      <c r="C26" s="2" t="s">
        <v>43</v>
      </c>
      <c r="D26" s="18">
        <v>-5.1900000000000002E-2</v>
      </c>
      <c r="E26" s="18">
        <f>('BALANCE SHEET '!E13-'BALANCE SHEET '!D13)/'BALANCE SHEET '!D13</f>
        <v>0.1018256503879507</v>
      </c>
      <c r="F26" s="18">
        <f>('BALANCE SHEET '!F13-'BALANCE SHEET '!E13)/'BALANCE SHEET '!E13</f>
        <v>8.6056915620728217E-2</v>
      </c>
      <c r="G26" s="18">
        <f>('BALANCE SHEET '!G13-'BALANCE SHEET '!F13)/'BALANCE SHEET '!F13</f>
        <v>-6.7700287964605147E-3</v>
      </c>
      <c r="H26" s="18">
        <f>('BALANCE SHEET '!H13-'BALANCE SHEET '!G13)/'BALANCE SHEET '!G13</f>
        <v>0.36231327521984563</v>
      </c>
    </row>
    <row r="27" spans="3:8">
      <c r="E27" s="5"/>
      <c r="F27" s="5"/>
      <c r="G27" s="5"/>
      <c r="H27" s="5"/>
    </row>
    <row r="28" spans="3:8">
      <c r="C28" t="s">
        <v>44</v>
      </c>
      <c r="D28" s="5">
        <v>0.27410000000000001</v>
      </c>
      <c r="E28" s="5">
        <f>('BALANCE SHEET '!E15-'BALANCE SHEET '!D15)/'BALANCE SHEET '!D15</f>
        <v>3.9278772035659229E-2</v>
      </c>
      <c r="F28" s="5">
        <f>('BALANCE SHEET '!F15-'BALANCE SHEET '!E15)/'BALANCE SHEET '!E15</f>
        <v>-1.0061270557884553E-2</v>
      </c>
      <c r="G28" s="5">
        <f>('BALANCE SHEET '!G15-'BALANCE SHEET '!F15)/'BALANCE SHEET '!F15</f>
        <v>2.3258844224379439E-2</v>
      </c>
      <c r="H28" s="5">
        <f>('BALANCE SHEET '!H15-'BALANCE SHEET '!G15)/'BALANCE SHEET '!G15</f>
        <v>-7.0164268432446206E-2</v>
      </c>
    </row>
    <row r="29" spans="3:8">
      <c r="C29" t="s">
        <v>45</v>
      </c>
      <c r="D29" s="5">
        <v>0.1537</v>
      </c>
      <c r="E29" s="5">
        <f>('BALANCE SHEET '!E16-'BALANCE SHEET '!D16)/'BALANCE SHEET '!D16</f>
        <v>0.58939350388042544</v>
      </c>
      <c r="F29" s="5">
        <f>('BALANCE SHEET '!F16-'BALANCE SHEET '!E16)/'BALANCE SHEET '!E16</f>
        <v>3.3954245410977482E-2</v>
      </c>
      <c r="G29" s="5">
        <f>('BALANCE SHEET '!G16-'BALANCE SHEET '!F16)/'BALANCE SHEET '!F16</f>
        <v>3.5725217543399364E-2</v>
      </c>
      <c r="H29" s="5">
        <f>('BALANCE SHEET '!H16-'BALANCE SHEET '!G16)/'BALANCE SHEET '!G16</f>
        <v>-1.410115680148611E-2</v>
      </c>
    </row>
    <row r="30" spans="3:8">
      <c r="C30" t="s">
        <v>41</v>
      </c>
      <c r="D30">
        <v>12.19</v>
      </c>
      <c r="E30" s="5">
        <f>('BALANCE SHEET '!E17-'BALANCE SHEET '!D17)/'BALANCE SHEET '!D17</f>
        <v>-0.29418221734357847</v>
      </c>
      <c r="F30" s="5">
        <f>('BALANCE SHEET '!F17-'BALANCE SHEET '!E17)/'BALANCE SHEET '!E17</f>
        <v>0.18351477449455678</v>
      </c>
      <c r="G30" s="5">
        <f>('BALANCE SHEET '!G17-'BALANCE SHEET '!F17)/'BALANCE SHEET '!F17</f>
        <v>0.81340341655716164</v>
      </c>
      <c r="H30" s="5">
        <f>('BALANCE SHEET '!H17-'BALANCE SHEET '!G17)/'BALANCE SHEET '!G17</f>
        <v>0.29710144927536231</v>
      </c>
    </row>
    <row r="31" spans="3:8">
      <c r="C31" t="s">
        <v>46</v>
      </c>
      <c r="D31" s="5">
        <v>-0.1429</v>
      </c>
      <c r="E31" s="5">
        <f>('BALANCE SHEET '!E18-'BALANCE SHEET '!D18)/'BALANCE SHEET '!D18</f>
        <v>-1.1237458193979933E-2</v>
      </c>
      <c r="F31" s="5">
        <f>('BALANCE SHEET '!F18-'BALANCE SHEET '!E18)/'BALANCE SHEET '!E18</f>
        <v>7.847381951021512E-2</v>
      </c>
      <c r="G31" s="5">
        <f>('BALANCE SHEET '!G18-'BALANCE SHEET '!F18)/'BALANCE SHEET '!F18</f>
        <v>6.4232844059716479E-2</v>
      </c>
      <c r="H31" s="5">
        <f>('BALANCE SHEET '!H18-'BALANCE SHEET '!G18)/'BALANCE SHEET '!G18</f>
        <v>-0.49876223034303901</v>
      </c>
    </row>
    <row r="32" spans="3:8">
      <c r="C32" s="2" t="s">
        <v>47</v>
      </c>
      <c r="D32" s="18">
        <v>0.11749999999999999</v>
      </c>
      <c r="E32" s="18">
        <f>('BALANCE SHEET '!E19-'BALANCE SHEET '!D19)/'BALANCE SHEET '!D19</f>
        <v>0.22664624808575803</v>
      </c>
      <c r="F32" s="18">
        <f>('BALANCE SHEET '!F19-'BALANCE SHEET '!E19)/'BALANCE SHEET '!E19</f>
        <v>2.8319863328733819E-2</v>
      </c>
      <c r="G32" s="18">
        <f>('BALANCE SHEET '!G19-'BALANCE SHEET '!F19)/'BALANCE SHEET '!F19</f>
        <v>4.9094781682641107E-2</v>
      </c>
      <c r="H32" s="18">
        <f>('BALANCE SHEET '!H19-'BALANCE SHEET '!G19)/'BALANCE SHEET '!G19</f>
        <v>-0.10673028118972692</v>
      </c>
    </row>
    <row r="33" spans="3:8">
      <c r="E33" s="5"/>
      <c r="F33" s="5"/>
      <c r="G33" s="5"/>
      <c r="H33" s="5"/>
    </row>
    <row r="34" spans="3:8">
      <c r="C34" s="4" t="s">
        <v>48</v>
      </c>
      <c r="D34" s="20">
        <v>1.9E-2</v>
      </c>
      <c r="E34" s="20">
        <f>('BALANCE SHEET '!E21-'BALANCE SHEET '!D21)/'BALANCE SHEET '!D21</f>
        <v>0.15915400846485112</v>
      </c>
      <c r="F34" s="20">
        <f>('BALANCE SHEET '!F21-'BALANCE SHEET '!E21)/'BALANCE SHEET '!E21</f>
        <v>5.7995081914859643E-2</v>
      </c>
      <c r="G34" s="20">
        <f>('BALANCE SHEET '!G21-'BALANCE SHEET '!F21)/'BALANCE SHEET '!F21</f>
        <v>1.9620272269009024E-2</v>
      </c>
      <c r="H34" s="20">
        <f>('BALANCE SHEET '!H21-'BALANCE SHEET '!G21)/'BALANCE SHEET '!G21</f>
        <v>0.13433395502136436</v>
      </c>
    </row>
    <row r="36" spans="3:8">
      <c r="C36" s="3" t="s">
        <v>50</v>
      </c>
    </row>
    <row r="37" spans="3:8">
      <c r="C37" t="s">
        <v>51</v>
      </c>
      <c r="D37" s="5">
        <v>-4.6699999999999998E-2</v>
      </c>
      <c r="E37" s="5">
        <f>('BALANCE SHEET '!E24-'BALANCE SHEET '!D24)/'BALANCE SHEET '!D24</f>
        <v>2.1582733812949641E-2</v>
      </c>
      <c r="F37" s="5">
        <f>('BALANCE SHEET '!F24-'BALANCE SHEET '!E24)/'BALANCE SHEET '!E24</f>
        <v>0.7087067861715749</v>
      </c>
      <c r="G37" s="5">
        <f>('BALANCE SHEET '!G24-'BALANCE SHEET '!F24)/'BALANCE SHEET '!F24</f>
        <v>-9.1045335331584862E-2</v>
      </c>
      <c r="H37" s="5">
        <f>('BALANCE SHEET '!H24-'BALANCE SHEET '!G24)/'BALANCE SHEET '!G24</f>
        <v>2.7617477328936522E-2</v>
      </c>
    </row>
    <row r="38" spans="3:8">
      <c r="C38" t="s">
        <v>52</v>
      </c>
      <c r="D38" s="5">
        <v>-2.3599999999999999E-2</v>
      </c>
      <c r="E38" s="5">
        <f>('BALANCE SHEET '!E25-'BALANCE SHEET '!D25)/'BALANCE SHEET '!D25</f>
        <v>6.2454960365121305E-2</v>
      </c>
      <c r="F38" s="5">
        <f>('BALANCE SHEET '!F25-'BALANCE SHEET '!E25)/'BALANCE SHEET '!E25</f>
        <v>0.33698846936468463</v>
      </c>
      <c r="G38" s="5">
        <f>('BALANCE SHEET '!G25-'BALANCE SHEET '!F25)/'BALANCE SHEET '!F25</f>
        <v>0.13384628392660861</v>
      </c>
      <c r="H38" s="5">
        <f>('BALANCE SHEET '!H25-'BALANCE SHEET '!G25)/'BALANCE SHEET '!G25</f>
        <v>-6.8903803131991057E-2</v>
      </c>
    </row>
    <row r="39" spans="3:8">
      <c r="C39" t="s">
        <v>53</v>
      </c>
      <c r="D39" s="5">
        <v>1.2999999999999999E-2</v>
      </c>
      <c r="E39" s="5">
        <f>('BALANCE SHEET '!E26-'BALANCE SHEET '!D26)/'BALANCE SHEET '!D26</f>
        <v>0.34464119291705497</v>
      </c>
      <c r="F39" s="5">
        <f>('BALANCE SHEET '!F26-'BALANCE SHEET '!E26)/'BALANCE SHEET '!E26</f>
        <v>0.45273080121985027</v>
      </c>
      <c r="G39" s="5">
        <f>('BALANCE SHEET '!G26-'BALANCE SHEET '!F26)/'BALANCE SHEET '!F26</f>
        <v>0.10744274809160305</v>
      </c>
      <c r="H39" s="5">
        <f>('BALANCE SHEET '!H26-'BALANCE SHEET '!G26)/'BALANCE SHEET '!G26</f>
        <v>4.3167327244528694E-2</v>
      </c>
    </row>
    <row r="40" spans="3:8">
      <c r="C40" s="2" t="s">
        <v>54</v>
      </c>
      <c r="D40" s="18">
        <v>-1.2999999999999999E-2</v>
      </c>
      <c r="E40" s="18">
        <f>('BALANCE SHEET '!E27-'BALANCE SHEET '!D27)/'BALANCE SHEET '!D27</f>
        <v>0.1578186596583443</v>
      </c>
      <c r="F40" s="18">
        <f>('BALANCE SHEET '!F27-'BALANCE SHEET '!E27)/'BALANCE SHEET '!E27</f>
        <v>0.4173192600158892</v>
      </c>
      <c r="G40" s="18">
        <f>('BALANCE SHEET '!G27-'BALANCE SHEET '!F27)/'BALANCE SHEET '!F27</f>
        <v>9.8734785393978217E-2</v>
      </c>
      <c r="H40" s="18">
        <f>('BALANCE SHEET '!H27-'BALANCE SHEET '!G27)/'BALANCE SHEET '!G27</f>
        <v>-1.2972815392464107E-2</v>
      </c>
    </row>
    <row r="41" spans="3:8">
      <c r="E41" s="18"/>
      <c r="F41" s="18"/>
      <c r="G41" s="18"/>
      <c r="H41" s="18"/>
    </row>
    <row r="42" spans="3:8">
      <c r="C42" t="s">
        <v>55</v>
      </c>
      <c r="D42" s="5">
        <v>3.4746000000000001</v>
      </c>
      <c r="E42" s="5">
        <f>('BALANCE SHEET '!E29-'BALANCE SHEET '!D29)/'BALANCE SHEET '!D29</f>
        <v>0.28399433427762039</v>
      </c>
      <c r="F42" s="5">
        <f>('BALANCE SHEET '!F29-'BALANCE SHEET '!E29)/'BALANCE SHEET '!E29</f>
        <v>7.6668505239933807E-2</v>
      </c>
      <c r="G42" s="5">
        <f>('BALANCE SHEET '!G29-'BALANCE SHEET '!F29)/'BALANCE SHEET '!F29</f>
        <v>0.24743852459016394</v>
      </c>
      <c r="H42" s="5">
        <f>('BALANCE SHEET '!H29-'BALANCE SHEET '!G29)/'BALANCE SHEET '!G29</f>
        <v>3.2648870636550309E-2</v>
      </c>
    </row>
    <row r="43" spans="3:8">
      <c r="C43" t="s">
        <v>56</v>
      </c>
      <c r="D43" s="5">
        <v>7.46E-2</v>
      </c>
      <c r="E43" s="5">
        <f>('BALANCE SHEET '!E30-'BALANCE SHEET '!D30)/'BALANCE SHEET '!D30</f>
        <v>0.52031454783748365</v>
      </c>
      <c r="F43" s="5">
        <f>('BALANCE SHEET '!F30-'BALANCE SHEET '!E30)/'BALANCE SHEET '!E30</f>
        <v>3.5344827586206898E-2</v>
      </c>
      <c r="G43" s="5">
        <f>('BALANCE SHEET '!G30-'BALANCE SHEET '!F30)/'BALANCE SHEET '!F30</f>
        <v>6.5778517901748546E-2</v>
      </c>
      <c r="H43" s="5">
        <f>('BALANCE SHEET '!H30-'BALANCE SHEET '!G30)/'BALANCE SHEET '!G30</f>
        <v>0.29609374999999999</v>
      </c>
    </row>
    <row r="44" spans="3:8">
      <c r="C44" s="2" t="s">
        <v>57</v>
      </c>
      <c r="D44" s="18">
        <v>3.8883999999999999</v>
      </c>
      <c r="E44" s="18">
        <f>('BALANCE SHEET '!E31-'BALANCE SHEET '!D31)/'BALANCE SHEET '!D31</f>
        <v>0.3342626149986061</v>
      </c>
      <c r="F44" s="18">
        <f>('BALANCE SHEET '!F31-'BALANCE SHEET '!E31)/'BALANCE SHEET '!E31</f>
        <v>6.6652737150020888E-2</v>
      </c>
      <c r="G44" s="18">
        <f>('BALANCE SHEET '!G31-'BALANCE SHEET '!F31)/'BALANCE SHEET '!F31</f>
        <v>0.20470127326150833</v>
      </c>
      <c r="H44" s="18">
        <f>('BALANCE SHEET '!H31-'BALANCE SHEET '!G31)/'BALANCE SHEET '!G31</f>
        <v>8.7479674796747967E-2</v>
      </c>
    </row>
    <row r="45" spans="3:8">
      <c r="E45" s="18"/>
      <c r="F45" s="18"/>
      <c r="G45" s="18"/>
      <c r="H45" s="18"/>
    </row>
    <row r="46" spans="3:8">
      <c r="C46" s="2" t="s">
        <v>58</v>
      </c>
      <c r="D46" s="18">
        <v>0.15970000000000001</v>
      </c>
      <c r="E46" s="18">
        <f>('BALANCE SHEET '!E33-'BALANCE SHEET '!D33)/'BALANCE SHEET '!D33</f>
        <v>0.19147126070080289</v>
      </c>
      <c r="F46" s="18">
        <f>('BALANCE SHEET '!F33-'BALANCE SHEET '!E33)/'BALANCE SHEET '!E33</f>
        <v>0.34242234916101394</v>
      </c>
      <c r="G46" s="18">
        <f>('BALANCE SHEET '!G33-'BALANCE SHEET '!F33)/'BALANCE SHEET '!F33</f>
        <v>0.11671819420896912</v>
      </c>
      <c r="H46" s="18">
        <f>('BALANCE SHEET '!H33-'BALANCE SHEET '!G33)/'BALANCE SHEET '!G33</f>
        <v>5.4179566563467493E-3</v>
      </c>
    </row>
    <row r="47" spans="3:8">
      <c r="E47" s="18"/>
      <c r="F47" s="18"/>
      <c r="G47" s="18"/>
      <c r="H47" s="18"/>
    </row>
    <row r="48" spans="3:8">
      <c r="C48" t="s">
        <v>60</v>
      </c>
      <c r="D48" s="5">
        <v>-2.24E-2</v>
      </c>
      <c r="E48" s="5">
        <f>('BALANCE SHEET '!E35-'BALANCE SHEET '!D35)/'BALANCE SHEET '!D35</f>
        <v>4.6970408642555192E-4</v>
      </c>
      <c r="F48" s="5">
        <f>('BALANCE SHEET '!F35-'BALANCE SHEET '!E35)/'BALANCE SHEET '!E35</f>
        <v>-1.2676056338028169E-2</v>
      </c>
      <c r="G48" s="5">
        <f>('BALANCE SHEET '!G35-'BALANCE SHEET '!F35)/'BALANCE SHEET '!F35</f>
        <v>-1.378982406086543E-2</v>
      </c>
      <c r="H48" s="5">
        <f>('BALANCE SHEET '!H35-'BALANCE SHEET '!G35)/'BALANCE SHEET '!G35</f>
        <v>4.8216007714561236E-4</v>
      </c>
    </row>
    <row r="49" spans="3:8">
      <c r="C49" t="s">
        <v>61</v>
      </c>
      <c r="D49" s="5">
        <v>-7.0000000000000001E-3</v>
      </c>
      <c r="E49" s="5">
        <f>('BALANCE SHEET '!E36-'BALANCE SHEET '!D36)/'BALANCE SHEET '!D36</f>
        <v>0.15466267365443806</v>
      </c>
      <c r="F49" s="5">
        <f>('BALANCE SHEET '!F36-'BALANCE SHEET '!E36)/'BALANCE SHEET '!E36</f>
        <v>-3.1671013385974264E-2</v>
      </c>
      <c r="G49" s="5">
        <f>('BALANCE SHEET '!G36-'BALANCE SHEET '!F36)/'BALANCE SHEET '!F36</f>
        <v>-2.2796601342201985E-2</v>
      </c>
      <c r="H49" s="5">
        <f>('BALANCE SHEET '!H36-'BALANCE SHEET '!G36)/'BALANCE SHEET '!G36</f>
        <v>0.20450427129174217</v>
      </c>
    </row>
    <row r="50" spans="3:8">
      <c r="C50" s="2" t="s">
        <v>62</v>
      </c>
      <c r="D50" s="18">
        <v>-7.6E-3</v>
      </c>
      <c r="E50" s="18">
        <f>('BALANCE SHEET '!E37-'BALANCE SHEET '!D37)/'BALANCE SHEET '!D37</f>
        <v>0.14938779445319278</v>
      </c>
      <c r="F50" s="18">
        <f>('BALANCE SHEET '!F37-'BALANCE SHEET '!E37)/'BALANCE SHEET '!E37</f>
        <v>-3.1105394863765359E-2</v>
      </c>
      <c r="G50" s="18">
        <f>('BALANCE SHEET '!G37-'BALANCE SHEET '!F37)/'BALANCE SHEET '!F37</f>
        <v>-2.2523302455775836E-2</v>
      </c>
      <c r="H50" s="18">
        <f>('BALANCE SHEET '!H37-'BALANCE SHEET '!G37)/'BALANCE SHEET '!G37</f>
        <v>0.19825817403498414</v>
      </c>
    </row>
    <row r="51" spans="3:8">
      <c r="E51" s="18"/>
      <c r="F51" s="18"/>
      <c r="G51" s="18"/>
      <c r="H51" s="18"/>
    </row>
    <row r="52" spans="3:8">
      <c r="C52" s="4" t="s">
        <v>63</v>
      </c>
      <c r="D52" s="20">
        <v>2.6800000000000001E-2</v>
      </c>
      <c r="E52" s="20">
        <f>('BALANCE SHEET '!E39-'BALANCE SHEET '!D39)/'BALANCE SHEET '!D39</f>
        <v>0.15915400846485112</v>
      </c>
      <c r="F52" s="20">
        <f>('BALANCE SHEET '!F39-'BALANCE SHEET '!E39)/'BALANCE SHEET '!E39</f>
        <v>5.7995081914859643E-2</v>
      </c>
      <c r="G52" s="20">
        <f>('BALANCE SHEET '!G39-'BALANCE SHEET '!F39)/'BALANCE SHEET '!F39</f>
        <v>1.9620272269009024E-2</v>
      </c>
      <c r="H52" s="20">
        <f>('BALANCE SHEET '!H39-'BALANCE SHEET '!G39)/'BALANCE SHEET '!G39</f>
        <v>0.13433395502136436</v>
      </c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1C5C-DF53-42F8-8A91-390C8EED6D63}">
  <dimension ref="A1:I82"/>
  <sheetViews>
    <sheetView zoomScale="53" workbookViewId="0">
      <selection activeCell="J38" sqref="J38"/>
    </sheetView>
  </sheetViews>
  <sheetFormatPr defaultRowHeight="14.45"/>
  <cols>
    <col min="3" max="3" width="46.28515625" customWidth="1"/>
    <col min="4" max="4" width="12.28515625" bestFit="1" customWidth="1"/>
    <col min="5" max="8" width="10.42578125" bestFit="1" customWidth="1"/>
  </cols>
  <sheetData>
    <row r="1" spans="1:8">
      <c r="A1" s="316" t="s">
        <v>158</v>
      </c>
      <c r="B1" s="316"/>
      <c r="C1" s="316"/>
    </row>
    <row r="2" spans="1:8">
      <c r="A2" s="316"/>
      <c r="B2" s="316"/>
      <c r="C2" s="316"/>
    </row>
    <row r="3" spans="1:8">
      <c r="A3" s="316"/>
      <c r="B3" s="316"/>
      <c r="C3" s="316"/>
    </row>
    <row r="4" spans="1:8">
      <c r="D4" s="10" t="s">
        <v>34</v>
      </c>
      <c r="E4" s="10" t="s">
        <v>34</v>
      </c>
      <c r="F4" s="10" t="s">
        <v>34</v>
      </c>
      <c r="G4" s="10" t="s">
        <v>34</v>
      </c>
      <c r="H4" s="10" t="s">
        <v>34</v>
      </c>
    </row>
    <row r="5" spans="1:8">
      <c r="A5" s="317" t="s">
        <v>159</v>
      </c>
      <c r="C5" s="9" t="s">
        <v>35</v>
      </c>
      <c r="D5" s="11">
        <v>2020</v>
      </c>
      <c r="E5" s="11">
        <v>2021</v>
      </c>
      <c r="F5" s="11">
        <v>2022</v>
      </c>
      <c r="G5" s="11">
        <v>2023</v>
      </c>
      <c r="H5" s="11">
        <v>2024</v>
      </c>
    </row>
    <row r="6" spans="1:8">
      <c r="A6" s="317"/>
    </row>
    <row r="7" spans="1:8">
      <c r="A7" s="317"/>
      <c r="C7" s="3" t="s">
        <v>37</v>
      </c>
    </row>
    <row r="8" spans="1:8">
      <c r="A8" s="317"/>
      <c r="C8" t="s">
        <v>38</v>
      </c>
      <c r="D8" s="5">
        <f>'BALANCE SHEET '!D8/'BALANCE SHEET '!D$21</f>
        <v>0.16734739206080873</v>
      </c>
      <c r="E8" s="5">
        <f>'BALANCE SHEET '!E8/'BALANCE SHEET '!E$21</f>
        <v>0.18748336686573203</v>
      </c>
      <c r="F8" s="5">
        <f>'BALANCE SHEET '!F8/'BALANCE SHEET '!F$21</f>
        <v>0.12345679012345678</v>
      </c>
      <c r="G8" s="5">
        <f>'BALANCE SHEET '!G8/'BALANCE SHEET '!G$21</f>
        <v>6.4477930074898604E-2</v>
      </c>
      <c r="H8" s="5">
        <f>'BALANCE SHEET '!H8/'BALANCE SHEET '!H$21</f>
        <v>7.125706829056111E-2</v>
      </c>
    </row>
    <row r="9" spans="1:8">
      <c r="A9" s="317"/>
      <c r="C9" t="s">
        <v>39</v>
      </c>
      <c r="D9" s="5">
        <f>'BALANCE SHEET '!D9/'BALANCE SHEET '!D$21</f>
        <v>0.19075529670166952</v>
      </c>
      <c r="E9" s="5">
        <f>'BALANCE SHEET '!E9/'BALANCE SHEET '!E$21</f>
        <v>0.17451750604115437</v>
      </c>
      <c r="F9" s="5">
        <f>'BALANCE SHEET '!F9/'BALANCE SHEET '!F$21</f>
        <v>0.19082978659180777</v>
      </c>
      <c r="G9" s="5">
        <f>'BALANCE SHEET '!G9/'BALANCE SHEET '!G$21</f>
        <v>0.20498929315057679</v>
      </c>
      <c r="H9" s="5">
        <f>'BALANCE SHEET '!H9/'BALANCE SHEET '!H$21</f>
        <v>0.21880817746846454</v>
      </c>
    </row>
    <row r="10" spans="1:8">
      <c r="A10" s="317"/>
      <c r="C10" t="s">
        <v>40</v>
      </c>
      <c r="D10" s="5">
        <f>'BALANCE SHEET '!D10/'BALANCE SHEET '!D$21</f>
        <v>4.9431769104527339E-2</v>
      </c>
      <c r="E10" s="5">
        <f>'BALANCE SHEET '!E10/'BALANCE SHEET '!E$21</f>
        <v>2.1684284482483315E-2</v>
      </c>
      <c r="F10" s="5">
        <f>'BALANCE SHEET '!F10/'BALANCE SHEET '!F$21</f>
        <v>5.5007194099831971E-2</v>
      </c>
      <c r="G10" s="5">
        <f>'BALANCE SHEET '!G10/'BALANCE SHEET '!G$21</f>
        <v>4.4169454394742298E-2</v>
      </c>
      <c r="H10" s="5">
        <f>'BALANCE SHEET '!H10/'BALANCE SHEET '!H$21</f>
        <v>9.8364506307090038E-2</v>
      </c>
    </row>
    <row r="11" spans="1:8">
      <c r="A11" s="317"/>
      <c r="C11" t="s">
        <v>41</v>
      </c>
      <c r="D11" s="5">
        <f>'BALANCE SHEET '!D11/'BALANCE SHEET '!D$21</f>
        <v>5.8057032859910415E-2</v>
      </c>
      <c r="E11" s="5">
        <f>'BALANCE SHEET '!E11/'BALANCE SHEET '!E$21</f>
        <v>5.8069598356380203E-2</v>
      </c>
      <c r="F11" s="5">
        <f>'BALANCE SHEET '!F11/'BALANCE SHEET '!F$21</f>
        <v>6.8409349311278136E-2</v>
      </c>
      <c r="G11" s="5">
        <f>'BALANCE SHEET '!G11/'BALANCE SHEET '!G$21</f>
        <v>9.2552572110877571E-2</v>
      </c>
      <c r="H11" s="5">
        <f>'BALANCE SHEET '!H11/'BALANCE SHEET '!H$21</f>
        <v>8.9926054806437575E-2</v>
      </c>
    </row>
    <row r="12" spans="1:8">
      <c r="A12" s="317"/>
      <c r="C12" t="s">
        <v>42</v>
      </c>
      <c r="D12" s="5">
        <f>'BALANCE SHEET '!D12/'BALANCE SHEET '!D$21</f>
        <v>7.5122468873779935E-2</v>
      </c>
      <c r="E12" s="5">
        <f>'BALANCE SHEET '!E12/'BALANCE SHEET '!E$21</f>
        <v>7.2217077039355329E-2</v>
      </c>
      <c r="F12" s="5">
        <f>'BALANCE SHEET '!F12/'BALANCE SHEET '!F$21</f>
        <v>8.9901093704408019E-2</v>
      </c>
      <c r="G12" s="5">
        <f>'BALANCE SHEET '!G12/'BALANCE SHEET '!G$21</f>
        <v>0.10775925871103348</v>
      </c>
      <c r="H12" s="5">
        <f>'BALANCE SHEET '!H12/'BALANCE SHEET '!H$21</f>
        <v>0.13888647237929536</v>
      </c>
    </row>
    <row r="13" spans="1:8">
      <c r="A13" s="317"/>
      <c r="C13" s="2" t="s">
        <v>43</v>
      </c>
      <c r="D13" s="18">
        <f>SUM(D8:D12)</f>
        <v>0.54071395960069601</v>
      </c>
      <c r="E13" s="18">
        <f t="shared" ref="E13:H13" si="0">SUM(E8:E12)</f>
        <v>0.51397183278510528</v>
      </c>
      <c r="F13" s="18">
        <f t="shared" si="0"/>
        <v>0.5276042138307826</v>
      </c>
      <c r="G13" s="18">
        <f t="shared" si="0"/>
        <v>0.51394850844212869</v>
      </c>
      <c r="H13" s="18">
        <f t="shared" si="0"/>
        <v>0.6172422792518486</v>
      </c>
    </row>
    <row r="14" spans="1:8">
      <c r="A14" s="317"/>
      <c r="D14" s="5"/>
      <c r="E14" s="5"/>
      <c r="F14" s="5"/>
      <c r="G14" s="5"/>
      <c r="H14" s="5"/>
    </row>
    <row r="15" spans="1:8">
      <c r="A15" s="317"/>
      <c r="C15" t="s">
        <v>44</v>
      </c>
      <c r="D15" s="5">
        <f>'BALANCE SHEET '!D15/'BALANCE SHEET '!D$21</f>
        <v>0.18409200281339075</v>
      </c>
      <c r="E15" s="5">
        <f>'BALANCE SHEET '!E15/'BALANCE SHEET '!E$21</f>
        <v>0.16505391796804308</v>
      </c>
      <c r="F15" s="5">
        <f>'BALANCE SHEET '!F15/'BALANCE SHEET '!F$21</f>
        <v>0.15443669695231771</v>
      </c>
      <c r="G15" s="5">
        <f>'BALANCE SHEET '!G15/'BALANCE SHEET '!G$21</f>
        <v>0.1549878129409791</v>
      </c>
      <c r="H15" s="5">
        <f>'BALANCE SHEET '!H15/'BALANCE SHEET '!H$21</f>
        <v>0.12704654197477164</v>
      </c>
    </row>
    <row r="16" spans="1:8">
      <c r="A16" s="317"/>
      <c r="C16" t="s">
        <v>45</v>
      </c>
      <c r="D16" s="5">
        <f>'BALANCE SHEET '!D16/'BALANCE SHEET '!D$21</f>
        <v>0.17171555138756925</v>
      </c>
      <c r="E16" s="5">
        <f>'BALANCE SHEET '!E16/'BALANCE SHEET '!E$21</f>
        <v>0.23545066479311041</v>
      </c>
      <c r="F16" s="5">
        <f>'BALANCE SHEET '!F16/'BALANCE SHEET '!F$21</f>
        <v>0.23010051616408583</v>
      </c>
      <c r="G16" s="5">
        <f>'BALANCE SHEET '!G16/'BALANCE SHEET '!G$21</f>
        <v>0.23373496353750359</v>
      </c>
      <c r="H16" s="5">
        <f>'BALANCE SHEET '!H16/'BALANCE SHEET '!H$21</f>
        <v>0.20314919530230535</v>
      </c>
    </row>
    <row r="17" spans="1:8">
      <c r="A17" s="317"/>
      <c r="C17" t="s">
        <v>41</v>
      </c>
      <c r="D17" s="5">
        <f>'BALANCE SHEET '!D17/'BALANCE SHEET '!D$21</f>
        <v>1.1241223578188818E-2</v>
      </c>
      <c r="E17" s="5">
        <f>'BALANCE SHEET '!E17/'BALANCE SHEET '!E$21</f>
        <v>6.8448674139601233E-3</v>
      </c>
      <c r="F17" s="5">
        <f>'BALANCE SHEET '!F17/'BALANCE SHEET '!F$21</f>
        <v>7.6569370239568555E-3</v>
      </c>
      <c r="G17" s="5">
        <f>'BALANCE SHEET '!G17/'BALANCE SHEET '!G$21</f>
        <v>1.3617928298647088E-2</v>
      </c>
      <c r="H17" s="5">
        <f>'BALANCE SHEET '!H17/'BALANCE SHEET '!H$21</f>
        <v>1.5571987820791649E-2</v>
      </c>
    </row>
    <row r="18" spans="1:8">
      <c r="A18" s="317"/>
      <c r="C18" t="s">
        <v>46</v>
      </c>
      <c r="D18" s="5">
        <f>'BALANCE SHEET '!D18/'BALANCE SHEET '!D$21</f>
        <v>9.2237262620155233E-2</v>
      </c>
      <c r="E18" s="5">
        <f>'BALANCE SHEET '!E18/'BALANCE SHEET '!E$21</f>
        <v>7.8678717039781132E-2</v>
      </c>
      <c r="F18" s="5">
        <f>'BALANCE SHEET '!F18/'BALANCE SHEET '!F$21</f>
        <v>8.0201636028856896E-2</v>
      </c>
      <c r="G18" s="5">
        <f>'BALANCE SHEET '!G18/'BALANCE SHEET '!G$21</f>
        <v>8.3710786780741481E-2</v>
      </c>
      <c r="H18" s="5">
        <f>'BALANCE SHEET '!H18/'BALANCE SHEET '!H$21</f>
        <v>3.6989995650282728E-2</v>
      </c>
    </row>
    <row r="19" spans="1:8">
      <c r="A19" s="317"/>
      <c r="C19" s="2" t="s">
        <v>47</v>
      </c>
      <c r="D19" s="18">
        <f>SUM(D15:D18)</f>
        <v>0.45928604039930404</v>
      </c>
      <c r="E19" s="18">
        <f t="shared" ref="E19:H19" si="1">SUM(E15:E18)</f>
        <v>0.48602816721489478</v>
      </c>
      <c r="F19" s="18">
        <f t="shared" si="1"/>
        <v>0.47239578616921729</v>
      </c>
      <c r="G19" s="18">
        <f t="shared" si="1"/>
        <v>0.48605149155787131</v>
      </c>
      <c r="H19" s="18">
        <f t="shared" si="1"/>
        <v>0.38275772074815134</v>
      </c>
    </row>
    <row r="20" spans="1:8">
      <c r="A20" s="317"/>
      <c r="D20" s="5"/>
      <c r="E20" s="5"/>
      <c r="F20" s="5"/>
      <c r="G20" s="5"/>
      <c r="H20" s="5"/>
    </row>
    <row r="21" spans="1:8">
      <c r="A21" s="317"/>
      <c r="C21" s="4" t="s">
        <v>48</v>
      </c>
      <c r="D21" s="21">
        <f>D13+D19</f>
        <v>1</v>
      </c>
      <c r="E21" s="21">
        <f t="shared" ref="E21:H21" si="2">E13+E19</f>
        <v>1</v>
      </c>
      <c r="F21" s="21">
        <f t="shared" si="2"/>
        <v>0.99999999999999989</v>
      </c>
      <c r="G21" s="21">
        <f t="shared" si="2"/>
        <v>1</v>
      </c>
      <c r="H21" s="21">
        <f t="shared" si="2"/>
        <v>1</v>
      </c>
    </row>
    <row r="22" spans="1:8">
      <c r="A22" s="317"/>
    </row>
    <row r="23" spans="1:8">
      <c r="A23" s="317"/>
      <c r="C23" s="3" t="s">
        <v>50</v>
      </c>
    </row>
    <row r="24" spans="1:8">
      <c r="A24" s="317"/>
      <c r="C24" t="s">
        <v>51</v>
      </c>
      <c r="D24" s="5">
        <f>'BALANCE SHEET '!D24/'BALANCE SHEET '!D$39</f>
        <v>1.8866993250330078E-2</v>
      </c>
      <c r="E24" s="5">
        <f>'BALANCE SHEET '!E24/'BALANCE SHEET '!E$39</f>
        <v>1.6627811665016659E-2</v>
      </c>
      <c r="F24" s="5">
        <f>'BALANCE SHEET '!F24/'BALANCE SHEET '!F$39</f>
        <v>2.6854618813325685E-2</v>
      </c>
      <c r="G24" s="5">
        <f>'BALANCE SHEET '!G24/'BALANCE SHEET '!G$39</f>
        <v>2.3939923226462202E-2</v>
      </c>
      <c r="H24" s="5">
        <f>'BALANCE SHEET '!H24/'BALANCE SHEET '!H$39</f>
        <v>2.1687690300130492E-2</v>
      </c>
    </row>
    <row r="25" spans="1:8">
      <c r="A25" s="317"/>
      <c r="C25" t="s">
        <v>52</v>
      </c>
      <c r="D25" s="5">
        <f>'BALANCE SHEET '!D25/'BALANCE SHEET '!D$39</f>
        <v>0.10273812021075751</v>
      </c>
      <c r="E25" s="5">
        <f>'BALANCE SHEET '!E25/'BALANCE SHEET '!E$39</f>
        <v>9.4167491670126363E-2</v>
      </c>
      <c r="F25" s="5">
        <f>'BALANCE SHEET '!F25/'BALANCE SHEET '!F$39</f>
        <v>0.1189994667310614</v>
      </c>
      <c r="G25" s="5">
        <f>'BALANCE SHEET '!G25/'BALANCE SHEET '!G$39</f>
        <v>0.13233073803250539</v>
      </c>
      <c r="H25" s="5">
        <f>'BALANCE SHEET '!H25/'BALANCE SHEET '!H$39</f>
        <v>0.10862113962592432</v>
      </c>
    </row>
    <row r="26" spans="1:8">
      <c r="A26" s="317"/>
      <c r="C26" t="s">
        <v>53</v>
      </c>
      <c r="D26" s="5">
        <f>'BALANCE SHEET '!D26/'BALANCE SHEET '!D$39</f>
        <v>6.6201058723362252E-2</v>
      </c>
      <c r="E26" s="5">
        <f>'BALANCE SHEET '!E26/'BALANCE SHEET '!E$39</f>
        <v>7.6794515589904092E-2</v>
      </c>
      <c r="F26" s="5">
        <f>'BALANCE SHEET '!F26/'BALANCE SHEET '!F$39</f>
        <v>0.10544638634831517</v>
      </c>
      <c r="G26" s="5">
        <f>'BALANCE SHEET '!G26/'BALANCE SHEET '!G$39</f>
        <v>0.11452875060441892</v>
      </c>
      <c r="H26" s="5">
        <f>'BALANCE SHEET '!H26/'BALANCE SHEET '!H$39</f>
        <v>0.10532405393649413</v>
      </c>
    </row>
    <row r="27" spans="1:8">
      <c r="A27" s="317"/>
      <c r="C27" s="2" t="s">
        <v>54</v>
      </c>
      <c r="D27" s="18">
        <f>SUM(D24:D26)</f>
        <v>0.18780617218444984</v>
      </c>
      <c r="E27" s="18">
        <f t="shared" ref="E27:H27" si="3">SUM(E24:E26)</f>
        <v>0.18758981892504711</v>
      </c>
      <c r="F27" s="18">
        <f t="shared" si="3"/>
        <v>0.25130047189270227</v>
      </c>
      <c r="G27" s="18">
        <f t="shared" si="3"/>
        <v>0.27079941186338652</v>
      </c>
      <c r="H27" s="18">
        <f t="shared" si="3"/>
        <v>0.23563288386254894</v>
      </c>
    </row>
    <row r="28" spans="1:8">
      <c r="A28" s="317"/>
      <c r="D28" s="5"/>
      <c r="E28" s="5"/>
      <c r="F28" s="5"/>
      <c r="G28" s="5"/>
      <c r="H28" s="5"/>
    </row>
    <row r="29" spans="1:8">
      <c r="A29" s="317"/>
      <c r="C29" t="s">
        <v>55</v>
      </c>
      <c r="D29" s="5">
        <f>'BALANCE SHEET '!D29/'BALANCE SHEET '!D$39</f>
        <v>3.4846559149072691E-2</v>
      </c>
      <c r="E29" s="5">
        <f>'BALANCE SHEET '!E29/'BALANCE SHEET '!E$39</f>
        <v>3.8599516707650709E-2</v>
      </c>
      <c r="F29" s="5">
        <f>'BALANCE SHEET '!F29/'BALANCE SHEET '!F$39</f>
        <v>3.9280791250364738E-2</v>
      </c>
      <c r="G29" s="5">
        <f>'BALANCE SHEET '!G29/'BALANCE SHEET '!G$39</f>
        <v>4.8057471604645886E-2</v>
      </c>
      <c r="H29" s="5">
        <f>'BALANCE SHEET '!H29/'BALANCE SHEET '!H$39</f>
        <v>4.3749456285341451E-2</v>
      </c>
    </row>
    <row r="30" spans="1:8">
      <c r="A30" s="317"/>
      <c r="C30" t="s">
        <v>56</v>
      </c>
      <c r="D30" s="5">
        <f>'BALANCE SHEET '!D30/'BALANCE SHEET '!D$39</f>
        <v>9.4149874754753775E-3</v>
      </c>
      <c r="E30" s="5">
        <f>'BALANCE SHEET '!E30/'BALANCE SHEET '!E$39</f>
        <v>1.2348438880550145E-2</v>
      </c>
      <c r="F30" s="5">
        <f>'BALANCE SHEET '!F30/'BALANCE SHEET '!F$39</f>
        <v>1.2084075382092226E-2</v>
      </c>
      <c r="G30" s="5">
        <f>'BALANCE SHEET '!G30/'BALANCE SHEET '!G$39</f>
        <v>1.26311219001944E-2</v>
      </c>
      <c r="H30" s="5">
        <f>'BALANCE SHEET '!H30/'BALANCE SHEET '!H$39</f>
        <v>1.4432361896476729E-2</v>
      </c>
    </row>
    <row r="31" spans="1:8">
      <c r="A31" s="317"/>
      <c r="C31" s="2" t="s">
        <v>57</v>
      </c>
      <c r="D31" s="18">
        <f>SUM(D29:D30)</f>
        <v>4.4261546624548065E-2</v>
      </c>
      <c r="E31" s="18">
        <f t="shared" ref="E31:H31" si="4">SUM(E29:E30)</f>
        <v>5.0947955588200852E-2</v>
      </c>
      <c r="F31" s="18">
        <f t="shared" si="4"/>
        <v>5.1364866632456964E-2</v>
      </c>
      <c r="G31" s="18">
        <f t="shared" si="4"/>
        <v>6.0688593504840287E-2</v>
      </c>
      <c r="H31" s="18">
        <f t="shared" si="4"/>
        <v>5.8181818181818182E-2</v>
      </c>
    </row>
    <row r="32" spans="1:8">
      <c r="A32" s="317"/>
      <c r="D32" s="5"/>
      <c r="E32" s="5"/>
      <c r="F32" s="5"/>
      <c r="G32" s="5"/>
      <c r="H32" s="5"/>
    </row>
    <row r="33" spans="1:8">
      <c r="A33" s="317"/>
      <c r="C33" s="2" t="s">
        <v>58</v>
      </c>
      <c r="D33" s="18">
        <f>D27+D31</f>
        <v>0.2320677188089979</v>
      </c>
      <c r="E33" s="18">
        <f t="shared" ref="E33:H33" si="5">E27+E31</f>
        <v>0.23853777451324798</v>
      </c>
      <c r="F33" s="18">
        <f t="shared" si="5"/>
        <v>0.30266533852515926</v>
      </c>
      <c r="G33" s="18">
        <f t="shared" si="5"/>
        <v>0.33148800536822681</v>
      </c>
      <c r="H33" s="18">
        <f t="shared" si="5"/>
        <v>0.2938147020443671</v>
      </c>
    </row>
    <row r="34" spans="1:8">
      <c r="A34" s="317"/>
      <c r="D34" s="5"/>
      <c r="E34" s="5"/>
      <c r="F34" s="5"/>
      <c r="G34" s="5"/>
      <c r="H34" s="5"/>
    </row>
    <row r="35" spans="1:8">
      <c r="A35" s="317"/>
      <c r="C35" t="s">
        <v>60</v>
      </c>
      <c r="D35" s="5">
        <f>'BALANCE SHEET '!D35/'BALANCE SHEET '!D$39</f>
        <v>2.6270653126195382E-2</v>
      </c>
      <c r="E35" s="5">
        <f>'BALANCE SHEET '!E35/'BALANCE SHEET '!E$39</f>
        <v>2.2674288634113627E-2</v>
      </c>
      <c r="F35" s="5">
        <f>'BALANCE SHEET '!F35/'BALANCE SHEET '!F$39</f>
        <v>2.1159709016269734E-2</v>
      </c>
      <c r="G35" s="5">
        <f>'BALANCE SHEET '!G35/'BALANCE SHEET '!G$39</f>
        <v>2.0466364703908741E-2</v>
      </c>
      <c r="H35" s="5">
        <f>'BALANCE SHEET '!H35/'BALANCE SHEET '!H$39</f>
        <v>1.8051326663766853E-2</v>
      </c>
    </row>
    <row r="36" spans="1:8">
      <c r="A36" s="317"/>
      <c r="C36" t="s">
        <v>61</v>
      </c>
      <c r="D36" s="5">
        <f>'BALANCE SHEET '!D36/'BALANCE SHEET '!D$39</f>
        <v>0.74166162806480673</v>
      </c>
      <c r="E36" s="5">
        <f>'BALANCE SHEET '!E36/'BALANCE SHEET '!E$39</f>
        <v>0.73878793685263844</v>
      </c>
      <c r="F36" s="5">
        <f>'BALANCE SHEET '!F36/'BALANCE SHEET '!F$39</f>
        <v>0.67617495245857107</v>
      </c>
      <c r="G36" s="5">
        <f>'BALANCE SHEET '!G36/'BALANCE SHEET '!G$39</f>
        <v>0.64804562992786441</v>
      </c>
      <c r="H36" s="5">
        <f>'BALANCE SHEET '!H36/'BALANCE SHEET '!H$39</f>
        <v>0.68813397129186604</v>
      </c>
    </row>
    <row r="37" spans="1:8">
      <c r="A37" s="317"/>
      <c r="C37" s="2" t="s">
        <v>62</v>
      </c>
      <c r="D37" s="18">
        <f>SUM(D35:D36)</f>
        <v>0.7679322811910021</v>
      </c>
      <c r="E37" s="18">
        <f t="shared" ref="E37:H37" si="6">SUM(E35:E36)</f>
        <v>0.76146222548675202</v>
      </c>
      <c r="F37" s="18">
        <f t="shared" si="6"/>
        <v>0.6973346614748408</v>
      </c>
      <c r="G37" s="18">
        <f t="shared" si="6"/>
        <v>0.66851199463177313</v>
      </c>
      <c r="H37" s="18">
        <f t="shared" si="6"/>
        <v>0.7061852979556329</v>
      </c>
    </row>
    <row r="38" spans="1:8">
      <c r="A38" s="317"/>
      <c r="D38" s="5"/>
      <c r="E38" s="5"/>
      <c r="F38" s="5"/>
      <c r="G38" s="5"/>
      <c r="H38" s="5"/>
    </row>
    <row r="39" spans="1:8">
      <c r="A39" s="317"/>
      <c r="C39" s="4" t="s">
        <v>63</v>
      </c>
      <c r="D39" s="21">
        <f>D33+D37</f>
        <v>1</v>
      </c>
      <c r="E39" s="21">
        <f t="shared" ref="E39:H39" si="7">E33+E37</f>
        <v>1</v>
      </c>
      <c r="F39" s="21">
        <f t="shared" si="7"/>
        <v>1</v>
      </c>
      <c r="G39" s="21">
        <f t="shared" si="7"/>
        <v>1</v>
      </c>
      <c r="H39" s="21">
        <f t="shared" si="7"/>
        <v>1</v>
      </c>
    </row>
    <row r="42" spans="1:8">
      <c r="A42" s="319" t="s">
        <v>160</v>
      </c>
      <c r="C42" t="s">
        <v>9</v>
      </c>
      <c r="D42" s="17">
        <v>1</v>
      </c>
      <c r="E42" s="17">
        <v>1</v>
      </c>
      <c r="F42" s="17">
        <v>1</v>
      </c>
      <c r="G42" s="17">
        <v>1</v>
      </c>
      <c r="H42" s="17">
        <v>1</v>
      </c>
    </row>
    <row r="43" spans="1:8">
      <c r="A43" s="319"/>
    </row>
    <row r="44" spans="1:8">
      <c r="A44" s="319"/>
      <c r="C44" t="s">
        <v>76</v>
      </c>
      <c r="D44" s="5">
        <f>('INCOME STATEMENT'!D8*-1)/'INCOME STATEMENT'!D$7</f>
        <v>0.66815944944147154</v>
      </c>
      <c r="E44" s="5">
        <f>('INCOME STATEMENT'!E8*-1)/'INCOME STATEMENT'!E$7</f>
        <v>0.64648710308222368</v>
      </c>
      <c r="F44" s="5">
        <f>('INCOME STATEMENT'!F8*-1)/'INCOME STATEMENT'!F$7</f>
        <v>0.66989609390032712</v>
      </c>
      <c r="G44" s="5">
        <f>('INCOME STATEMENT'!G8*-1)/'INCOME STATEMENT'!G$7</f>
        <v>0.6915509539245569</v>
      </c>
      <c r="H44" s="5">
        <f>('INCOME STATEMENT'!H8*-1)/'INCOME STATEMENT'!H$7</f>
        <v>0.69052918957908371</v>
      </c>
    </row>
    <row r="45" spans="1:8">
      <c r="A45" s="319"/>
      <c r="C45" s="27" t="s">
        <v>161</v>
      </c>
      <c r="D45" s="22">
        <f>'RATIO ANALYSIS '!D7</f>
        <v>0.33184055055852846</v>
      </c>
      <c r="E45" s="22">
        <f>'RATIO ANALYSIS '!E7</f>
        <v>0.35351289691777632</v>
      </c>
      <c r="F45" s="22">
        <f>'RATIO ANALYSIS '!F7</f>
        <v>0.33010390609967288</v>
      </c>
      <c r="G45" s="22">
        <f>'RATIO ANALYSIS '!G7</f>
        <v>0.3084490460754431</v>
      </c>
      <c r="H45" s="22">
        <f>'RATIO ANALYSIS '!H7</f>
        <v>0.30947081042091629</v>
      </c>
    </row>
    <row r="46" spans="1:8">
      <c r="A46" s="319"/>
    </row>
    <row r="47" spans="1:8">
      <c r="A47" s="319"/>
      <c r="C47" t="s">
        <v>14</v>
      </c>
      <c r="D47" s="5">
        <f>(('INCOME STATEMENT'!D9+'INCOME STATEMENT'!D19)*-1)/'INCOME STATEMENT'!D$7</f>
        <v>7.8383746378736699E-2</v>
      </c>
      <c r="E47" s="5">
        <f>(('INCOME STATEMENT'!E9+'INCOME STATEMENT'!E19)*-1)/'INCOME STATEMENT'!E$7</f>
        <v>6.8837880622031847E-2</v>
      </c>
      <c r="F47" s="5">
        <f>(('INCOME STATEMENT'!F9+'INCOME STATEMENT'!F19)*-1)/'INCOME STATEMENT'!F$7</f>
        <v>6.2372522609197616E-2</v>
      </c>
      <c r="G47" s="5">
        <f>(('INCOME STATEMENT'!G9+'INCOME STATEMENT'!G19)*-1)/'INCOME STATEMENT'!G$7</f>
        <v>6.0944732046381858E-2</v>
      </c>
      <c r="H47" s="5">
        <f>(('INCOME STATEMENT'!H9+'INCOME STATEMENT'!H19)*-1)/'INCOME STATEMENT'!H$7</f>
        <v>6.3164589360365467E-2</v>
      </c>
    </row>
    <row r="48" spans="1:8">
      <c r="A48" s="319"/>
      <c r="C48" t="s">
        <v>162</v>
      </c>
      <c r="D48" s="5">
        <f>'INCOME STATEMENT'!D19/'INCOME STATEMENT'!D7</f>
        <v>2.7123103976115476E-2</v>
      </c>
      <c r="E48" s="5">
        <f>'INCOME STATEMENT'!E19/'INCOME STATEMENT'!E7</f>
        <v>2.7016016388863022E-2</v>
      </c>
      <c r="F48" s="5">
        <f>'INCOME STATEMENT'!F19/'INCOME STATEMENT'!F7</f>
        <v>2.3369251491244948E-2</v>
      </c>
      <c r="G48" s="5">
        <f>'INCOME STATEMENT'!G19/'INCOME STATEMENT'!G7</f>
        <v>2.2199106552486008E-2</v>
      </c>
      <c r="H48" s="5">
        <f>'INCOME STATEMENT'!H19/'INCOME STATEMENT'!H7</f>
        <v>2.2833564719660599E-2</v>
      </c>
    </row>
    <row r="49" spans="1:8">
      <c r="A49" s="319"/>
    </row>
    <row r="50" spans="1:8">
      <c r="A50" s="319"/>
      <c r="C50" t="s">
        <v>23</v>
      </c>
      <c r="D50" s="5">
        <f>('INCOME STATEMENT'!D14*-1)/'INCOME STATEMENT'!D7</f>
        <v>1.4421799688792744E-3</v>
      </c>
      <c r="E50" s="5">
        <f>('INCOME STATEMENT'!E14*-1)/'INCOME STATEMENT'!E7</f>
        <v>1.466617003445386E-3</v>
      </c>
      <c r="F50" s="5">
        <f>('INCOME STATEMENT'!F14*-1)/'INCOME STATEMENT'!F7</f>
        <v>1.2314796998268232E-3</v>
      </c>
      <c r="G50" s="5">
        <f>('INCOME STATEMENT'!G14*-1)/'INCOME STATEMENT'!G7</f>
        <v>1.2659860983437355E-3</v>
      </c>
      <c r="H50" s="5">
        <f>('INCOME STATEMENT'!H14*-1)/'INCOME STATEMENT'!H7</f>
        <v>2.14840265874524E-3</v>
      </c>
    </row>
    <row r="51" spans="1:8">
      <c r="A51" s="319"/>
      <c r="C51" s="23" t="s">
        <v>163</v>
      </c>
      <c r="D51" s="24">
        <f>('INCOME STATEMENT'!D15*-1)/'INCOME STATEMENT'!D7</f>
        <v>6.2418561109213504E-2</v>
      </c>
      <c r="E51" s="24">
        <f>('INCOME STATEMENT'!E15*-1)/'INCOME STATEMENT'!E7</f>
        <v>7.4832386628177663E-2</v>
      </c>
      <c r="F51" s="24">
        <f>('INCOME STATEMENT'!F15*-1)/'INCOME STATEMENT'!F7</f>
        <v>6.9847989224552626E-2</v>
      </c>
      <c r="G51" s="24">
        <f>('INCOME STATEMENT'!G15*-1)/'INCOME STATEMENT'!G7</f>
        <v>6.753269792120245E-2</v>
      </c>
      <c r="H51" s="24">
        <f>('INCOME STATEMENT'!H15*-1)/'INCOME STATEMENT'!H7</f>
        <v>6.7624269969674175E-2</v>
      </c>
    </row>
    <row r="52" spans="1:8">
      <c r="A52" s="319"/>
    </row>
    <row r="53" spans="1:8">
      <c r="A53" s="319"/>
      <c r="C53" s="26" t="s">
        <v>164</v>
      </c>
      <c r="D53" s="25">
        <f>'INCOME STATEMENT'!D16/'INCOME STATEMENT'!D7</f>
        <v>0.1966298531253558</v>
      </c>
      <c r="E53" s="25">
        <f>'INCOME STATEMENT'!E16/'INCOME STATEMENT'!E7</f>
        <v>0.21007542601732004</v>
      </c>
      <c r="F53" s="25">
        <f>'INCOME STATEMENT'!F16/'INCOME STATEMENT'!F7</f>
        <v>0.20430055801423899</v>
      </c>
      <c r="G53" s="25">
        <f>'INCOME STATEMENT'!G16/'INCOME STATEMENT'!G7</f>
        <v>0.18762397793797475</v>
      </c>
      <c r="H53" s="25">
        <f>'INCOME STATEMENT'!H16/'INCOME STATEMENT'!H7</f>
        <v>0.21122598558941466</v>
      </c>
    </row>
    <row r="56" spans="1:8">
      <c r="A56" s="317" t="s">
        <v>165</v>
      </c>
      <c r="C56" s="28" t="s">
        <v>166</v>
      </c>
      <c r="D56" s="5">
        <f>'BALANCE SHEET '!D9/'INCOME STATEMENT'!D7</f>
        <v>0.19556719420091845</v>
      </c>
      <c r="E56" s="5">
        <f>'BALANCE SHEET '!E9/'INCOME STATEMENT'!E7</f>
        <v>0.19082316789272744</v>
      </c>
      <c r="F56" s="5">
        <f>'BALANCE SHEET '!F9/'INCOME STATEMENT'!F7</f>
        <v>0.18247065614777758</v>
      </c>
      <c r="G56" s="5">
        <f>'BALANCE SHEET '!G9/'INCOME STATEMENT'!G7</f>
        <v>0.16750528166174786</v>
      </c>
      <c r="H56" s="5">
        <f>'BALANCE SHEET '!H9/'INCOME STATEMENT'!H7</f>
        <v>0.1950780638005786</v>
      </c>
    </row>
    <row r="57" spans="1:8">
      <c r="A57" s="317"/>
      <c r="C57" s="28" t="s">
        <v>167</v>
      </c>
      <c r="D57" s="5">
        <f>'BALANCE SHEET '!D11/'INCOME STATEMENT'!D7</f>
        <v>5.952155046997356E-2</v>
      </c>
      <c r="E57" s="5">
        <f>'BALANCE SHEET '!E26/'INCOME STATEMENT'!E7</f>
        <v>8.3969643355992177E-2</v>
      </c>
      <c r="F57" s="5">
        <f>'BALANCE SHEET '!F26/'INCOME STATEMENT'!F7</f>
        <v>0.10082740042332115</v>
      </c>
      <c r="G57" s="5">
        <f>'BALANCE SHEET '!G26/'INCOME STATEMENT'!G7</f>
        <v>9.3586208008773208E-2</v>
      </c>
      <c r="H57" s="5">
        <f>'BALANCE SHEET '!H26/'INCOME STATEMENT'!H7</f>
        <v>9.3901483716348808E-2</v>
      </c>
    </row>
    <row r="58" spans="1:8">
      <c r="A58" s="317"/>
      <c r="C58" s="28" t="s">
        <v>168</v>
      </c>
      <c r="D58" s="15">
        <f>('BALANCE SHEET '!D12/'INCOME STATEMENT'!D7)*365</f>
        <v>28.111376775842221</v>
      </c>
      <c r="E58" s="15">
        <f>('BALANCE SHEET '!E12/'INCOME STATEMENT'!E7)*365</f>
        <v>28.822050470248627</v>
      </c>
      <c r="F58" s="15">
        <f>('BALANCE SHEET '!F12/'INCOME STATEMENT'!F7)*365</f>
        <v>31.376515297286893</v>
      </c>
      <c r="G58" s="15">
        <f>('BALANCE SHEET '!G12/'INCOME STATEMENT'!G7)*365</f>
        <v>32.139919686487005</v>
      </c>
      <c r="H58" s="15">
        <f>('BALANCE SHEET '!H12/'INCOME STATEMENT'!H7)*365</f>
        <v>45.195760588832961</v>
      </c>
    </row>
    <row r="59" spans="1:8">
      <c r="A59" s="317"/>
      <c r="C59" s="28" t="s">
        <v>169</v>
      </c>
      <c r="D59" s="5">
        <f>'BALANCE SHEET '!D13/'INCOME STATEMENT'!D7</f>
        <v>0.55435373891482287</v>
      </c>
      <c r="E59" s="5">
        <f>'BALANCE SHEET '!E13/'INCOME STATEMENT'!E7</f>
        <v>0.56199366793928673</v>
      </c>
      <c r="F59" s="5">
        <f>'BALANCE SHEET '!F13/'INCOME STATEMENT'!F7</f>
        <v>0.50449297671733695</v>
      </c>
      <c r="G59" s="5">
        <f>'BALANCE SHEET '!G13/'INCOME STATEMENT'!G7</f>
        <v>0.41996871320979889</v>
      </c>
      <c r="H59" s="5">
        <f>'BALANCE SHEET '!H13/'INCOME STATEMENT'!H7</f>
        <v>0.5503013192898637</v>
      </c>
    </row>
    <row r="60" spans="1:8">
      <c r="A60" s="317"/>
    </row>
    <row r="61" spans="1:8">
      <c r="A61" s="317"/>
      <c r="C61" s="28" t="s">
        <v>170</v>
      </c>
      <c r="D61" s="5">
        <f>'BALANCE SHEET '!D24/'INCOME STATEMENT'!D8*-1</f>
        <v>2.894956073916995E-2</v>
      </c>
      <c r="E61" s="5">
        <f>'BALANCE SHEET '!E24/'INCOME STATEMENT'!E8*-1</f>
        <v>2.8123368322500494E-2</v>
      </c>
      <c r="F61" s="5">
        <f>'BALANCE SHEET '!F24/'INCOME STATEMENT'!F8*-1</f>
        <v>3.8331729595427196E-2</v>
      </c>
      <c r="G61" s="5">
        <f>'BALANCE SHEET '!G24/'INCOME STATEMENT'!G8*-1</f>
        <v>2.8287586576805579E-2</v>
      </c>
      <c r="H61" s="5">
        <f>'BALANCE SHEET '!H24/'INCOME STATEMENT'!H8*-1</f>
        <v>2.8001168119327881E-2</v>
      </c>
    </row>
    <row r="62" spans="1:8">
      <c r="A62" s="317"/>
      <c r="C62" s="28" t="s">
        <v>171</v>
      </c>
      <c r="D62" s="5">
        <f>'BALANCE SHEET '!D25/('INCOME STATEMENT'!D9+'INCOME STATEMENT'!D8)*-1</f>
        <v>0.13614363267708809</v>
      </c>
      <c r="E62" s="5">
        <f>'BALANCE SHEET '!E25/('INCOME STATEMENT'!E9+'INCOME STATEMENT'!E8)*-1</f>
        <v>0.13870421475163069</v>
      </c>
      <c r="F62" s="5">
        <f>'BALANCE SHEET '!F25/('INCOME STATEMENT'!F9+'INCOME STATEMENT'!F8)*-1</f>
        <v>0.15058377153333927</v>
      </c>
      <c r="G62" s="5">
        <f>'BALANCE SHEET '!G25/('INCOME STATEMENT'!G9+'INCOME STATEMENT'!G8)*-1</f>
        <v>0.1395813600074943</v>
      </c>
      <c r="H62" s="5">
        <f>'BALANCE SHEET '!H25/('INCOME STATEMENT'!H9+'INCOME STATEMENT'!H8)*-1</f>
        <v>0.12471034758290052</v>
      </c>
    </row>
    <row r="63" spans="1:8" ht="14.25" customHeight="1">
      <c r="A63" s="317"/>
      <c r="C63" s="52" t="s">
        <v>172</v>
      </c>
      <c r="D63" s="15">
        <f>('BALANCE SHEET '!D26/(('INCOME STATEMENT'!D9+'INCOME STATEMENT'!D8)*-1))*365</f>
        <v>32.020161554058475</v>
      </c>
      <c r="E63" s="15">
        <f>('BALANCE SHEET '!E26/(('INCOME STATEMENT'!E9+'INCOME STATEMENT'!E8)*-1))*365</f>
        <v>41.286847717009536</v>
      </c>
      <c r="F63" s="15">
        <f>('BALANCE SHEET '!F26/(('INCOME STATEMENT'!F9+'INCOME STATEMENT'!F8)*-1))*365</f>
        <v>48.703225067162371</v>
      </c>
      <c r="G63" s="15">
        <f>('BALANCE SHEET '!G26/(('INCOME STATEMENT'!G9+'INCOME STATEMENT'!G8)*-1))*365</f>
        <v>44.093449772568775</v>
      </c>
      <c r="H63" s="15">
        <f>('BALANCE SHEET '!H26/(('INCOME STATEMENT'!H9+'INCOME STATEMENT'!H8)*-1))*365</f>
        <v>44.137584898122256</v>
      </c>
    </row>
    <row r="64" spans="1:8">
      <c r="A64" s="317"/>
      <c r="C64" s="28" t="s">
        <v>173</v>
      </c>
      <c r="D64" s="5">
        <f>'BALANCE SHEET '!D27/'INCOME STATEMENT'!D8*-1</f>
        <v>0.28817025143895791</v>
      </c>
      <c r="E64" s="5">
        <f>'BALANCE SHEET '!E27/'INCOME STATEMENT'!E8*-1</f>
        <v>0.3172791271313084</v>
      </c>
      <c r="F64" s="5">
        <f>'BALANCE SHEET '!F27/'INCOME STATEMENT'!F8*-1</f>
        <v>0.35870111591434606</v>
      </c>
      <c r="G64" s="5">
        <f>'BALANCE SHEET '!G27/'INCOME STATEMENT'!G8*-1</f>
        <v>0.31997854527646274</v>
      </c>
      <c r="H64" s="5">
        <f>'BALANCE SHEET '!H27/'INCOME STATEMENT'!H8*-1</f>
        <v>0.30422769341360412</v>
      </c>
    </row>
    <row r="67" spans="1:8" ht="18.75" customHeight="1">
      <c r="A67" s="320" t="s">
        <v>174</v>
      </c>
      <c r="C67" s="14" t="s">
        <v>175</v>
      </c>
      <c r="D67" s="5">
        <f>('INCOME STATEMENT'!D14*-1)/'BALANCE SHEET '!D29</f>
        <v>4.0368271954674219E-2</v>
      </c>
      <c r="E67" s="5">
        <f>('INCOME STATEMENT'!E14*-1)/'BALANCE SHEET '!E29</f>
        <v>3.4749034749034749E-2</v>
      </c>
      <c r="F67" s="5">
        <f>('INCOME STATEMENT'!F14*-1)/'BALANCE SHEET '!F29</f>
        <v>3.2786885245901641E-2</v>
      </c>
      <c r="G67" s="5">
        <f>('INCOME STATEMENT'!G14*-1)/'BALANCE SHEET '!G29</f>
        <v>3.2238193018480493E-2</v>
      </c>
      <c r="H67" s="5">
        <f>('INCOME STATEMENT'!H14*-1)/'BALANCE SHEET '!H29</f>
        <v>5.508053290912706E-2</v>
      </c>
    </row>
    <row r="68" spans="1:8">
      <c r="A68" s="320"/>
      <c r="C68" s="14" t="s">
        <v>176</v>
      </c>
      <c r="D68" s="5">
        <f>('CASH FLOW STATEMENT '!D19*-1)/'INCOME STATEMENT'!D7</f>
        <v>3.874909863751945E-2</v>
      </c>
      <c r="E68" s="5">
        <f>('CASH FLOW STATEMENT '!E19*-1)/'INCOME STATEMENT'!E7</f>
        <v>2.0020486078778283E-2</v>
      </c>
      <c r="F68" s="5">
        <f>('CASH FLOW STATEMENT '!F19*-1)/'INCOME STATEMENT'!F7</f>
        <v>1.7192611121801038E-2</v>
      </c>
      <c r="G68" s="5">
        <f>('CASH FLOW STATEMENT '!G19*-1)/'INCOME STATEMENT'!G7</f>
        <v>1.7175480187720742E-2</v>
      </c>
      <c r="H68" s="5">
        <f>('CASH FLOW STATEMENT '!H19*-1)/'INCOME STATEMENT'!H7</f>
        <v>1.4208930219571406E-2</v>
      </c>
    </row>
    <row r="69" spans="1:8">
      <c r="A69" s="320"/>
      <c r="C69" s="14" t="s">
        <v>177</v>
      </c>
      <c r="D69" s="5">
        <f>'INCOME STATEMENT'!D19/'BALANCE SHEET '!D15</f>
        <v>0.14370936389838462</v>
      </c>
      <c r="E69" s="5">
        <f>'INCOME STATEMENT'!E19/'BALANCE SHEET '!E15</f>
        <v>0.14969364721057724</v>
      </c>
      <c r="F69" s="5">
        <f>'INCOME STATEMENT'!F19/'BALANCE SHEET '!F15</f>
        <v>0.15825135187960127</v>
      </c>
      <c r="G69" s="5">
        <f>'INCOME STATEMENT'!G19/'BALANCE SHEET '!G15</f>
        <v>0.17528333121100217</v>
      </c>
      <c r="H69" s="5">
        <f>'INCOME STATEMENT'!H19/'BALANCE SHEET '!H15</f>
        <v>0.20158860586140784</v>
      </c>
    </row>
    <row r="70" spans="1:8">
      <c r="A70" s="320"/>
      <c r="C70" s="14" t="s">
        <v>178</v>
      </c>
      <c r="D70" s="5">
        <f>'INCOME STATEMENT'!D12/'INCOME STATEMENT'!D7</f>
        <v>3.4156893999772286E-2</v>
      </c>
      <c r="E70" s="5">
        <f>'INCOME STATEMENT'!E12/'INCOME STATEMENT'!E7</f>
        <v>2.8715429742061645E-2</v>
      </c>
      <c r="F70" s="5">
        <f>'INCOME STATEMENT'!F12/'INCOME STATEMENT'!F7</f>
        <v>3.101789493938811E-2</v>
      </c>
      <c r="G70" s="5">
        <f>'INCOME STATEMENT'!G12/'INCOME STATEMENT'!G7</f>
        <v>3.1117454480945699E-2</v>
      </c>
      <c r="H70" s="5">
        <f>'INCOME STATEMENT'!H12/'INCOME STATEMENT'!H7</f>
        <v>5.7526001876943837E-2</v>
      </c>
    </row>
    <row r="71" spans="1:8">
      <c r="A71" s="320"/>
      <c r="C71" s="14"/>
      <c r="D71" s="17"/>
      <c r="E71" s="17"/>
      <c r="F71" s="17"/>
      <c r="G71" s="17"/>
      <c r="H71" s="17"/>
    </row>
    <row r="72" spans="1:8">
      <c r="A72" s="320"/>
      <c r="C72" t="s">
        <v>179</v>
      </c>
      <c r="D72" s="5">
        <f>'BALANCE SHEET '!D17/'INCOME STATEMENT'!D7</f>
        <v>1.1524789049552798E-2</v>
      </c>
      <c r="E72" s="5">
        <f>'BALANCE SHEET '!E17/'INCOME STATEMENT'!E7</f>
        <v>7.4844026445665332E-3</v>
      </c>
      <c r="F72" s="5">
        <f>'BALANCE SHEET '!F17/'INCOME STATEMENT'!F7</f>
        <v>7.3215316528766599E-3</v>
      </c>
      <c r="G72" s="5">
        <f>'BALANCE SHEET '!G17/'INCOME STATEMENT'!G7</f>
        <v>1.1127775896269777E-2</v>
      </c>
      <c r="H72" s="5">
        <f>'BALANCE SHEET '!H17/'INCOME STATEMENT'!H7</f>
        <v>1.3883179635934943E-2</v>
      </c>
    </row>
    <row r="73" spans="1:8">
      <c r="A73" s="320"/>
      <c r="C73" t="s">
        <v>180</v>
      </c>
      <c r="D73" s="5">
        <f>'BALANCE SHEET '!D18/'INCOME STATEMENT'!D7</f>
        <v>9.4563993573443653E-2</v>
      </c>
      <c r="E73" s="5">
        <f>'BALANCE SHEET '!E18/'INCOME STATEMENT'!E7</f>
        <v>8.6029891051308316E-2</v>
      </c>
      <c r="F73" s="5">
        <f>'BALANCE SHEET '!F18/'INCOME STATEMENT'!F7</f>
        <v>7.6688474119684436E-2</v>
      </c>
      <c r="G73" s="5">
        <f>'BALANCE SHEET '!G18/'INCOME STATEMENT'!G7</f>
        <v>6.8403567339171384E-2</v>
      </c>
      <c r="H73" s="5">
        <f>'BALANCE SHEET '!H18/'INCOME STATEMENT'!H7</f>
        <v>3.2978368610053287E-2</v>
      </c>
    </row>
    <row r="74" spans="1:8" ht="15.75" customHeight="1">
      <c r="A74" s="320"/>
      <c r="C74" s="14"/>
    </row>
    <row r="75" spans="1:8">
      <c r="A75" s="320"/>
      <c r="C75" t="s">
        <v>181</v>
      </c>
      <c r="D75" s="5">
        <f>'BALANCE SHEET '!D29/('INCOME STATEMENT'!D8+'INCOME STATEMENT'!D9)*-1</f>
        <v>4.6176989992805284E-2</v>
      </c>
      <c r="E75" s="5">
        <f>'BALANCE SHEET '!E29/('INCOME STATEMENT'!E8+'INCOME STATEMENT'!E9)*-1</f>
        <v>5.6855243351731061E-2</v>
      </c>
      <c r="F75" s="5">
        <f>'BALANCE SHEET '!F29/('INCOME STATEMENT'!F8+'INCOME STATEMENT'!F9)*-1</f>
        <v>4.9706522707885052E-2</v>
      </c>
      <c r="G75" s="5">
        <f>'BALANCE SHEET '!G29/('INCOME STATEMENT'!G8+'INCOME STATEMENT'!G9)*-1</f>
        <v>5.0690620673862583E-2</v>
      </c>
      <c r="H75" s="5">
        <f>'BALANCE SHEET '!H29/('INCOME STATEMENT'!H8+'INCOME STATEMENT'!H9)*-1</f>
        <v>5.0229724330803034E-2</v>
      </c>
    </row>
    <row r="76" spans="1:8">
      <c r="A76" s="320"/>
      <c r="C76" t="s">
        <v>182</v>
      </c>
      <c r="D76" s="5">
        <f>'BALANCE SHEET '!D30/('INCOME STATEMENT'!D8+'INCOME STATEMENT'!D9)*-1</f>
        <v>1.2476290143240238E-2</v>
      </c>
      <c r="E76" s="5">
        <f>'BALANCE SHEET '!E30/('INCOME STATEMENT'!E8+'INCOME STATEMENT'!E9)*-1</f>
        <v>1.818866031108881E-2</v>
      </c>
      <c r="F76" s="5">
        <f>'BALANCE SHEET '!F30/('INCOME STATEMENT'!F8+'INCOME STATEMENT'!F9)*-1</f>
        <v>1.5291376478527139E-2</v>
      </c>
      <c r="G76" s="5">
        <f>'BALANCE SHEET '!G30/('INCOME STATEMENT'!G8+'INCOME STATEMENT'!G9)*-1</f>
        <v>1.3323202148366346E-2</v>
      </c>
      <c r="H76" s="5">
        <f>'BALANCE SHEET '!H30/('INCOME STATEMENT'!H8+'INCOME STATEMENT'!H9)*-1</f>
        <v>1.6570115860966839E-2</v>
      </c>
    </row>
    <row r="77" spans="1:8">
      <c r="A77" s="320"/>
    </row>
    <row r="78" spans="1:8">
      <c r="A78" s="320"/>
      <c r="C78" s="2" t="s">
        <v>183</v>
      </c>
    </row>
    <row r="79" spans="1:8">
      <c r="A79" s="320"/>
      <c r="C79" t="s">
        <v>184</v>
      </c>
      <c r="D79" s="114">
        <f>'BALANCE SHEET '!D10+'BALANCE SHEET '!D16</f>
        <v>17922</v>
      </c>
      <c r="E79" s="114">
        <f>'BALANCE SHEET '!E10+'BALANCE SHEET '!E16</f>
        <v>24155</v>
      </c>
      <c r="F79" s="114">
        <f>'BALANCE SHEET '!F10+'BALANCE SHEET '!F16</f>
        <v>28336</v>
      </c>
      <c r="G79" s="114">
        <f>'BALANCE SHEET '!G10+'BALANCE SHEET '!G16</f>
        <v>28162</v>
      </c>
      <c r="H79" s="114">
        <f>'BALANCE SHEET '!H10+'BALANCE SHEET '!H16</f>
        <v>34659</v>
      </c>
    </row>
    <row r="80" spans="1:8">
      <c r="A80" s="320"/>
      <c r="C80" t="s">
        <v>185</v>
      </c>
      <c r="D80">
        <f>'CASH FLOW STATEMENT '!D22/'VERTICAL ANALYSIS'!D79</f>
        <v>2.0519473273072202</v>
      </c>
      <c r="E80">
        <f>'CASH FLOW STATEMENT '!E22/'VERTICAL ANALYSIS'!E79</f>
        <v>1.5998758021113642</v>
      </c>
      <c r="F80">
        <f>'CASH FLOW STATEMENT '!F22/'VERTICAL ANALYSIS'!F79</f>
        <v>1.8906691134952005</v>
      </c>
      <c r="G80">
        <f>'CASH FLOW STATEMENT '!G22/'VERTICAL ANALYSIS'!G79</f>
        <v>2.7853490519139266</v>
      </c>
      <c r="H80">
        <f>'CASH FLOW STATEMENT '!H22/'VERTICAL ANALYSIS'!H79</f>
        <v>2.0258230185521797</v>
      </c>
    </row>
    <row r="81" spans="1:9">
      <c r="A81" s="320"/>
      <c r="C81" t="s">
        <v>186</v>
      </c>
      <c r="D81" s="5">
        <f>'INCOME STATEMENT'!D12/((18139+D79)/2)</f>
        <v>0.14974626327611548</v>
      </c>
      <c r="E81" s="5">
        <f>'INCOME STATEMENT'!E12/(('VERTICAL ANALYSIS'!D79+'VERTICAL ANALYSIS'!E79)/2)</f>
        <v>0.11726121158827864</v>
      </c>
      <c r="F81" s="5">
        <f>'INCOME STATEMENT'!F12/(('VERTICAL ANALYSIS'!E79+'VERTICAL ANALYSIS'!F79)/2)</f>
        <v>0.12284010592292012</v>
      </c>
      <c r="G81" s="5">
        <f>'INCOME STATEMENT'!G12/(('VERTICAL ANALYSIS'!F79+'VERTICAL ANALYSIS'!G79)/2)</f>
        <v>0.13660660554355905</v>
      </c>
      <c r="H81" s="5">
        <f>'INCOME STATEMENT'!H12/(('VERTICAL ANALYSIS'!G79+'VERTICAL ANALYSIS'!H79)/2)</f>
        <v>0.23613123000270611</v>
      </c>
    </row>
    <row r="82" spans="1:9">
      <c r="C82" t="s">
        <v>187</v>
      </c>
      <c r="D82" s="5">
        <f>('CASH FLOW STATEMENT '!D21*-1)/'INCOME STATEMENT'!D7</f>
        <v>0.44355889534074666</v>
      </c>
      <c r="E82" s="5">
        <f>('CASH FLOW STATEMENT '!E21*-1)/'INCOME STATEMENT'!E7</f>
        <v>0.51702905298444923</v>
      </c>
      <c r="F82" s="5">
        <f>('CASH FLOW STATEMENT '!F21*-1)/'INCOME STATEMENT'!F7</f>
        <v>0.54915335770636908</v>
      </c>
      <c r="G82" s="5">
        <f>('CASH FLOW STATEMENT '!G21*-1)/'INCOME STATEMENT'!G7</f>
        <v>0.62625187478833033</v>
      </c>
      <c r="H82" s="5">
        <f>('CASH FLOW STATEMENT '!H21*-1)/'INCOME STATEMENT'!H7</f>
        <v>0.58645187810723398</v>
      </c>
      <c r="I82" s="5"/>
    </row>
  </sheetData>
  <mergeCells count="5">
    <mergeCell ref="A1:C3"/>
    <mergeCell ref="A5:A39"/>
    <mergeCell ref="A42:A53"/>
    <mergeCell ref="A56:A64"/>
    <mergeCell ref="A67:A8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A5EF-6A0F-4028-B10C-2B2D54685B88}">
  <sheetPr>
    <tabColor rgb="FFC00000"/>
  </sheetPr>
  <dimension ref="B2:J162"/>
  <sheetViews>
    <sheetView showGridLines="0" topLeftCell="A117" zoomScale="81" workbookViewId="0">
      <selection activeCell="D37" sqref="D37"/>
    </sheetView>
  </sheetViews>
  <sheetFormatPr defaultRowHeight="14.45"/>
  <cols>
    <col min="3" max="3" width="36.5703125" bestFit="1" customWidth="1"/>
    <col min="4" max="8" width="11.7109375" bestFit="1" customWidth="1"/>
    <col min="9" max="10" width="12.7109375" bestFit="1" customWidth="1"/>
  </cols>
  <sheetData>
    <row r="2" spans="2:10" ht="21">
      <c r="B2" s="28"/>
      <c r="C2" s="54" t="s">
        <v>188</v>
      </c>
      <c r="D2" s="28"/>
      <c r="E2" s="28"/>
    </row>
    <row r="3" spans="2:10">
      <c r="B3" s="55"/>
      <c r="C3" s="56" t="s">
        <v>189</v>
      </c>
      <c r="D3" s="55"/>
      <c r="E3" s="55"/>
    </row>
    <row r="4" spans="2:10">
      <c r="B4" s="55"/>
      <c r="C4" s="56"/>
      <c r="D4" s="321" t="s">
        <v>190</v>
      </c>
      <c r="E4" s="322"/>
      <c r="F4" s="323" t="s">
        <v>191</v>
      </c>
      <c r="G4" s="324"/>
      <c r="H4" s="324"/>
      <c r="I4" s="324"/>
      <c r="J4" s="325"/>
    </row>
    <row r="5" spans="2:10">
      <c r="B5" s="71"/>
      <c r="C5" s="72" t="s">
        <v>192</v>
      </c>
      <c r="D5" s="72">
        <v>2023</v>
      </c>
      <c r="E5" s="85">
        <v>2024</v>
      </c>
      <c r="F5" s="96" t="s">
        <v>3</v>
      </c>
      <c r="G5" s="96" t="s">
        <v>4</v>
      </c>
      <c r="H5" s="96" t="s">
        <v>5</v>
      </c>
      <c r="I5" s="96" t="s">
        <v>6</v>
      </c>
      <c r="J5" s="97" t="s">
        <v>7</v>
      </c>
    </row>
    <row r="6" spans="2:10">
      <c r="B6" s="64"/>
      <c r="C6" s="55"/>
      <c r="D6" s="55"/>
      <c r="E6" s="81"/>
      <c r="F6" s="192"/>
      <c r="G6" s="192"/>
      <c r="H6" s="192"/>
      <c r="I6" s="192"/>
      <c r="J6" s="193"/>
    </row>
    <row r="7" spans="2:10">
      <c r="B7" s="57"/>
      <c r="C7" s="65" t="s">
        <v>9</v>
      </c>
      <c r="D7" s="98">
        <v>124014</v>
      </c>
      <c r="E7" s="99">
        <v>128933</v>
      </c>
      <c r="F7" s="100">
        <f>E7*(1+F8)</f>
        <v>144675.71930000003</v>
      </c>
      <c r="G7" s="100">
        <f>F7*(1+G8)</f>
        <v>162340.62462653004</v>
      </c>
      <c r="H7" s="100">
        <f t="shared" ref="H7:J7" si="0">G7*(1+H8)</f>
        <v>182162.41489342938</v>
      </c>
      <c r="I7" s="100">
        <f t="shared" si="0"/>
        <v>204404.44575191711</v>
      </c>
      <c r="J7" s="101">
        <f t="shared" si="0"/>
        <v>229362.2285782262</v>
      </c>
    </row>
    <row r="8" spans="2:10">
      <c r="B8" s="57"/>
      <c r="C8" s="66" t="s">
        <v>193</v>
      </c>
      <c r="D8" s="75">
        <v>0.19313065229940352</v>
      </c>
      <c r="E8" s="86">
        <v>3.9664876546196395E-2</v>
      </c>
      <c r="F8" s="79">
        <f>'ASSUMPTION '!F7</f>
        <v>0.1221</v>
      </c>
      <c r="G8" s="79">
        <f>'ASSUMPTION '!$G$7</f>
        <v>0.1221</v>
      </c>
      <c r="H8" s="79">
        <f>'ASSUMPTION '!$G$7</f>
        <v>0.1221</v>
      </c>
      <c r="I8" s="79">
        <f>'ASSUMPTION '!$G$7</f>
        <v>0.1221</v>
      </c>
      <c r="J8" s="279">
        <f>'ASSUMPTION '!$G$7</f>
        <v>0.1221</v>
      </c>
    </row>
    <row r="9" spans="2:10">
      <c r="B9" s="57"/>
      <c r="C9" s="28"/>
      <c r="D9" s="192"/>
      <c r="E9" s="193"/>
      <c r="F9" s="77"/>
      <c r="G9" s="77"/>
      <c r="H9" s="77"/>
      <c r="I9" s="77"/>
      <c r="J9" s="78"/>
    </row>
    <row r="10" spans="2:10">
      <c r="B10" s="57"/>
      <c r="C10" s="58" t="s">
        <v>194</v>
      </c>
      <c r="D10" s="102">
        <v>-85762</v>
      </c>
      <c r="E10" s="103">
        <v>-89032</v>
      </c>
      <c r="F10" s="104">
        <f>F7*('ASSUMPTION '!$F$8*-1)</f>
        <v>-97410.161804690026</v>
      </c>
      <c r="G10" s="104">
        <f>G7*('ASSUMPTION '!$F$8*-1)</f>
        <v>-109303.94256104268</v>
      </c>
      <c r="H10" s="104">
        <f>H7*('ASSUMPTION '!$F$8*-1)</f>
        <v>-122649.95394774601</v>
      </c>
      <c r="I10" s="104">
        <f>I7*('ASSUMPTION '!$F$8*-1)</f>
        <v>-137625.51332476578</v>
      </c>
      <c r="J10" s="105">
        <f>J7*('ASSUMPTION '!$F$8*-1)</f>
        <v>-154429.5885017197</v>
      </c>
    </row>
    <row r="11" spans="2:10">
      <c r="B11" s="57"/>
      <c r="C11" s="67" t="s">
        <v>195</v>
      </c>
      <c r="D11" s="68">
        <f>SUM(D7,D10)</f>
        <v>38252</v>
      </c>
      <c r="E11" s="60">
        <f>SUM(E7,E10)</f>
        <v>39901</v>
      </c>
      <c r="F11" s="108">
        <f t="shared" ref="F11:J11" si="1">SUM(F7,F10)</f>
        <v>47265.55749531</v>
      </c>
      <c r="G11" s="108">
        <f t="shared" si="1"/>
        <v>53036.682065487359</v>
      </c>
      <c r="H11" s="108">
        <f t="shared" si="1"/>
        <v>59512.460945683371</v>
      </c>
      <c r="I11" s="108">
        <f t="shared" si="1"/>
        <v>66778.932427151332</v>
      </c>
      <c r="J11" s="109">
        <f t="shared" si="1"/>
        <v>74932.640076506505</v>
      </c>
    </row>
    <row r="12" spans="2:10">
      <c r="B12" s="57"/>
      <c r="C12" s="66" t="s">
        <v>196</v>
      </c>
      <c r="D12" s="69">
        <f>D11/D7</f>
        <v>0.3084490460754431</v>
      </c>
      <c r="E12" s="61">
        <f>E11/E7</f>
        <v>0.30947081042091629</v>
      </c>
      <c r="F12" s="69">
        <f t="shared" ref="F12:J12" si="2">F11/F7</f>
        <v>0.32669999999999993</v>
      </c>
      <c r="G12" s="69">
        <f t="shared" si="2"/>
        <v>0.32669999999999993</v>
      </c>
      <c r="H12" s="69">
        <f t="shared" si="2"/>
        <v>0.32669999999999999</v>
      </c>
      <c r="I12" s="69">
        <f t="shared" si="2"/>
        <v>0.32670000000000005</v>
      </c>
      <c r="J12" s="61">
        <f t="shared" si="2"/>
        <v>0.32669999999999999</v>
      </c>
    </row>
    <row r="13" spans="2:10">
      <c r="B13" s="57"/>
      <c r="C13" s="28"/>
      <c r="D13" s="28"/>
      <c r="E13" s="83"/>
      <c r="F13" s="77"/>
      <c r="G13" s="77"/>
      <c r="H13" s="77"/>
      <c r="I13" s="77"/>
      <c r="J13" s="78"/>
    </row>
    <row r="14" spans="2:10">
      <c r="B14" s="57"/>
      <c r="C14" s="58" t="s">
        <v>14</v>
      </c>
      <c r="D14" s="106">
        <v>-7558</v>
      </c>
      <c r="E14" s="107">
        <v>-8144</v>
      </c>
      <c r="F14" s="104">
        <f>F7*('ASSUMPTION '!$F$9*-1)</f>
        <v>-9649.8704773100017</v>
      </c>
      <c r="G14" s="104">
        <f>G7*('ASSUMPTION '!$F$9*-1)</f>
        <v>-10828.119662589554</v>
      </c>
      <c r="H14" s="104">
        <f>H7*('ASSUMPTION '!$F$9*-1)</f>
        <v>-12150.233073391739</v>
      </c>
      <c r="I14" s="104">
        <f>I7*('ASSUMPTION '!$F$9*-1)</f>
        <v>-13633.776531652871</v>
      </c>
      <c r="J14" s="105">
        <f>J7*('ASSUMPTION '!$F$9*-1)</f>
        <v>-15298.460646167687</v>
      </c>
    </row>
    <row r="15" spans="2:10">
      <c r="B15" s="57"/>
      <c r="C15" s="67" t="s">
        <v>15</v>
      </c>
      <c r="D15" s="68">
        <f>SUM(D11,D14)</f>
        <v>30694</v>
      </c>
      <c r="E15" s="60">
        <f t="shared" ref="E15:J15" si="3">SUM(E11,E14)</f>
        <v>31757</v>
      </c>
      <c r="F15" s="108">
        <f t="shared" si="3"/>
        <v>37615.687017999997</v>
      </c>
      <c r="G15" s="108">
        <f t="shared" si="3"/>
        <v>42208.562402897805</v>
      </c>
      <c r="H15" s="108">
        <f t="shared" si="3"/>
        <v>47362.227872291631</v>
      </c>
      <c r="I15" s="108">
        <f t="shared" si="3"/>
        <v>53145.155895498465</v>
      </c>
      <c r="J15" s="109">
        <f t="shared" si="3"/>
        <v>59634.179430338816</v>
      </c>
    </row>
    <row r="16" spans="2:10">
      <c r="B16" s="57"/>
      <c r="C16" s="66" t="s">
        <v>197</v>
      </c>
      <c r="D16" s="69">
        <f>D15/D7</f>
        <v>0.24750431402906123</v>
      </c>
      <c r="E16" s="61">
        <f>E15/E7</f>
        <v>0.24630622106055083</v>
      </c>
      <c r="F16" s="69">
        <f t="shared" ref="F16:J16" si="4">F15/F7</f>
        <v>0.25999999999999995</v>
      </c>
      <c r="G16" s="69">
        <f t="shared" si="4"/>
        <v>0.25999999999999995</v>
      </c>
      <c r="H16" s="69">
        <f t="shared" si="4"/>
        <v>0.25999999999999995</v>
      </c>
      <c r="I16" s="69">
        <f t="shared" si="4"/>
        <v>0.26000000000000006</v>
      </c>
      <c r="J16" s="61">
        <f t="shared" si="4"/>
        <v>0.26</v>
      </c>
    </row>
    <row r="17" spans="2:10">
      <c r="B17" s="57"/>
      <c r="C17" s="28"/>
      <c r="D17" s="28"/>
      <c r="E17" s="83"/>
      <c r="F17" s="77"/>
      <c r="G17" s="77"/>
      <c r="H17" s="77"/>
      <c r="I17" s="77"/>
      <c r="J17" s="78"/>
    </row>
    <row r="18" spans="2:10">
      <c r="B18" s="57"/>
      <c r="C18" s="58" t="s">
        <v>198</v>
      </c>
      <c r="D18" s="104">
        <v>-2753</v>
      </c>
      <c r="E18" s="105">
        <v>-2944</v>
      </c>
      <c r="F18" s="104">
        <v>-3543.4718631999999</v>
      </c>
      <c r="G18" s="104">
        <v>-4237.0754427519996</v>
      </c>
      <c r="H18" s="104">
        <v>-5014.6591708415999</v>
      </c>
      <c r="I18" s="104">
        <v>-5876.2861235553301</v>
      </c>
      <c r="J18" s="105">
        <v>-6814.4381772298002</v>
      </c>
    </row>
    <row r="19" spans="2:10">
      <c r="B19" s="57"/>
      <c r="C19" s="67" t="s">
        <v>18</v>
      </c>
      <c r="D19" s="68">
        <f>D15+D18</f>
        <v>27941</v>
      </c>
      <c r="E19" s="60">
        <f t="shared" ref="E19:J19" si="5">E15+E18</f>
        <v>28813</v>
      </c>
      <c r="F19" s="108">
        <f t="shared" si="5"/>
        <v>34072.215154799997</v>
      </c>
      <c r="G19" s="108">
        <f t="shared" si="5"/>
        <v>37971.486960145805</v>
      </c>
      <c r="H19" s="108">
        <f t="shared" si="5"/>
        <v>42347.568701450029</v>
      </c>
      <c r="I19" s="108">
        <f t="shared" si="5"/>
        <v>47268.869771943137</v>
      </c>
      <c r="J19" s="109">
        <f t="shared" si="5"/>
        <v>52819.741253109016</v>
      </c>
    </row>
    <row r="20" spans="2:10">
      <c r="B20" s="57"/>
      <c r="C20" s="66" t="s">
        <v>199</v>
      </c>
      <c r="D20" s="69">
        <f>D19/D7</f>
        <v>0.22530520747657523</v>
      </c>
      <c r="E20" s="61">
        <f t="shared" ref="E20:J20" si="6">E19/E7</f>
        <v>0.22347265634089022</v>
      </c>
      <c r="F20" s="69">
        <f t="shared" si="6"/>
        <v>0.23550748750139436</v>
      </c>
      <c r="G20" s="69">
        <f t="shared" si="6"/>
        <v>0.2339000915359323</v>
      </c>
      <c r="H20" s="69">
        <f t="shared" si="6"/>
        <v>0.23247149378330684</v>
      </c>
      <c r="I20" s="69">
        <f t="shared" si="6"/>
        <v>0.23125167164569757</v>
      </c>
      <c r="J20" s="61">
        <f t="shared" si="6"/>
        <v>0.23028962345076942</v>
      </c>
    </row>
    <row r="21" spans="2:10">
      <c r="B21" s="57"/>
      <c r="C21" s="28"/>
      <c r="D21" s="28"/>
      <c r="E21" s="83"/>
      <c r="F21" s="77"/>
      <c r="G21" s="77"/>
      <c r="H21" s="77"/>
      <c r="I21" s="77"/>
      <c r="J21" s="78"/>
    </row>
    <row r="22" spans="2:10">
      <c r="B22" s="57"/>
      <c r="C22" s="28" t="s">
        <v>20</v>
      </c>
      <c r="D22" s="98">
        <v>3859</v>
      </c>
      <c r="E22" s="99">
        <v>7417</v>
      </c>
      <c r="F22" s="100">
        <f>((E37+E43)+(F37+F43)/2)*'ASSUMPTION '!$L$20</f>
        <v>8463.3109131161946</v>
      </c>
      <c r="G22" s="100">
        <f>((F37+F43)+(G37+G43)/2)*'ASSUMPTION '!$L$20</f>
        <v>9693.1847109877272</v>
      </c>
      <c r="H22" s="100">
        <f>((G37+G43)+(H37+H43)/2)*'ASSUMPTION '!$L$20</f>
        <v>10666.319771235905</v>
      </c>
      <c r="I22" s="100">
        <f>((H37+H43)+(I37+I43)/2)*'ASSUMPTION '!$L$20</f>
        <v>12193.96260012856</v>
      </c>
      <c r="J22" s="101">
        <f>((I37+I43)+(J37+J43)/2)*'ASSUMPTION '!$L$20</f>
        <v>13441.625182738366</v>
      </c>
    </row>
    <row r="23" spans="2:10">
      <c r="B23" s="57"/>
      <c r="C23" s="70" t="s">
        <v>200</v>
      </c>
      <c r="D23" s="73" t="s">
        <v>22</v>
      </c>
      <c r="E23" s="87" t="s">
        <v>22</v>
      </c>
      <c r="F23" s="76" t="s">
        <v>22</v>
      </c>
      <c r="G23" s="76" t="s">
        <v>22</v>
      </c>
      <c r="H23" s="76" t="s">
        <v>22</v>
      </c>
      <c r="I23" s="76" t="s">
        <v>22</v>
      </c>
      <c r="J23" s="118" t="s">
        <v>22</v>
      </c>
    </row>
    <row r="24" spans="2:10">
      <c r="B24" s="57"/>
      <c r="C24" s="58" t="s">
        <v>201</v>
      </c>
      <c r="D24" s="102">
        <v>-157</v>
      </c>
      <c r="E24" s="103">
        <v>-277</v>
      </c>
      <c r="F24" s="104">
        <f>F56*'ASSUMPTION '!$F$10*-1</f>
        <v>-252.5002689171171</v>
      </c>
      <c r="G24" s="104">
        <f>G56*'ASSUMPTION '!$F$10*-1</f>
        <v>-283.92627293730112</v>
      </c>
      <c r="H24" s="104">
        <f>H56*'ASSUMPTION '!$F$10*-1</f>
        <v>-319.18777379543121</v>
      </c>
      <c r="I24" s="104">
        <f>I56*'ASSUMPTION '!$F$10*-1</f>
        <v>-358.7298205245101</v>
      </c>
      <c r="J24" s="105">
        <f>J56*'ASSUMPTION '!$F$10*-1</f>
        <v>-403.03447769944268</v>
      </c>
    </row>
    <row r="25" spans="2:10">
      <c r="B25" s="57"/>
      <c r="C25" s="67" t="s">
        <v>24</v>
      </c>
      <c r="D25" s="68">
        <f>SUM(D19,D22:D24)</f>
        <v>31643</v>
      </c>
      <c r="E25" s="60">
        <f>SUM(E19,E22:E24)</f>
        <v>35953</v>
      </c>
      <c r="F25" s="108">
        <f t="shared" ref="F25:J25" si="7">SUM(F19,F22:F24)</f>
        <v>42283.025798999071</v>
      </c>
      <c r="G25" s="108">
        <f t="shared" si="7"/>
        <v>47380.745398196232</v>
      </c>
      <c r="H25" s="108">
        <f t="shared" si="7"/>
        <v>52694.700698890498</v>
      </c>
      <c r="I25" s="108">
        <f t="shared" si="7"/>
        <v>59104.102551547185</v>
      </c>
      <c r="J25" s="109">
        <f t="shared" si="7"/>
        <v>65858.33195814793</v>
      </c>
    </row>
    <row r="26" spans="2:10">
      <c r="B26" s="57"/>
      <c r="C26" s="66" t="s">
        <v>202</v>
      </c>
      <c r="D26" s="69">
        <f>D25/D7</f>
        <v>0.25515667585917717</v>
      </c>
      <c r="E26" s="61">
        <f>E25/E7</f>
        <v>0.27885025555908882</v>
      </c>
      <c r="F26" s="69">
        <f t="shared" ref="F26:J26" si="8">F25/F7</f>
        <v>0.29226069172893382</v>
      </c>
      <c r="G26" s="69">
        <f t="shared" si="8"/>
        <v>0.29186006587813246</v>
      </c>
      <c r="H26" s="69">
        <f t="shared" si="8"/>
        <v>0.28927317816750792</v>
      </c>
      <c r="I26" s="69">
        <f t="shared" si="8"/>
        <v>0.28915272529483543</v>
      </c>
      <c r="J26" s="61">
        <f t="shared" si="8"/>
        <v>0.28713678083087824</v>
      </c>
    </row>
    <row r="27" spans="2:10">
      <c r="B27" s="57"/>
      <c r="C27" s="28"/>
      <c r="D27" s="28"/>
      <c r="E27" s="83"/>
      <c r="F27" s="77"/>
      <c r="G27" s="77"/>
      <c r="H27" s="77"/>
      <c r="I27" s="77"/>
      <c r="J27" s="78"/>
    </row>
    <row r="28" spans="2:10">
      <c r="B28" s="57"/>
      <c r="C28" s="58" t="s">
        <v>203</v>
      </c>
      <c r="D28" s="102">
        <v>-8375</v>
      </c>
      <c r="E28" s="103">
        <v>-8719</v>
      </c>
      <c r="F28" s="104">
        <f>F25*'ASSUMPTION '!$F$11*-1</f>
        <v>-10993.58670773976</v>
      </c>
      <c r="G28" s="104">
        <f>G25*'ASSUMPTION '!$F$11*-1</f>
        <v>-12318.993803531021</v>
      </c>
      <c r="H28" s="104">
        <f>H25*'ASSUMPTION '!$F$11*-1</f>
        <v>-13700.622181711529</v>
      </c>
      <c r="I28" s="104">
        <f>I25*'ASSUMPTION '!$F$11*-1</f>
        <v>-15367.066663402269</v>
      </c>
      <c r="J28" s="105">
        <f>J25*'ASSUMPTION '!$F$11*-1</f>
        <v>-17123.166309118464</v>
      </c>
    </row>
    <row r="29" spans="2:10">
      <c r="B29" s="57"/>
      <c r="C29" s="62" t="s">
        <v>204</v>
      </c>
      <c r="D29" s="110">
        <f>SUM(D25,D28)</f>
        <v>23268</v>
      </c>
      <c r="E29" s="111">
        <f>SUM(E25,E28)</f>
        <v>27234</v>
      </c>
      <c r="F29" s="110">
        <f t="shared" ref="F29:J29" si="9">SUM(F25,F28)</f>
        <v>31289.439091259312</v>
      </c>
      <c r="G29" s="110">
        <f t="shared" si="9"/>
        <v>35061.751594665213</v>
      </c>
      <c r="H29" s="110">
        <f t="shared" si="9"/>
        <v>38994.078517178968</v>
      </c>
      <c r="I29" s="110">
        <f t="shared" si="9"/>
        <v>43737.035888144914</v>
      </c>
      <c r="J29" s="111">
        <f t="shared" si="9"/>
        <v>48735.16564902947</v>
      </c>
    </row>
    <row r="30" spans="2:10">
      <c r="B30" s="57"/>
      <c r="C30" s="66" t="s">
        <v>205</v>
      </c>
      <c r="D30" s="69">
        <f>D29/D7</f>
        <v>0.18762397793797475</v>
      </c>
      <c r="E30" s="61">
        <f>E29/E7</f>
        <v>0.21122598558941466</v>
      </c>
      <c r="F30" s="69">
        <f t="shared" ref="F30:J30" si="10">F29/F7</f>
        <v>0.21627291187941103</v>
      </c>
      <c r="G30" s="69">
        <f t="shared" si="10"/>
        <v>0.21597644874981803</v>
      </c>
      <c r="H30" s="69">
        <f t="shared" si="10"/>
        <v>0.21406215184395588</v>
      </c>
      <c r="I30" s="69">
        <f t="shared" si="10"/>
        <v>0.21397301671817823</v>
      </c>
      <c r="J30" s="61">
        <f t="shared" si="10"/>
        <v>0.21248121781484988</v>
      </c>
    </row>
    <row r="31" spans="2:10">
      <c r="B31" s="63"/>
      <c r="C31" s="59"/>
      <c r="D31" s="59"/>
      <c r="E31" s="84"/>
      <c r="F31" s="74"/>
      <c r="G31" s="74"/>
      <c r="H31" s="74"/>
      <c r="I31" s="74"/>
      <c r="J31" s="53"/>
    </row>
    <row r="33" spans="2:10">
      <c r="B33" s="88"/>
      <c r="C33" s="89" t="s">
        <v>206</v>
      </c>
      <c r="D33" s="89">
        <v>2023</v>
      </c>
      <c r="E33" s="89">
        <v>2024</v>
      </c>
      <c r="F33" s="92" t="s">
        <v>3</v>
      </c>
      <c r="G33" s="93" t="s">
        <v>4</v>
      </c>
      <c r="H33" s="94" t="s">
        <v>5</v>
      </c>
      <c r="I33" s="94" t="s">
        <v>6</v>
      </c>
      <c r="J33" s="95" t="s">
        <v>7</v>
      </c>
    </row>
    <row r="34" spans="2:10">
      <c r="B34" s="64"/>
      <c r="C34" s="55"/>
      <c r="D34" s="55"/>
      <c r="E34" s="55"/>
      <c r="F34" s="64"/>
      <c r="G34" s="55"/>
      <c r="H34" s="55"/>
      <c r="I34" s="55"/>
      <c r="J34" s="81"/>
    </row>
    <row r="35" spans="2:10">
      <c r="B35" s="64"/>
      <c r="C35" s="90" t="s">
        <v>207</v>
      </c>
      <c r="D35" s="119">
        <v>6534</v>
      </c>
      <c r="E35" s="119">
        <v>8191</v>
      </c>
      <c r="F35" s="124">
        <f>F98</f>
        <v>12746.562414647557</v>
      </c>
      <c r="G35" s="125">
        <f t="shared" ref="G35:J35" si="11">G98</f>
        <v>16677.972630980988</v>
      </c>
      <c r="H35" s="125">
        <f t="shared" si="11"/>
        <v>15345.152178097956</v>
      </c>
      <c r="I35" s="125">
        <f t="shared" si="11"/>
        <v>20547.911245917952</v>
      </c>
      <c r="J35" s="126">
        <f t="shared" si="11"/>
        <v>19751.872849203639</v>
      </c>
    </row>
    <row r="36" spans="2:10">
      <c r="B36" s="64"/>
      <c r="C36" s="90" t="s">
        <v>208</v>
      </c>
      <c r="D36" s="123">
        <v>20773</v>
      </c>
      <c r="E36" s="123">
        <v>25152</v>
      </c>
      <c r="F36" s="124">
        <f>('ASSUMPTION '!$F$16/365)*FINANCIALS!F7</f>
        <v>25351.509301885821</v>
      </c>
      <c r="G36" s="125">
        <f>('ASSUMPTION '!$F$16/365)*FINANCIALS!G7</f>
        <v>28446.928587646082</v>
      </c>
      <c r="H36" s="125">
        <f>('ASSUMPTION '!$F$16/365)*FINANCIALS!H7</f>
        <v>31920.298568197672</v>
      </c>
      <c r="I36" s="125">
        <f>('ASSUMPTION '!$F$16/365)*FINANCIALS!I7</f>
        <v>35817.76702337461</v>
      </c>
      <c r="J36" s="126">
        <f>('ASSUMPTION '!$F$16/365)*FINANCIALS!J7</f>
        <v>40191.11637692865</v>
      </c>
    </row>
    <row r="37" spans="2:10">
      <c r="B37" s="64"/>
      <c r="C37" s="90" t="s">
        <v>40</v>
      </c>
      <c r="D37" s="119">
        <v>4476</v>
      </c>
      <c r="E37" s="119">
        <v>11307</v>
      </c>
      <c r="F37" s="221">
        <f>'ASSUMPTION '!L27</f>
        <v>10415.952285878982</v>
      </c>
      <c r="G37" s="123">
        <f>'ASSUMPTION '!M27</f>
        <v>10945.469160326422</v>
      </c>
      <c r="H37" s="123">
        <f>'ASSUMPTION '!N27</f>
        <v>13076.684790074578</v>
      </c>
      <c r="I37" s="123">
        <f>'ASSUMPTION '!O27</f>
        <v>13822.357528414279</v>
      </c>
      <c r="J37" s="222">
        <f>'ASSUMPTION '!P27</f>
        <v>16421.250849535452</v>
      </c>
    </row>
    <row r="38" spans="2:10">
      <c r="B38" s="64"/>
      <c r="C38" s="90" t="s">
        <v>209</v>
      </c>
      <c r="D38" s="123">
        <v>9379</v>
      </c>
      <c r="E38" s="123">
        <v>10337</v>
      </c>
      <c r="F38" s="221">
        <f>F7*'ASSUMPTION '!$F$17</f>
        <v>12494.377004321823</v>
      </c>
      <c r="G38" s="123">
        <f>G7*'ASSUMPTION '!$F$17</f>
        <v>14019.940436549519</v>
      </c>
      <c r="H38" s="123">
        <f>H7*'ASSUMPTION '!$F$17</f>
        <v>15731.775163852217</v>
      </c>
      <c r="I38" s="123">
        <f>I7*'ASSUMPTION '!$F$17</f>
        <v>17652.624911358573</v>
      </c>
      <c r="J38" s="223">
        <f>J7*'ASSUMPTION '!$F$17</f>
        <v>19808.010413035456</v>
      </c>
    </row>
    <row r="39" spans="2:10">
      <c r="B39" s="64"/>
      <c r="C39" s="90" t="s">
        <v>210</v>
      </c>
      <c r="D39" s="123">
        <v>10920</v>
      </c>
      <c r="E39" s="123">
        <v>15965</v>
      </c>
      <c r="F39" s="221">
        <f>('ASSUMPTION '!$F$18/365)*F7</f>
        <v>13131.451852159773</v>
      </c>
      <c r="G39" s="123">
        <f>('ASSUMPTION '!$F$18/365)*G7</f>
        <v>14734.802123308484</v>
      </c>
      <c r="H39" s="123">
        <f>('ASSUMPTION '!$F$18/365)*H7</f>
        <v>16533.921462564449</v>
      </c>
      <c r="I39" s="123">
        <f>('ASSUMPTION '!$F$18/365)*I7</f>
        <v>18552.71327314357</v>
      </c>
      <c r="J39" s="223">
        <f>('ASSUMPTION '!$F$18/365)*J7</f>
        <v>20817.999563794401</v>
      </c>
    </row>
    <row r="40" spans="2:10">
      <c r="B40" s="64"/>
      <c r="C40" s="112" t="s">
        <v>211</v>
      </c>
      <c r="D40" s="127">
        <f>SUM(D35:D39)</f>
        <v>52082</v>
      </c>
      <c r="E40" s="127">
        <f t="shared" ref="E40:J40" si="12">SUM(E35:E39)</f>
        <v>70952</v>
      </c>
      <c r="F40" s="128">
        <f t="shared" si="12"/>
        <v>74139.852858893966</v>
      </c>
      <c r="G40" s="127">
        <f t="shared" si="12"/>
        <v>84825.112938811493</v>
      </c>
      <c r="H40" s="127">
        <f t="shared" si="12"/>
        <v>92607.832162786872</v>
      </c>
      <c r="I40" s="127">
        <f t="shared" si="12"/>
        <v>106393.37398220898</v>
      </c>
      <c r="J40" s="129">
        <f t="shared" si="12"/>
        <v>116990.25005249761</v>
      </c>
    </row>
    <row r="41" spans="2:10">
      <c r="B41" s="64"/>
      <c r="C41" s="65"/>
      <c r="D41" s="123"/>
      <c r="E41" s="123"/>
      <c r="F41" s="224"/>
      <c r="G41" s="225"/>
      <c r="H41" s="225"/>
      <c r="I41" s="121"/>
      <c r="J41" s="122"/>
    </row>
    <row r="42" spans="2:10">
      <c r="B42" s="57"/>
      <c r="C42" s="55" t="s">
        <v>212</v>
      </c>
      <c r="D42" s="123">
        <v>15706</v>
      </c>
      <c r="E42" s="123">
        <v>14604</v>
      </c>
      <c r="F42" s="221">
        <f>'ASSUMPTION '!L11</f>
        <v>12940.555715456501</v>
      </c>
      <c r="G42" s="123">
        <f>'ASSUMPTION '!M11</f>
        <v>14193.311321742138</v>
      </c>
      <c r="H42" s="123">
        <f>'ASSUMPTION '!N11</f>
        <v>15498.443411358065</v>
      </c>
      <c r="I42" s="123">
        <f>'ASSUMPTION '!O11</f>
        <v>16854.37950551328</v>
      </c>
      <c r="J42" s="223">
        <f>'ASSUMPTION '!P11</f>
        <v>18258.756642750566</v>
      </c>
    </row>
    <row r="43" spans="2:10">
      <c r="B43" s="57"/>
      <c r="C43" s="55" t="s">
        <v>213</v>
      </c>
      <c r="D43" s="123">
        <v>23686</v>
      </c>
      <c r="E43" s="123">
        <v>23352</v>
      </c>
      <c r="F43" s="221">
        <f>'ASSUMPTION '!L28</f>
        <v>31247.856857636947</v>
      </c>
      <c r="G43" s="123">
        <f>'ASSUMPTION '!M28</f>
        <v>32836.407480979266</v>
      </c>
      <c r="H43" s="123">
        <f>'ASSUMPTION '!N28</f>
        <v>39230.054370223734</v>
      </c>
      <c r="I43" s="123">
        <f>'ASSUMPTION '!O28</f>
        <v>41467.072585242837</v>
      </c>
      <c r="J43" s="222">
        <f>'ASSUMPTION '!P28</f>
        <v>49263.752548606353</v>
      </c>
    </row>
    <row r="44" spans="2:10">
      <c r="B44" s="57"/>
      <c r="C44" s="55" t="s">
        <v>214</v>
      </c>
      <c r="D44" s="123">
        <v>1380</v>
      </c>
      <c r="E44" s="123">
        <v>1790</v>
      </c>
      <c r="F44" s="221">
        <f>F7*'ASSUMPTION '!$F$23</f>
        <v>1485.5788643835963</v>
      </c>
      <c r="G44" s="123">
        <f>G7*'ASSUMPTION '!$F$23</f>
        <v>1666.9680437248337</v>
      </c>
      <c r="H44" s="123">
        <f>H7*'ASSUMPTION '!$F$23</f>
        <v>1870.5048418636361</v>
      </c>
      <c r="I44" s="123">
        <f>I7*'ASSUMPTION '!$F$23</f>
        <v>2098.8934830551862</v>
      </c>
      <c r="J44" s="223">
        <f>J7*'ASSUMPTION '!$F$23</f>
        <v>2355.1683773362242</v>
      </c>
    </row>
    <row r="45" spans="2:10">
      <c r="B45" s="57"/>
      <c r="C45" s="55" t="s">
        <v>215</v>
      </c>
      <c r="D45" s="123">
        <v>8483</v>
      </c>
      <c r="E45" s="130">
        <v>4252</v>
      </c>
      <c r="F45" s="226">
        <f>'ASSUMPTION '!$F$24*FINANCIALS!F7</f>
        <v>10378.00296440652</v>
      </c>
      <c r="G45" s="130">
        <f>'ASSUMPTION '!$F$24*FINANCIALS!G7</f>
        <v>11645.157126360557</v>
      </c>
      <c r="H45" s="130">
        <f>'ASSUMPTION '!$F$24*FINANCIALS!H7</f>
        <v>13067.030811489181</v>
      </c>
      <c r="I45" s="130">
        <f>'ASSUMPTION '!$F$24*FINANCIALS!I7</f>
        <v>14662.515273572011</v>
      </c>
      <c r="J45" s="227">
        <f>'ASSUMPTION '!$F$24*FINANCIALS!J7</f>
        <v>16452.808388475154</v>
      </c>
    </row>
    <row r="46" spans="2:10">
      <c r="B46" s="57"/>
      <c r="C46" s="112" t="s">
        <v>216</v>
      </c>
      <c r="D46" s="127">
        <f t="shared" ref="D46:J46" si="13">SUM(D42:D45)</f>
        <v>49255</v>
      </c>
      <c r="E46" s="131">
        <f t="shared" si="13"/>
        <v>43998</v>
      </c>
      <c r="F46" s="132">
        <f t="shared" si="13"/>
        <v>56051.994401883567</v>
      </c>
      <c r="G46" s="131">
        <f t="shared" si="13"/>
        <v>60341.84397280679</v>
      </c>
      <c r="H46" s="131">
        <f t="shared" si="13"/>
        <v>69666.033434934623</v>
      </c>
      <c r="I46" s="131">
        <f t="shared" si="13"/>
        <v>75082.860847383316</v>
      </c>
      <c r="J46" s="133">
        <f t="shared" si="13"/>
        <v>86330.485957168305</v>
      </c>
    </row>
    <row r="47" spans="2:10">
      <c r="B47" s="57"/>
      <c r="C47" s="80"/>
      <c r="D47" s="130"/>
      <c r="E47" s="130"/>
      <c r="F47" s="228"/>
      <c r="G47" s="229"/>
      <c r="H47" s="229"/>
      <c r="I47" s="229"/>
      <c r="J47" s="230"/>
    </row>
    <row r="48" spans="2:10">
      <c r="B48" s="57"/>
      <c r="C48" s="82" t="s">
        <v>217</v>
      </c>
      <c r="D48" s="141">
        <f t="shared" ref="D48:J48" si="14">SUM(D40,D46)</f>
        <v>101337</v>
      </c>
      <c r="E48" s="141">
        <f t="shared" si="14"/>
        <v>114950</v>
      </c>
      <c r="F48" s="142">
        <f t="shared" si="14"/>
        <v>130191.84726077753</v>
      </c>
      <c r="G48" s="141">
        <f t="shared" si="14"/>
        <v>145166.9569116183</v>
      </c>
      <c r="H48" s="141">
        <f t="shared" si="14"/>
        <v>162273.86559772148</v>
      </c>
      <c r="I48" s="141">
        <f t="shared" si="14"/>
        <v>181476.23482959229</v>
      </c>
      <c r="J48" s="143">
        <f t="shared" si="14"/>
        <v>203320.73600966591</v>
      </c>
    </row>
    <row r="49" spans="2:10">
      <c r="B49" s="57"/>
      <c r="C49" s="28"/>
      <c r="D49" s="134"/>
      <c r="E49" s="134"/>
      <c r="F49" s="224"/>
      <c r="G49" s="225"/>
      <c r="H49" s="225"/>
      <c r="I49" s="225"/>
      <c r="J49" s="231"/>
    </row>
    <row r="50" spans="2:10">
      <c r="B50" s="57"/>
      <c r="C50" s="28"/>
      <c r="D50" s="134"/>
      <c r="E50" s="134"/>
      <c r="F50" s="224"/>
      <c r="G50" s="225"/>
      <c r="H50" s="225"/>
      <c r="I50" s="225"/>
      <c r="J50" s="231"/>
    </row>
    <row r="51" spans="2:10">
      <c r="B51" s="64"/>
      <c r="C51" s="90" t="s">
        <v>218</v>
      </c>
      <c r="D51" s="123">
        <v>2426</v>
      </c>
      <c r="E51" s="123">
        <v>2493</v>
      </c>
      <c r="F51" s="221">
        <f>('ASSUMPTION '!$F$26/365)*(F10*-1)</f>
        <v>2828.742701239798</v>
      </c>
      <c r="G51" s="123">
        <f>('ASSUMPTION '!$F$26/365)*(G10*-1)</f>
        <v>3174.1321850611776</v>
      </c>
      <c r="H51" s="123">
        <f>('ASSUMPTION '!$F$26/365)*(H10*-1)</f>
        <v>3561.6937248571476</v>
      </c>
      <c r="I51" s="123">
        <f>('ASSUMPTION '!$F$26/365)*(I10*-1)</f>
        <v>3996.576528662205</v>
      </c>
      <c r="J51" s="223">
        <f>('ASSUMPTION '!$F$26/365)*(J10*-1)</f>
        <v>4484.5585228118607</v>
      </c>
    </row>
    <row r="52" spans="2:10">
      <c r="B52" s="64"/>
      <c r="C52" s="90" t="s">
        <v>219</v>
      </c>
      <c r="D52" s="123">
        <v>13410</v>
      </c>
      <c r="E52" s="123">
        <v>12486</v>
      </c>
      <c r="F52" s="221">
        <f>(SUM(F10,F14,F18)*-1)*'ASSUMPTION '!$F$27</f>
        <v>15257.163361477078</v>
      </c>
      <c r="G52" s="123">
        <f>(SUM(G10,G14,G18)*-1)*'ASSUMPTION '!$F$27</f>
        <v>17156.059070343705</v>
      </c>
      <c r="H52" s="123">
        <f>(SUM(H10,H14,H18)*-1)*'ASSUMPTION '!$F$27</f>
        <v>19286.712163390312</v>
      </c>
      <c r="I52" s="123">
        <f>(SUM(I10,I14,I18)*-1)*'ASSUMPTION '!$F$27</f>
        <v>21676.014436928675</v>
      </c>
      <c r="J52" s="223">
        <f>(SUM(J10,J14,J18)*-1)*'ASSUMPTION '!$F$27</f>
        <v>24353.09432714482</v>
      </c>
    </row>
    <row r="53" spans="2:10">
      <c r="B53" s="64"/>
      <c r="C53" s="91" t="s">
        <v>220</v>
      </c>
      <c r="D53" s="130">
        <v>11606</v>
      </c>
      <c r="E53" s="130">
        <v>12107</v>
      </c>
      <c r="F53" s="226">
        <f>('ASSUMPTION '!$F$28/365)*(SUM(FINANCIALS!F10,FINANCIALS!F14,FINANCIALS!F18)*-1)</f>
        <v>12741.600585381018</v>
      </c>
      <c r="G53" s="130">
        <f>('ASSUMPTION '!$F$28/365)*(SUM(FINANCIALS!G10,FINANCIALS!G14,FINANCIALS!G18)*-1)</f>
        <v>14327.411138918287</v>
      </c>
      <c r="H53" s="130">
        <f>('ASSUMPTION '!$F$28/365)*(SUM(FINANCIALS!H10,FINANCIALS!H14,FINANCIALS!H18)*-1)</f>
        <v>16106.7675011994</v>
      </c>
      <c r="I53" s="130">
        <f>('ASSUMPTION '!$F$28/365)*(SUM(FINANCIALS!I10,FINANCIALS!I14,FINANCIALS!I18)*-1)</f>
        <v>18102.127616700014</v>
      </c>
      <c r="J53" s="227">
        <f>('ASSUMPTION '!$F$28/365)*(SUM(FINANCIALS!J10,FINANCIALS!J14,FINANCIALS!J18)*-1)</f>
        <v>20337.817298204969</v>
      </c>
    </row>
    <row r="54" spans="2:10">
      <c r="B54" s="57"/>
      <c r="C54" s="65" t="s">
        <v>221</v>
      </c>
      <c r="D54" s="131">
        <f t="shared" ref="D54:J54" si="15">SUM(D51:D53)</f>
        <v>27442</v>
      </c>
      <c r="E54" s="131">
        <f t="shared" si="15"/>
        <v>27086</v>
      </c>
      <c r="F54" s="132">
        <f t="shared" si="15"/>
        <v>30827.506648097893</v>
      </c>
      <c r="G54" s="131">
        <f t="shared" si="15"/>
        <v>34657.60239432317</v>
      </c>
      <c r="H54" s="131">
        <f t="shared" si="15"/>
        <v>38955.173389446863</v>
      </c>
      <c r="I54" s="131">
        <f t="shared" si="15"/>
        <v>43774.718582290894</v>
      </c>
      <c r="J54" s="133">
        <f t="shared" si="15"/>
        <v>49175.47014816165</v>
      </c>
    </row>
    <row r="55" spans="2:10">
      <c r="B55" s="57"/>
      <c r="C55" s="55"/>
      <c r="D55" s="123"/>
      <c r="E55" s="123"/>
      <c r="F55" s="224"/>
      <c r="G55" s="225"/>
      <c r="H55" s="225"/>
      <c r="I55" s="225"/>
      <c r="J55" s="231"/>
    </row>
    <row r="56" spans="2:10">
      <c r="B56" s="57"/>
      <c r="C56" s="90" t="s">
        <v>222</v>
      </c>
      <c r="D56" s="123">
        <v>4870</v>
      </c>
      <c r="E56" s="123">
        <v>5029</v>
      </c>
      <c r="F56" s="221">
        <f>'ASSUMPTION '!$F$30*(SUM(FINANCIALS!F10,FINANCIALS!F14,FINANCIALS!F18)*-1)</f>
        <v>5611.1170870470469</v>
      </c>
      <c r="G56" s="123">
        <f>'ASSUMPTION '!$F$30*(SUM(FINANCIALS!G10,FINANCIALS!G14,FINANCIALS!G18)*-1)</f>
        <v>6309.4727319400254</v>
      </c>
      <c r="H56" s="123">
        <f>'ASSUMPTION '!$F$30*(SUM(FINANCIALS!H10,FINANCIALS!H14,FINANCIALS!H18)*-1)</f>
        <v>7093.0616398984721</v>
      </c>
      <c r="I56" s="123">
        <f>'ASSUMPTION '!$F$30*(SUM(FINANCIALS!I10,FINANCIALS!I14,FINANCIALS!I18)*-1)</f>
        <v>7971.7737894335587</v>
      </c>
      <c r="J56" s="223">
        <f>'ASSUMPTION '!$F$30*(SUM(FINANCIALS!J10,FINANCIALS!J14,FINANCIALS!J18)*-1)</f>
        <v>8956.3217266542815</v>
      </c>
    </row>
    <row r="57" spans="2:10">
      <c r="B57" s="57"/>
      <c r="C57" s="91" t="s">
        <v>223</v>
      </c>
      <c r="D57" s="130">
        <v>1280</v>
      </c>
      <c r="E57" s="130">
        <v>1659</v>
      </c>
      <c r="F57" s="226">
        <f>'ASSUMPTION '!$F$31*(SUM(FINANCIALS!F10,FINANCIALS!F14,FINANCIALS!F18)*-1)</f>
        <v>1677.8473037550787</v>
      </c>
      <c r="G57" s="130">
        <f>'ASSUMPTION '!$F$31*(SUM(FINANCIALS!G10,FINANCIALS!G14,FINANCIALS!G18)*-1)</f>
        <v>1886.6709867523032</v>
      </c>
      <c r="H57" s="130">
        <f>'ASSUMPTION '!$F$31*(SUM(FINANCIALS!H10,FINANCIALS!H14,FINANCIALS!H18)*-1)</f>
        <v>2120.9812882616902</v>
      </c>
      <c r="I57" s="130">
        <f>'ASSUMPTION '!$F$31*(SUM(FINANCIALS!I10,FINANCIALS!I14,FINANCIALS!I18)*-1)</f>
        <v>2383.7355291734898</v>
      </c>
      <c r="J57" s="227">
        <f>'ASSUMPTION '!$F$31*(SUM(FINANCIALS!J10,FINANCIALS!J14,FINANCIALS!J18)*-1)</f>
        <v>2678.1369961642217</v>
      </c>
    </row>
    <row r="58" spans="2:10">
      <c r="B58" s="57"/>
      <c r="C58" s="65" t="s">
        <v>224</v>
      </c>
      <c r="D58" s="131">
        <f t="shared" ref="D58:J58" si="16">SUM(D56:D57)</f>
        <v>6150</v>
      </c>
      <c r="E58" s="131">
        <f t="shared" si="16"/>
        <v>6688</v>
      </c>
      <c r="F58" s="132">
        <f t="shared" si="16"/>
        <v>7288.9643908021253</v>
      </c>
      <c r="G58" s="131">
        <f t="shared" si="16"/>
        <v>8196.1437186923285</v>
      </c>
      <c r="H58" s="131">
        <f t="shared" si="16"/>
        <v>9214.0429281601628</v>
      </c>
      <c r="I58" s="131">
        <f t="shared" si="16"/>
        <v>10355.509318607048</v>
      </c>
      <c r="J58" s="133">
        <f t="shared" si="16"/>
        <v>11634.458722818503</v>
      </c>
    </row>
    <row r="59" spans="2:10">
      <c r="B59" s="57"/>
      <c r="C59" s="55"/>
      <c r="D59" s="121"/>
      <c r="E59" s="121"/>
      <c r="F59" s="120"/>
      <c r="G59" s="121"/>
      <c r="H59" s="134"/>
      <c r="I59" s="225"/>
      <c r="J59" s="231"/>
    </row>
    <row r="60" spans="2:10">
      <c r="B60" s="57"/>
      <c r="C60" s="55" t="s">
        <v>225</v>
      </c>
      <c r="D60" s="119">
        <v>2074</v>
      </c>
      <c r="E60" s="119">
        <v>2075</v>
      </c>
      <c r="F60" s="120">
        <v>2075</v>
      </c>
      <c r="G60" s="121">
        <v>2075</v>
      </c>
      <c r="H60" s="121">
        <v>2075</v>
      </c>
      <c r="I60" s="121">
        <v>2075</v>
      </c>
      <c r="J60" s="122">
        <v>2075</v>
      </c>
    </row>
    <row r="61" spans="2:10">
      <c r="B61" s="57"/>
      <c r="C61" s="55" t="s">
        <v>226</v>
      </c>
      <c r="D61" s="119">
        <v>65671</v>
      </c>
      <c r="E61" s="119">
        <v>79101</v>
      </c>
      <c r="F61" s="124">
        <f>F48-(F54+F58+F60)</f>
        <v>90000.376221877523</v>
      </c>
      <c r="G61" s="125">
        <f t="shared" ref="G61:J61" si="17">G48-(G54+G58+G60)</f>
        <v>100238.2107986028</v>
      </c>
      <c r="H61" s="125">
        <f t="shared" si="17"/>
        <v>112029.64928011445</v>
      </c>
      <c r="I61" s="125">
        <f t="shared" si="17"/>
        <v>125271.00692869435</v>
      </c>
      <c r="J61" s="126">
        <f t="shared" si="17"/>
        <v>140435.80713868575</v>
      </c>
    </row>
    <row r="62" spans="2:10">
      <c r="B62" s="57"/>
      <c r="C62" s="112" t="s">
        <v>227</v>
      </c>
      <c r="D62" s="217">
        <f>SUM(D60:D61)</f>
        <v>67745</v>
      </c>
      <c r="E62" s="217">
        <f t="shared" ref="E62" si="18">SUM(E60:E61)</f>
        <v>81176</v>
      </c>
      <c r="F62" s="220">
        <f>SUM(F60:F61)</f>
        <v>92075.376221877523</v>
      </c>
      <c r="G62" s="218">
        <f t="shared" ref="G62:J62" si="19">SUM(G60:G61)</f>
        <v>102313.2107986028</v>
      </c>
      <c r="H62" s="218">
        <f t="shared" si="19"/>
        <v>114104.64928011445</v>
      </c>
      <c r="I62" s="218">
        <f t="shared" si="19"/>
        <v>127346.00692869435</v>
      </c>
      <c r="J62" s="219">
        <f t="shared" si="19"/>
        <v>142510.80713868575</v>
      </c>
    </row>
    <row r="63" spans="2:10">
      <c r="B63" s="57"/>
      <c r="C63" s="80"/>
      <c r="D63" s="136"/>
      <c r="E63" s="136"/>
      <c r="F63" s="135"/>
      <c r="G63" s="121"/>
      <c r="H63" s="134"/>
      <c r="I63" s="225"/>
      <c r="J63" s="231"/>
    </row>
    <row r="64" spans="2:10">
      <c r="B64" s="57"/>
      <c r="C64" s="82" t="s">
        <v>228</v>
      </c>
      <c r="D64" s="137">
        <f>SUM(D54,D58,D62)</f>
        <v>101337</v>
      </c>
      <c r="E64" s="137">
        <f t="shared" ref="E64:J64" si="20">SUM(E54,E58,E62)</f>
        <v>114950</v>
      </c>
      <c r="F64" s="144">
        <f t="shared" si="20"/>
        <v>130191.84726077755</v>
      </c>
      <c r="G64" s="145">
        <f t="shared" si="20"/>
        <v>145166.9569116183</v>
      </c>
      <c r="H64" s="145">
        <f t="shared" si="20"/>
        <v>162273.86559772148</v>
      </c>
      <c r="I64" s="145">
        <f t="shared" si="20"/>
        <v>181476.23482959229</v>
      </c>
      <c r="J64" s="146">
        <f t="shared" si="20"/>
        <v>203320.73600966591</v>
      </c>
    </row>
    <row r="65" spans="2:10">
      <c r="B65" s="63"/>
      <c r="C65" s="59"/>
      <c r="D65" s="136"/>
      <c r="E65" s="138"/>
      <c r="F65" s="136"/>
      <c r="G65" s="136"/>
      <c r="H65" s="136"/>
      <c r="I65" s="136"/>
      <c r="J65" s="138"/>
    </row>
    <row r="66" spans="2:10">
      <c r="B66" s="28"/>
      <c r="C66" s="28"/>
      <c r="D66" s="134"/>
      <c r="E66" s="134"/>
      <c r="F66" s="134"/>
      <c r="G66" s="134"/>
      <c r="H66" s="134"/>
      <c r="I66" s="134"/>
      <c r="J66" s="134"/>
    </row>
    <row r="67" spans="2:10">
      <c r="D67" s="139"/>
      <c r="E67" s="139"/>
      <c r="F67" s="139"/>
      <c r="G67" s="139"/>
      <c r="H67" s="139"/>
      <c r="I67" s="139"/>
      <c r="J67" s="139"/>
    </row>
    <row r="68" spans="2:10">
      <c r="B68" s="88"/>
      <c r="C68" s="89" t="s">
        <v>229</v>
      </c>
      <c r="D68" s="140">
        <v>2023</v>
      </c>
      <c r="E68" s="246">
        <v>2024</v>
      </c>
      <c r="F68" s="94" t="s">
        <v>3</v>
      </c>
      <c r="G68" s="93" t="s">
        <v>4</v>
      </c>
      <c r="H68" s="94" t="s">
        <v>5</v>
      </c>
      <c r="I68" s="94" t="s">
        <v>6</v>
      </c>
      <c r="J68" s="95" t="s">
        <v>7</v>
      </c>
    </row>
    <row r="69" spans="2:10">
      <c r="B69" s="64"/>
      <c r="C69" s="55"/>
      <c r="D69" s="121"/>
      <c r="E69" s="122"/>
      <c r="F69" s="225"/>
      <c r="G69" s="225"/>
      <c r="H69" s="225"/>
      <c r="I69" s="225"/>
      <c r="J69" s="231"/>
    </row>
    <row r="70" spans="2:10">
      <c r="B70" s="50"/>
      <c r="C70" s="232" t="s">
        <v>230</v>
      </c>
      <c r="D70" s="225"/>
      <c r="E70" s="231"/>
      <c r="F70" s="225"/>
      <c r="G70" s="225"/>
      <c r="H70" s="225"/>
      <c r="I70" s="225"/>
      <c r="J70" s="231"/>
    </row>
    <row r="71" spans="2:10">
      <c r="B71" s="50"/>
      <c r="C71" s="192" t="s">
        <v>231</v>
      </c>
      <c r="D71" s="225"/>
      <c r="E71" s="231"/>
      <c r="F71" s="123">
        <f>F29</f>
        <v>31289.439091259312</v>
      </c>
      <c r="G71" s="123">
        <f t="shared" ref="G71:J71" si="21">G29</f>
        <v>35061.751594665213</v>
      </c>
      <c r="H71" s="123">
        <f t="shared" si="21"/>
        <v>38994.078517178968</v>
      </c>
      <c r="I71" s="123">
        <f t="shared" si="21"/>
        <v>43737.035888144914</v>
      </c>
      <c r="J71" s="223">
        <f t="shared" si="21"/>
        <v>48735.16564902947</v>
      </c>
    </row>
    <row r="72" spans="2:10">
      <c r="B72" s="50"/>
      <c r="C72" s="192" t="s">
        <v>232</v>
      </c>
      <c r="D72" s="225"/>
      <c r="E72" s="231"/>
      <c r="F72" s="123">
        <f>F18*-1</f>
        <v>3543.4718631999999</v>
      </c>
      <c r="G72" s="123">
        <f t="shared" ref="G72:J72" si="22">G18*-1</f>
        <v>4237.0754427519996</v>
      </c>
      <c r="H72" s="123">
        <f t="shared" si="22"/>
        <v>5014.6591708415999</v>
      </c>
      <c r="I72" s="123">
        <f t="shared" si="22"/>
        <v>5876.2861235553301</v>
      </c>
      <c r="J72" s="223">
        <f t="shared" si="22"/>
        <v>6814.4381772298002</v>
      </c>
    </row>
    <row r="73" spans="2:10">
      <c r="B73" s="50"/>
      <c r="C73" s="192" t="s">
        <v>20</v>
      </c>
      <c r="D73" s="225"/>
      <c r="E73" s="231"/>
      <c r="F73" s="123">
        <f>F22*-1</f>
        <v>-8463.3109131161946</v>
      </c>
      <c r="G73" s="123">
        <f t="shared" ref="G73:J73" si="23">G22*-1</f>
        <v>-9693.1847109877272</v>
      </c>
      <c r="H73" s="123">
        <f t="shared" si="23"/>
        <v>-10666.319771235905</v>
      </c>
      <c r="I73" s="123">
        <f t="shared" si="23"/>
        <v>-12193.96260012856</v>
      </c>
      <c r="J73" s="223">
        <f t="shared" si="23"/>
        <v>-13441.625182738366</v>
      </c>
    </row>
    <row r="74" spans="2:10">
      <c r="B74" s="50"/>
      <c r="C74" s="192" t="s">
        <v>233</v>
      </c>
      <c r="D74" s="225"/>
      <c r="E74" s="231"/>
      <c r="F74" s="123">
        <f>F24*-1</f>
        <v>252.5002689171171</v>
      </c>
      <c r="G74" s="123">
        <f>G24*-1</f>
        <v>283.92627293730112</v>
      </c>
      <c r="H74" s="123">
        <f>H24*-1</f>
        <v>319.18777379543121</v>
      </c>
      <c r="I74" s="123">
        <f>I24*-1</f>
        <v>358.7298205245101</v>
      </c>
      <c r="J74" s="223">
        <f>J24*-1</f>
        <v>403.03447769944268</v>
      </c>
    </row>
    <row r="75" spans="2:10">
      <c r="B75" s="50"/>
      <c r="C75" s="192" t="s">
        <v>234</v>
      </c>
      <c r="D75" s="225"/>
      <c r="E75" s="231"/>
      <c r="F75" s="123">
        <f>E36-F36</f>
        <v>-199.50930188582061</v>
      </c>
      <c r="G75" s="123">
        <f t="shared" ref="G75:J75" si="24">F36-G36</f>
        <v>-3095.4192857602611</v>
      </c>
      <c r="H75" s="123">
        <f t="shared" si="24"/>
        <v>-3473.3699805515898</v>
      </c>
      <c r="I75" s="123">
        <f t="shared" si="24"/>
        <v>-3897.4684551769387</v>
      </c>
      <c r="J75" s="223">
        <f t="shared" si="24"/>
        <v>-4373.3493535540401</v>
      </c>
    </row>
    <row r="76" spans="2:10">
      <c r="B76" s="50"/>
      <c r="C76" s="192" t="s">
        <v>235</v>
      </c>
      <c r="D76" s="225"/>
      <c r="E76" s="231"/>
      <c r="F76" s="123">
        <f>E38-F38</f>
        <v>-2157.3770043218228</v>
      </c>
      <c r="G76" s="123">
        <f t="shared" ref="G76:J76" si="25">F38-G38</f>
        <v>-1525.5634322276965</v>
      </c>
      <c r="H76" s="123">
        <f t="shared" si="25"/>
        <v>-1711.8347273026975</v>
      </c>
      <c r="I76" s="123">
        <f t="shared" si="25"/>
        <v>-1920.8497475063559</v>
      </c>
      <c r="J76" s="223">
        <f t="shared" si="25"/>
        <v>-2155.385501676883</v>
      </c>
    </row>
    <row r="77" spans="2:10">
      <c r="B77" s="50"/>
      <c r="C77" s="192" t="s">
        <v>236</v>
      </c>
      <c r="D77" s="225"/>
      <c r="E77" s="231"/>
      <c r="F77" s="123">
        <f>E39-F39</f>
        <v>2833.5481478402271</v>
      </c>
      <c r="G77" s="123">
        <f t="shared" ref="G77:J77" si="26">F39-G39</f>
        <v>-1603.3502711487108</v>
      </c>
      <c r="H77" s="123">
        <f t="shared" si="26"/>
        <v>-1799.1193392559653</v>
      </c>
      <c r="I77" s="123">
        <f t="shared" si="26"/>
        <v>-2018.7918105791214</v>
      </c>
      <c r="J77" s="223">
        <f t="shared" si="26"/>
        <v>-2265.2862906508308</v>
      </c>
    </row>
    <row r="78" spans="2:10">
      <c r="B78" s="50"/>
      <c r="C78" s="192" t="s">
        <v>237</v>
      </c>
      <c r="D78" s="225"/>
      <c r="E78" s="231"/>
      <c r="F78" s="123">
        <f>F51-E51</f>
        <v>335.74270123979795</v>
      </c>
      <c r="G78" s="123">
        <f t="shared" ref="G78:J78" si="27">G51-F51</f>
        <v>345.3894838213796</v>
      </c>
      <c r="H78" s="123">
        <f t="shared" si="27"/>
        <v>387.56153979597002</v>
      </c>
      <c r="I78" s="123">
        <f t="shared" si="27"/>
        <v>434.88280380505739</v>
      </c>
      <c r="J78" s="223">
        <f t="shared" si="27"/>
        <v>487.98199414965575</v>
      </c>
    </row>
    <row r="79" spans="2:10">
      <c r="B79" s="50"/>
      <c r="C79" s="192" t="s">
        <v>238</v>
      </c>
      <c r="D79" s="225"/>
      <c r="E79" s="231"/>
      <c r="F79" s="123">
        <f>F52-E52</f>
        <v>2771.1633614770781</v>
      </c>
      <c r="G79" s="123">
        <f t="shared" ref="G79:J79" si="28">G52-F52</f>
        <v>1898.8957088666266</v>
      </c>
      <c r="H79" s="123">
        <f t="shared" si="28"/>
        <v>2130.653093046607</v>
      </c>
      <c r="I79" s="123">
        <f t="shared" si="28"/>
        <v>2389.3022735383638</v>
      </c>
      <c r="J79" s="223">
        <f t="shared" si="28"/>
        <v>2677.0798902161441</v>
      </c>
    </row>
    <row r="80" spans="2:10">
      <c r="B80" s="50"/>
      <c r="C80" s="192" t="s">
        <v>239</v>
      </c>
      <c r="D80" s="225"/>
      <c r="E80" s="231"/>
      <c r="F80" s="123">
        <f>F53-E53</f>
        <v>634.60058538101839</v>
      </c>
      <c r="G80" s="123">
        <f t="shared" ref="G80:J80" si="29">G53-F53</f>
        <v>1585.8105535372688</v>
      </c>
      <c r="H80" s="123">
        <f t="shared" si="29"/>
        <v>1779.3563622811125</v>
      </c>
      <c r="I80" s="123">
        <f t="shared" si="29"/>
        <v>1995.3601155006145</v>
      </c>
      <c r="J80" s="223">
        <f t="shared" si="29"/>
        <v>2235.6896815049549</v>
      </c>
    </row>
    <row r="81" spans="2:10" ht="15.75" customHeight="1">
      <c r="B81" s="50"/>
      <c r="C81" s="233" t="s">
        <v>240</v>
      </c>
      <c r="D81" s="234"/>
      <c r="E81" s="247"/>
      <c r="F81" s="185">
        <f>SUM(F71:F80)</f>
        <v>30840.268799990707</v>
      </c>
      <c r="G81" s="185">
        <f>SUM(G71:G80)</f>
        <v>27495.33135645539</v>
      </c>
      <c r="H81" s="185">
        <f>SUM(H71:H80)</f>
        <v>30974.852638593537</v>
      </c>
      <c r="I81" s="185">
        <f>SUM(I71:I80)</f>
        <v>34760.524411677812</v>
      </c>
      <c r="J81" s="196">
        <f>SUM(J71:J80)</f>
        <v>39117.743541209347</v>
      </c>
    </row>
    <row r="82" spans="2:10">
      <c r="B82" s="50"/>
      <c r="C82" s="192"/>
      <c r="D82" s="192"/>
      <c r="E82" s="193"/>
      <c r="F82" s="192"/>
      <c r="G82" s="192"/>
      <c r="H82" s="192"/>
      <c r="I82" s="192"/>
      <c r="J82" s="193"/>
    </row>
    <row r="83" spans="2:10">
      <c r="B83" s="50"/>
      <c r="C83" s="235" t="s">
        <v>241</v>
      </c>
      <c r="D83" s="192"/>
      <c r="E83" s="193"/>
      <c r="F83" s="192"/>
      <c r="G83" s="192"/>
      <c r="H83" s="192"/>
      <c r="I83" s="192"/>
      <c r="J83" s="193"/>
    </row>
    <row r="84" spans="2:10">
      <c r="B84" s="50"/>
      <c r="C84" s="192" t="s">
        <v>102</v>
      </c>
      <c r="D84" s="192"/>
      <c r="E84" s="193"/>
      <c r="F84" s="100">
        <f>'ASSUMPTION '!L22*-1</f>
        <v>-78774.339431002663</v>
      </c>
      <c r="G84" s="100">
        <f>'ASSUMPTION '!M22*-1</f>
        <v>-88392.686275528089</v>
      </c>
      <c r="H84" s="100">
        <f>'ASSUMPTION '!N22*-1</f>
        <v>-99185.433269770088</v>
      </c>
      <c r="I84" s="100">
        <f>'ASSUMPTION '!O22*-1</f>
        <v>-111295.97467200902</v>
      </c>
      <c r="J84" s="101">
        <f>'ASSUMPTION '!P22*-1</f>
        <v>-124885.21317946132</v>
      </c>
    </row>
    <row r="85" spans="2:10">
      <c r="B85" s="50"/>
      <c r="C85" s="192" t="s">
        <v>242</v>
      </c>
      <c r="D85" s="192"/>
      <c r="E85" s="193"/>
      <c r="F85" s="100">
        <f>'ASSUMPTION '!L21</f>
        <v>71769.530287486734</v>
      </c>
      <c r="G85" s="100">
        <f>'ASSUMPTION '!M21</f>
        <v>86274.618777738331</v>
      </c>
      <c r="H85" s="100">
        <f>'ASSUMPTION '!N21</f>
        <v>90660.570750777464</v>
      </c>
      <c r="I85" s="100">
        <f>'ASSUMPTION '!O21</f>
        <v>108313.28371865021</v>
      </c>
      <c r="J85" s="101">
        <f>'ASSUMPTION '!P21</f>
        <v>114489.63989497663</v>
      </c>
    </row>
    <row r="86" spans="2:10">
      <c r="B86" s="50"/>
      <c r="C86" s="192" t="s">
        <v>100</v>
      </c>
      <c r="D86" s="192"/>
      <c r="E86" s="193"/>
      <c r="F86" s="100">
        <f>'ASSUMPTION '!L7</f>
        <v>-1880.7843509000002</v>
      </c>
      <c r="G86" s="100">
        <f>'ASSUMPTION '!M7</f>
        <v>-1948.0874955183606</v>
      </c>
      <c r="H86" s="100">
        <f>'ASSUMPTION '!N7</f>
        <v>-2094.8677712744379</v>
      </c>
      <c r="I86" s="100">
        <f>'ASSUMPTION '!O7</f>
        <v>-2248.4489032710881</v>
      </c>
      <c r="J86" s="101">
        <f>'ASSUMPTION '!P7</f>
        <v>-2408.3034000713751</v>
      </c>
    </row>
    <row r="87" spans="2:10">
      <c r="B87" s="50"/>
      <c r="C87" s="192" t="s">
        <v>243</v>
      </c>
      <c r="D87" s="192"/>
      <c r="E87" s="193"/>
      <c r="F87" s="100">
        <f>F22</f>
        <v>8463.3109131161946</v>
      </c>
      <c r="G87" s="100">
        <f t="shared" ref="G87:J87" si="30">G22</f>
        <v>9693.1847109877272</v>
      </c>
      <c r="H87" s="100">
        <f t="shared" si="30"/>
        <v>10666.319771235905</v>
      </c>
      <c r="I87" s="100">
        <f t="shared" si="30"/>
        <v>12193.96260012856</v>
      </c>
      <c r="J87" s="101">
        <f t="shared" si="30"/>
        <v>13441.625182738366</v>
      </c>
    </row>
    <row r="88" spans="2:10">
      <c r="B88" s="50"/>
      <c r="C88" s="233" t="s">
        <v>244</v>
      </c>
      <c r="D88" s="234"/>
      <c r="E88" s="247"/>
      <c r="F88" s="236">
        <f>SUM(F84:F86)</f>
        <v>-8885.5934944159289</v>
      </c>
      <c r="G88" s="236">
        <f t="shared" ref="G88:J88" si="31">SUM(G84:G86)</f>
        <v>-4066.1549933081187</v>
      </c>
      <c r="H88" s="236">
        <f t="shared" si="31"/>
        <v>-10619.730290267062</v>
      </c>
      <c r="I88" s="236">
        <f t="shared" si="31"/>
        <v>-5231.1398566298922</v>
      </c>
      <c r="J88" s="237">
        <f t="shared" si="31"/>
        <v>-12803.876684556068</v>
      </c>
    </row>
    <row r="89" spans="2:10">
      <c r="B89" s="50"/>
      <c r="C89" s="192"/>
      <c r="D89" s="192"/>
      <c r="E89" s="193"/>
      <c r="F89" s="192"/>
      <c r="G89" s="192"/>
      <c r="H89" s="192"/>
      <c r="I89" s="192"/>
      <c r="J89" s="193"/>
    </row>
    <row r="90" spans="2:10">
      <c r="B90" s="50"/>
      <c r="C90" s="232" t="s">
        <v>245</v>
      </c>
      <c r="D90" s="192"/>
      <c r="E90" s="193"/>
      <c r="F90" s="192"/>
      <c r="G90" s="192"/>
      <c r="H90" s="192"/>
      <c r="I90" s="192"/>
      <c r="J90" s="193"/>
    </row>
    <row r="91" spans="2:10">
      <c r="B91" s="50"/>
      <c r="C91" s="192" t="s">
        <v>246</v>
      </c>
      <c r="D91" s="192"/>
      <c r="E91" s="193"/>
      <c r="F91" s="100">
        <f>F24</f>
        <v>-252.5002689171171</v>
      </c>
      <c r="G91" s="100">
        <f t="shared" ref="G91:J91" si="32">G24</f>
        <v>-283.92627293730112</v>
      </c>
      <c r="H91" s="100">
        <f t="shared" si="32"/>
        <v>-319.18777379543121</v>
      </c>
      <c r="I91" s="100">
        <f t="shared" si="32"/>
        <v>-358.7298205245101</v>
      </c>
      <c r="J91" s="101">
        <f t="shared" si="32"/>
        <v>-403.03447769944268</v>
      </c>
    </row>
    <row r="92" spans="2:10">
      <c r="B92" s="50"/>
      <c r="C92" s="192" t="s">
        <v>247</v>
      </c>
      <c r="D92" s="192"/>
      <c r="E92" s="193"/>
      <c r="F92" s="100">
        <f>F29*('ASSUMPTION '!$F$19*-1)</f>
        <v>-17146.612622010103</v>
      </c>
      <c r="G92" s="100">
        <f>G29*('ASSUMPTION '!$F$19*-1)</f>
        <v>-19213.839873876539</v>
      </c>
      <c r="H92" s="100">
        <f>H29*('ASSUMPTION '!$F$19*-1)</f>
        <v>-21368.755027414078</v>
      </c>
      <c r="I92" s="100">
        <f>I29*('ASSUMPTION '!$F$19*-1)</f>
        <v>-23967.895666703414</v>
      </c>
      <c r="J92" s="101">
        <f>J29*('ASSUMPTION '!$F$19*-1)</f>
        <v>-26706.870775668151</v>
      </c>
    </row>
    <row r="93" spans="2:10">
      <c r="B93" s="50"/>
      <c r="C93" s="184" t="s">
        <v>248</v>
      </c>
      <c r="D93" s="184"/>
      <c r="E93" s="248"/>
      <c r="F93" s="185">
        <f>SUM(F91:F92)</f>
        <v>-17399.112890927219</v>
      </c>
      <c r="G93" s="185">
        <f t="shared" ref="G93:J93" si="33">SUM(G91:G92)</f>
        <v>-19497.766146813839</v>
      </c>
      <c r="H93" s="185">
        <f t="shared" si="33"/>
        <v>-21687.942801209509</v>
      </c>
      <c r="I93" s="185">
        <f t="shared" si="33"/>
        <v>-24326.625487227924</v>
      </c>
      <c r="J93" s="196">
        <f t="shared" si="33"/>
        <v>-27109.905253367593</v>
      </c>
    </row>
    <row r="94" spans="2:10">
      <c r="B94" s="50"/>
      <c r="C94" s="192"/>
      <c r="D94" s="192"/>
      <c r="E94" s="193"/>
      <c r="F94" s="192"/>
      <c r="G94" s="192"/>
      <c r="H94" s="192"/>
      <c r="I94" s="192"/>
      <c r="J94" s="193"/>
    </row>
    <row r="95" spans="2:10">
      <c r="B95" s="50"/>
      <c r="C95" s="192" t="s">
        <v>249</v>
      </c>
      <c r="D95" s="192"/>
      <c r="E95" s="193"/>
      <c r="F95" s="100">
        <f>SUM(F81,F88,F93)</f>
        <v>4555.5624146475566</v>
      </c>
      <c r="G95" s="100">
        <f t="shared" ref="G95:J95" si="34">SUM(G81,G88,G93)</f>
        <v>3931.4102163334319</v>
      </c>
      <c r="H95" s="100">
        <f t="shared" si="34"/>
        <v>-1332.820452883032</v>
      </c>
      <c r="I95" s="100">
        <f t="shared" si="34"/>
        <v>5202.7590678199958</v>
      </c>
      <c r="J95" s="101">
        <f t="shared" si="34"/>
        <v>-796.03839671431342</v>
      </c>
    </row>
    <row r="96" spans="2:10">
      <c r="B96" s="50"/>
      <c r="C96" s="192"/>
      <c r="D96" s="192"/>
      <c r="E96" s="193"/>
      <c r="F96" s="192"/>
      <c r="G96" s="192"/>
      <c r="H96" s="192"/>
      <c r="I96" s="192"/>
      <c r="J96" s="193"/>
    </row>
    <row r="97" spans="2:10">
      <c r="B97" s="50"/>
      <c r="C97" s="192" t="s">
        <v>250</v>
      </c>
      <c r="D97" s="192"/>
      <c r="E97" s="193"/>
      <c r="F97" s="100">
        <f>E35</f>
        <v>8191</v>
      </c>
      <c r="G97" s="100">
        <f t="shared" ref="G97:J97" si="35">F35</f>
        <v>12746.562414647557</v>
      </c>
      <c r="H97" s="100">
        <f t="shared" si="35"/>
        <v>16677.972630980988</v>
      </c>
      <c r="I97" s="100">
        <f t="shared" si="35"/>
        <v>15345.152178097956</v>
      </c>
      <c r="J97" s="101">
        <f t="shared" si="35"/>
        <v>20547.911245917952</v>
      </c>
    </row>
    <row r="98" spans="2:10">
      <c r="B98" s="50"/>
      <c r="C98" s="184" t="s">
        <v>251</v>
      </c>
      <c r="D98" s="184"/>
      <c r="E98" s="248"/>
      <c r="F98" s="185">
        <f>F95+F97</f>
        <v>12746.562414647557</v>
      </c>
      <c r="G98" s="185">
        <f t="shared" ref="G98:J98" si="36">G95+G97</f>
        <v>16677.972630980988</v>
      </c>
      <c r="H98" s="185">
        <f t="shared" si="36"/>
        <v>15345.152178097956</v>
      </c>
      <c r="I98" s="185">
        <f t="shared" si="36"/>
        <v>20547.911245917952</v>
      </c>
      <c r="J98" s="196">
        <f t="shared" si="36"/>
        <v>19751.872849203639</v>
      </c>
    </row>
    <row r="99" spans="2:10">
      <c r="B99" s="50"/>
      <c r="C99" s="232" t="s">
        <v>252</v>
      </c>
      <c r="D99" s="232"/>
      <c r="E99" s="249"/>
      <c r="F99" s="238">
        <f>F29+F92</f>
        <v>14142.826469249208</v>
      </c>
      <c r="G99" s="238">
        <f t="shared" ref="G99:J99" si="37">G29+G92</f>
        <v>15847.911720788674</v>
      </c>
      <c r="H99" s="238">
        <f t="shared" si="37"/>
        <v>17625.323489764891</v>
      </c>
      <c r="I99" s="238">
        <f t="shared" si="37"/>
        <v>19769.140221441499</v>
      </c>
      <c r="J99" s="239">
        <f t="shared" si="37"/>
        <v>22028.294873361319</v>
      </c>
    </row>
    <row r="100" spans="2:10">
      <c r="B100" s="51"/>
      <c r="C100" s="74"/>
      <c r="D100" s="74"/>
      <c r="E100" s="53"/>
      <c r="F100" s="74"/>
      <c r="G100" s="74"/>
      <c r="H100" s="74"/>
      <c r="I100" s="74"/>
      <c r="J100" s="53"/>
    </row>
    <row r="104" spans="2:10">
      <c r="B104" s="147"/>
      <c r="C104" s="148"/>
      <c r="D104" s="148"/>
      <c r="E104" s="148"/>
      <c r="F104" s="148"/>
      <c r="G104" s="148"/>
    </row>
    <row r="105" spans="2:10" ht="21">
      <c r="B105" s="147"/>
      <c r="C105" s="149" t="s">
        <v>253</v>
      </c>
      <c r="D105" s="149"/>
      <c r="E105" s="149"/>
      <c r="F105" s="148"/>
      <c r="G105" s="148"/>
    </row>
    <row r="106" spans="2:10">
      <c r="B106" s="150"/>
      <c r="C106" s="151" t="s">
        <v>254</v>
      </c>
      <c r="D106" s="151"/>
      <c r="E106" s="151"/>
      <c r="F106" s="151"/>
      <c r="G106" s="151"/>
    </row>
    <row r="107" spans="2:10">
      <c r="B107" s="296"/>
      <c r="C107" s="163" t="str">
        <f>C105</f>
        <v>Financial Ratios</v>
      </c>
      <c r="D107" s="297">
        <v>2023</v>
      </c>
      <c r="E107" s="298">
        <v>2024</v>
      </c>
      <c r="F107" s="299" t="s">
        <v>3</v>
      </c>
      <c r="G107" s="299" t="s">
        <v>4</v>
      </c>
      <c r="H107" s="164" t="s">
        <v>5</v>
      </c>
      <c r="I107" s="164" t="s">
        <v>6</v>
      </c>
      <c r="J107" s="165" t="s">
        <v>7</v>
      </c>
    </row>
    <row r="108" spans="2:10">
      <c r="B108" s="166"/>
      <c r="C108" s="154"/>
      <c r="D108" s="154"/>
      <c r="E108" s="242"/>
      <c r="F108" s="154"/>
      <c r="G108" s="154"/>
      <c r="H108" s="192"/>
      <c r="I108" s="192"/>
      <c r="J108" s="193"/>
    </row>
    <row r="109" spans="2:10">
      <c r="B109" s="166"/>
      <c r="C109" s="157" t="s">
        <v>255</v>
      </c>
      <c r="D109" s="157"/>
      <c r="E109" s="243"/>
      <c r="F109" s="158"/>
      <c r="G109" s="158"/>
      <c r="H109" s="198"/>
      <c r="I109" s="198"/>
      <c r="J109" s="199"/>
    </row>
    <row r="110" spans="2:10">
      <c r="B110" s="166"/>
      <c r="C110" s="192" t="s">
        <v>256</v>
      </c>
      <c r="D110" s="167">
        <f>D19*(1-0.265)</f>
        <v>20536.634999999998</v>
      </c>
      <c r="E110" s="168">
        <f t="shared" ref="E110:J110" si="38">E19*(1-0.265)</f>
        <v>21177.555</v>
      </c>
      <c r="F110" s="167">
        <f t="shared" si="38"/>
        <v>25043.078138777997</v>
      </c>
      <c r="G110" s="167">
        <f t="shared" si="38"/>
        <v>27909.042915707167</v>
      </c>
      <c r="H110" s="167">
        <f t="shared" si="38"/>
        <v>31125.462995565769</v>
      </c>
      <c r="I110" s="167">
        <f t="shared" si="38"/>
        <v>34742.619282378204</v>
      </c>
      <c r="J110" s="168">
        <f t="shared" si="38"/>
        <v>38822.509821035128</v>
      </c>
    </row>
    <row r="111" spans="2:10">
      <c r="B111" s="169"/>
      <c r="C111" s="192" t="s">
        <v>257</v>
      </c>
      <c r="D111" s="170">
        <f>D110/D64</f>
        <v>0.20265682820687408</v>
      </c>
      <c r="E111" s="171">
        <f t="shared" ref="E111:J111" si="39">E110/E64</f>
        <v>0.18423275337103087</v>
      </c>
      <c r="F111" s="170">
        <f t="shared" si="39"/>
        <v>0.19235519478125293</v>
      </c>
      <c r="G111" s="170">
        <f t="shared" si="39"/>
        <v>0.19225479068696724</v>
      </c>
      <c r="H111" s="170">
        <f t="shared" si="39"/>
        <v>0.19180823036980027</v>
      </c>
      <c r="I111" s="170">
        <f t="shared" si="39"/>
        <v>0.19144445725911063</v>
      </c>
      <c r="J111" s="171">
        <f t="shared" si="39"/>
        <v>0.19094220581214844</v>
      </c>
    </row>
    <row r="112" spans="2:10">
      <c r="B112" s="169"/>
      <c r="C112" s="192" t="s">
        <v>258</v>
      </c>
      <c r="D112" s="170">
        <f>(D29-D24)/D48</f>
        <v>0.23115939883754205</v>
      </c>
      <c r="E112" s="171">
        <f t="shared" ref="E112:J112" si="40">(E29-E24)/E48</f>
        <v>0.23933014354066987</v>
      </c>
      <c r="F112" s="170">
        <f t="shared" si="40"/>
        <v>0.24227276917729829</v>
      </c>
      <c r="G112" s="170">
        <f t="shared" si="40"/>
        <v>0.24348294280992575</v>
      </c>
      <c r="H112" s="170">
        <f t="shared" si="40"/>
        <v>0.24226492754189008</v>
      </c>
      <c r="I112" s="170">
        <f t="shared" si="40"/>
        <v>0.24298369287899166</v>
      </c>
      <c r="J112" s="171">
        <f t="shared" si="40"/>
        <v>0.24167825225850489</v>
      </c>
    </row>
    <row r="113" spans="2:10">
      <c r="B113" s="169"/>
      <c r="C113" s="148"/>
      <c r="D113" s="148"/>
      <c r="E113" s="244"/>
      <c r="F113" s="300"/>
      <c r="G113" s="148"/>
      <c r="H113" s="192"/>
      <c r="I113" s="192"/>
      <c r="J113" s="193"/>
    </row>
    <row r="114" spans="2:10">
      <c r="B114" s="166"/>
      <c r="C114" s="157" t="s">
        <v>259</v>
      </c>
      <c r="D114" s="157"/>
      <c r="E114" s="243"/>
      <c r="F114" s="301"/>
      <c r="G114" s="157"/>
      <c r="H114" s="240"/>
      <c r="I114" s="240"/>
      <c r="J114" s="241"/>
    </row>
    <row r="115" spans="2:10">
      <c r="B115" s="169"/>
      <c r="C115" s="192" t="s">
        <v>127</v>
      </c>
      <c r="D115" s="172">
        <f>D40/D54</f>
        <v>1.8978937395233584</v>
      </c>
      <c r="E115" s="173">
        <f t="shared" ref="E115:J115" si="41">E40/E54</f>
        <v>2.6195082330355164</v>
      </c>
      <c r="F115" s="172">
        <f t="shared" si="41"/>
        <v>2.4049902480020555</v>
      </c>
      <c r="G115" s="172">
        <f t="shared" si="41"/>
        <v>2.4475182089545133</v>
      </c>
      <c r="H115" s="172">
        <f t="shared" si="41"/>
        <v>2.3772922594120649</v>
      </c>
      <c r="I115" s="172">
        <f t="shared" si="41"/>
        <v>2.430475338915155</v>
      </c>
      <c r="J115" s="173">
        <f t="shared" si="41"/>
        <v>2.379036737219097</v>
      </c>
    </row>
    <row r="116" spans="2:10">
      <c r="B116" s="166"/>
      <c r="C116" s="192" t="s">
        <v>128</v>
      </c>
      <c r="D116" s="172">
        <f>(D35+D36+D37)/D54</f>
        <v>1.1581881787041761</v>
      </c>
      <c r="E116" s="173">
        <f t="shared" ref="E116:J116" si="42">(E35+E36+E37)/E54</f>
        <v>1.6484530753895001</v>
      </c>
      <c r="F116" s="172">
        <f t="shared" si="42"/>
        <v>1.5737251979606905</v>
      </c>
      <c r="G116" s="172">
        <f t="shared" si="42"/>
        <v>1.6178375451654925</v>
      </c>
      <c r="H116" s="172">
        <f t="shared" si="42"/>
        <v>1.5490146824174365</v>
      </c>
      <c r="I116" s="172">
        <f t="shared" si="42"/>
        <v>1.6033920507281449</v>
      </c>
      <c r="J116" s="173">
        <f t="shared" si="42"/>
        <v>1.5528929331145906</v>
      </c>
    </row>
    <row r="117" spans="2:10">
      <c r="B117" s="169"/>
      <c r="C117" s="192" t="s">
        <v>260</v>
      </c>
      <c r="D117" s="172">
        <f>D35/D54</f>
        <v>0.23810217914146201</v>
      </c>
      <c r="E117" s="173">
        <f t="shared" ref="E117:J117" si="43">E35/E54</f>
        <v>0.30240714760392823</v>
      </c>
      <c r="F117" s="172">
        <f t="shared" si="43"/>
        <v>0.41348016108315527</v>
      </c>
      <c r="G117" s="172">
        <f t="shared" si="43"/>
        <v>0.48122118896813243</v>
      </c>
      <c r="H117" s="172">
        <f t="shared" si="43"/>
        <v>0.39391821016140127</v>
      </c>
      <c r="I117" s="172">
        <f t="shared" si="43"/>
        <v>0.4694013328101812</v>
      </c>
      <c r="J117" s="173">
        <f t="shared" si="43"/>
        <v>0.40166108813383722</v>
      </c>
    </row>
    <row r="118" spans="2:10">
      <c r="B118" s="169"/>
      <c r="C118" s="148"/>
      <c r="D118" s="148"/>
      <c r="E118" s="244"/>
      <c r="F118" s="300"/>
      <c r="G118" s="148"/>
      <c r="H118" s="192"/>
      <c r="I118" s="192"/>
      <c r="J118" s="193"/>
    </row>
    <row r="119" spans="2:10">
      <c r="B119" s="169"/>
      <c r="C119" s="161" t="s">
        <v>261</v>
      </c>
      <c r="D119" s="162"/>
      <c r="E119" s="245"/>
      <c r="F119" s="302"/>
      <c r="G119" s="162"/>
      <c r="H119" s="198"/>
      <c r="I119" s="198"/>
      <c r="J119" s="199"/>
    </row>
    <row r="120" spans="2:10">
      <c r="B120" s="169"/>
      <c r="C120" s="90" t="s">
        <v>208</v>
      </c>
      <c r="D120" s="174">
        <f>D36</f>
        <v>20773</v>
      </c>
      <c r="E120" s="175">
        <f t="shared" ref="E120:J120" si="44">E36</f>
        <v>25152</v>
      </c>
      <c r="F120" s="174">
        <f t="shared" si="44"/>
        <v>25351.509301885821</v>
      </c>
      <c r="G120" s="174">
        <f t="shared" si="44"/>
        <v>28446.928587646082</v>
      </c>
      <c r="H120" s="174">
        <f t="shared" si="44"/>
        <v>31920.298568197672</v>
      </c>
      <c r="I120" s="174">
        <f t="shared" si="44"/>
        <v>35817.76702337461</v>
      </c>
      <c r="J120" s="175">
        <f t="shared" si="44"/>
        <v>40191.11637692865</v>
      </c>
    </row>
    <row r="121" spans="2:10">
      <c r="B121" s="169"/>
      <c r="C121" s="90" t="s">
        <v>210</v>
      </c>
      <c r="D121" s="174">
        <f>D39</f>
        <v>10920</v>
      </c>
      <c r="E121" s="175">
        <f t="shared" ref="E121:J121" si="45">E39</f>
        <v>15965</v>
      </c>
      <c r="F121" s="174">
        <f t="shared" si="45"/>
        <v>13131.451852159773</v>
      </c>
      <c r="G121" s="174">
        <f t="shared" si="45"/>
        <v>14734.802123308484</v>
      </c>
      <c r="H121" s="174">
        <f t="shared" si="45"/>
        <v>16533.921462564449</v>
      </c>
      <c r="I121" s="174">
        <f t="shared" si="45"/>
        <v>18552.71327314357</v>
      </c>
      <c r="J121" s="175">
        <f t="shared" si="45"/>
        <v>20817.999563794401</v>
      </c>
    </row>
    <row r="122" spans="2:10">
      <c r="B122" s="169"/>
      <c r="C122" s="90" t="s">
        <v>218</v>
      </c>
      <c r="D122" s="174">
        <f>D51*-1</f>
        <v>-2426</v>
      </c>
      <c r="E122" s="175">
        <f t="shared" ref="E122:J122" si="46">E51*-1</f>
        <v>-2493</v>
      </c>
      <c r="F122" s="174">
        <f t="shared" si="46"/>
        <v>-2828.742701239798</v>
      </c>
      <c r="G122" s="174">
        <f t="shared" si="46"/>
        <v>-3174.1321850611776</v>
      </c>
      <c r="H122" s="174">
        <f t="shared" si="46"/>
        <v>-3561.6937248571476</v>
      </c>
      <c r="I122" s="174">
        <f t="shared" si="46"/>
        <v>-3996.576528662205</v>
      </c>
      <c r="J122" s="175">
        <f t="shared" si="46"/>
        <v>-4484.5585228118607</v>
      </c>
    </row>
    <row r="123" spans="2:10">
      <c r="B123" s="169"/>
      <c r="C123" s="91" t="s">
        <v>220</v>
      </c>
      <c r="D123" s="174">
        <f>D53*-1</f>
        <v>-11606</v>
      </c>
      <c r="E123" s="175">
        <f t="shared" ref="E123:J123" si="47">E53*-1</f>
        <v>-12107</v>
      </c>
      <c r="F123" s="174">
        <f t="shared" si="47"/>
        <v>-12741.600585381018</v>
      </c>
      <c r="G123" s="174">
        <f t="shared" si="47"/>
        <v>-14327.411138918287</v>
      </c>
      <c r="H123" s="174">
        <f t="shared" si="47"/>
        <v>-16106.7675011994</v>
      </c>
      <c r="I123" s="174">
        <f t="shared" si="47"/>
        <v>-18102.127616700014</v>
      </c>
      <c r="J123" s="175">
        <f t="shared" si="47"/>
        <v>-20337.817298204969</v>
      </c>
    </row>
    <row r="124" spans="2:10">
      <c r="B124" s="169"/>
      <c r="C124" s="155" t="s">
        <v>261</v>
      </c>
      <c r="D124" s="160">
        <f>SUM(D120:D123)</f>
        <v>17661</v>
      </c>
      <c r="E124" s="177">
        <f t="shared" ref="E124:J124" si="48">SUM(E120:E123)</f>
        <v>26517</v>
      </c>
      <c r="F124" s="160">
        <f t="shared" si="48"/>
        <v>22912.617867424779</v>
      </c>
      <c r="G124" s="160">
        <f t="shared" si="48"/>
        <v>25680.1873869751</v>
      </c>
      <c r="H124" s="160">
        <f t="shared" si="48"/>
        <v>28785.758804705576</v>
      </c>
      <c r="I124" s="160">
        <f t="shared" si="48"/>
        <v>32271.776151155962</v>
      </c>
      <c r="J124" s="176">
        <f t="shared" si="48"/>
        <v>36186.740119706228</v>
      </c>
    </row>
    <row r="125" spans="2:10">
      <c r="B125" s="169"/>
      <c r="C125" s="148"/>
      <c r="D125" s="148"/>
      <c r="E125" s="244"/>
      <c r="F125" s="300"/>
      <c r="G125" s="156"/>
      <c r="H125" s="192"/>
      <c r="I125" s="192"/>
      <c r="J125" s="193"/>
    </row>
    <row r="126" spans="2:10">
      <c r="B126" s="169"/>
      <c r="C126" s="148" t="s">
        <v>262</v>
      </c>
      <c r="D126" s="174">
        <f>D124</f>
        <v>17661</v>
      </c>
      <c r="E126" s="175">
        <f t="shared" ref="E126:J126" si="49">E124</f>
        <v>26517</v>
      </c>
      <c r="F126" s="174">
        <f t="shared" si="49"/>
        <v>22912.617867424779</v>
      </c>
      <c r="G126" s="174">
        <f t="shared" si="49"/>
        <v>25680.1873869751</v>
      </c>
      <c r="H126" s="174">
        <f t="shared" si="49"/>
        <v>28785.758804705576</v>
      </c>
      <c r="I126" s="174">
        <f t="shared" si="49"/>
        <v>32271.776151155962</v>
      </c>
      <c r="J126" s="175">
        <f t="shared" si="49"/>
        <v>36186.740119706228</v>
      </c>
    </row>
    <row r="127" spans="2:10">
      <c r="B127" s="169"/>
      <c r="C127" s="148" t="s">
        <v>263</v>
      </c>
      <c r="D127" s="174">
        <f>D42</f>
        <v>15706</v>
      </c>
      <c r="E127" s="175">
        <f t="shared" ref="E127:J127" si="50">E42</f>
        <v>14604</v>
      </c>
      <c r="F127" s="174">
        <f t="shared" si="50"/>
        <v>12940.555715456501</v>
      </c>
      <c r="G127" s="174">
        <f t="shared" si="50"/>
        <v>14193.311321742138</v>
      </c>
      <c r="H127" s="174">
        <f t="shared" si="50"/>
        <v>15498.443411358065</v>
      </c>
      <c r="I127" s="174">
        <f t="shared" si="50"/>
        <v>16854.37950551328</v>
      </c>
      <c r="J127" s="175">
        <f t="shared" si="50"/>
        <v>18258.756642750566</v>
      </c>
    </row>
    <row r="128" spans="2:10">
      <c r="B128" s="169"/>
      <c r="C128" s="159" t="s">
        <v>264</v>
      </c>
      <c r="D128" s="160">
        <f>SUM(D126:D127)</f>
        <v>33367</v>
      </c>
      <c r="E128" s="177">
        <f t="shared" ref="E128:J128" si="51">SUM(E126:E127)</f>
        <v>41121</v>
      </c>
      <c r="F128" s="160">
        <f t="shared" si="51"/>
        <v>35853.173582881282</v>
      </c>
      <c r="G128" s="160">
        <f t="shared" si="51"/>
        <v>39873.498708717234</v>
      </c>
      <c r="H128" s="160">
        <f t="shared" si="51"/>
        <v>44284.202216063641</v>
      </c>
      <c r="I128" s="160">
        <f t="shared" si="51"/>
        <v>49126.155656669245</v>
      </c>
      <c r="J128" s="177">
        <f t="shared" si="51"/>
        <v>54445.496762456794</v>
      </c>
    </row>
    <row r="129" spans="2:10">
      <c r="B129" s="178"/>
      <c r="C129" s="162"/>
      <c r="D129" s="162"/>
      <c r="E129" s="245"/>
      <c r="F129" s="302"/>
      <c r="G129" s="162"/>
      <c r="H129" s="74"/>
      <c r="I129" s="74"/>
      <c r="J129" s="53"/>
    </row>
    <row r="130" spans="2:10">
      <c r="B130" s="147"/>
      <c r="C130" s="148"/>
      <c r="D130" s="148"/>
      <c r="E130" s="148"/>
      <c r="F130" s="300"/>
      <c r="G130" s="148"/>
    </row>
    <row r="131" spans="2:10">
      <c r="B131" s="147"/>
      <c r="C131" s="148"/>
      <c r="D131" s="148"/>
      <c r="E131" s="148"/>
      <c r="F131" s="300"/>
      <c r="G131" s="148"/>
    </row>
    <row r="132" spans="2:10">
      <c r="B132" s="147"/>
      <c r="C132" s="148"/>
      <c r="D132" s="148"/>
      <c r="E132" s="148"/>
      <c r="F132" s="300"/>
      <c r="G132" s="148"/>
    </row>
    <row r="133" spans="2:10">
      <c r="B133" s="147"/>
      <c r="C133" s="148"/>
      <c r="D133" s="148"/>
      <c r="E133" s="148"/>
      <c r="F133" s="156"/>
      <c r="G133" s="156"/>
    </row>
    <row r="134" spans="2:10">
      <c r="B134" s="147"/>
      <c r="C134" s="155"/>
      <c r="D134" s="155"/>
      <c r="E134" s="155"/>
      <c r="F134" s="156"/>
      <c r="G134" s="156"/>
    </row>
    <row r="135" spans="2:10">
      <c r="B135" s="147"/>
      <c r="C135" s="148"/>
      <c r="D135" s="148"/>
      <c r="E135" s="148"/>
      <c r="F135" s="148"/>
      <c r="G135" s="148"/>
    </row>
    <row r="136" spans="2:10">
      <c r="B136" s="147"/>
      <c r="C136" s="148"/>
      <c r="D136" s="148"/>
      <c r="E136" s="148"/>
      <c r="F136" s="148"/>
      <c r="G136" s="148"/>
    </row>
    <row r="137" spans="2:10">
      <c r="B137" s="147"/>
      <c r="C137" s="148"/>
      <c r="D137" s="148"/>
      <c r="E137" s="148"/>
      <c r="F137" s="148"/>
      <c r="G137" s="148"/>
    </row>
    <row r="138" spans="2:10">
      <c r="B138" s="147"/>
      <c r="C138" s="148"/>
      <c r="D138" s="148"/>
      <c r="E138" s="148"/>
      <c r="F138" s="148"/>
      <c r="G138" s="148"/>
    </row>
    <row r="139" spans="2:10">
      <c r="B139" s="147"/>
      <c r="C139" s="148"/>
      <c r="D139" s="148"/>
      <c r="E139" s="148"/>
      <c r="F139" s="148"/>
      <c r="G139" s="148"/>
    </row>
    <row r="140" spans="2:10">
      <c r="B140" s="147"/>
      <c r="C140" s="148"/>
      <c r="D140" s="148"/>
      <c r="E140" s="148"/>
      <c r="F140" s="148"/>
      <c r="G140" s="148"/>
    </row>
    <row r="141" spans="2:10">
      <c r="B141" s="147"/>
      <c r="C141" s="155"/>
      <c r="D141" s="155"/>
      <c r="E141" s="155"/>
      <c r="F141" s="179"/>
      <c r="G141" s="179"/>
    </row>
    <row r="142" spans="2:10">
      <c r="B142" s="147"/>
      <c r="C142" s="148"/>
      <c r="D142" s="148"/>
      <c r="E142" s="148"/>
      <c r="F142" s="300"/>
      <c r="G142" s="156"/>
    </row>
    <row r="143" spans="2:10">
      <c r="B143" s="147"/>
      <c r="C143" s="148"/>
      <c r="D143" s="148"/>
      <c r="E143" s="148"/>
      <c r="F143" s="300"/>
      <c r="G143" s="156"/>
    </row>
    <row r="144" spans="2:10">
      <c r="B144" s="147"/>
      <c r="C144" s="148"/>
      <c r="D144" s="148"/>
      <c r="E144" s="148"/>
      <c r="F144" s="300"/>
      <c r="G144" s="156"/>
    </row>
    <row r="145" spans="2:7">
      <c r="B145" s="147"/>
      <c r="C145" s="148"/>
      <c r="D145" s="148"/>
      <c r="E145" s="148"/>
      <c r="F145" s="300"/>
      <c r="G145" s="156"/>
    </row>
    <row r="146" spans="2:7">
      <c r="B146" s="147"/>
      <c r="C146" s="155"/>
      <c r="D146" s="155"/>
      <c r="E146" s="155"/>
      <c r="F146" s="300"/>
      <c r="G146" s="180"/>
    </row>
    <row r="147" spans="2:7">
      <c r="B147" s="147"/>
      <c r="C147" s="148"/>
      <c r="D147" s="148"/>
      <c r="E147" s="148"/>
      <c r="F147" s="148"/>
      <c r="G147" s="148"/>
    </row>
    <row r="148" spans="2:7">
      <c r="B148" s="147"/>
      <c r="C148" s="148"/>
      <c r="D148" s="148"/>
      <c r="E148" s="148"/>
      <c r="F148" s="300"/>
      <c r="G148" s="156"/>
    </row>
    <row r="149" spans="2:7">
      <c r="B149" s="147"/>
      <c r="C149" s="148"/>
      <c r="D149" s="148"/>
      <c r="E149" s="148"/>
      <c r="F149" s="300"/>
      <c r="G149" s="156"/>
    </row>
    <row r="150" spans="2:7">
      <c r="B150" s="147"/>
      <c r="C150" s="155"/>
      <c r="D150" s="155"/>
      <c r="E150" s="155"/>
      <c r="F150" s="300"/>
      <c r="G150" s="180"/>
    </row>
    <row r="151" spans="2:7">
      <c r="B151" s="181"/>
      <c r="C151" s="152"/>
      <c r="D151" s="153"/>
      <c r="E151" s="153"/>
      <c r="F151" s="153"/>
      <c r="G151" s="153"/>
    </row>
    <row r="152" spans="2:7">
      <c r="B152" s="147"/>
      <c r="C152" s="148"/>
      <c r="D152" s="148"/>
      <c r="E152" s="148"/>
      <c r="F152" s="148"/>
      <c r="G152" s="148"/>
    </row>
    <row r="153" spans="2:7">
      <c r="B153" s="147"/>
      <c r="C153" s="155"/>
      <c r="D153" s="155"/>
      <c r="E153" s="155"/>
      <c r="F153" s="179"/>
      <c r="G153" s="179"/>
    </row>
    <row r="154" spans="2:7">
      <c r="B154" s="147"/>
      <c r="C154" s="148"/>
      <c r="D154" s="148"/>
      <c r="E154" s="148"/>
      <c r="F154" s="300"/>
      <c r="G154" s="156"/>
    </row>
    <row r="155" spans="2:7">
      <c r="B155" s="147"/>
      <c r="C155" s="148"/>
      <c r="D155" s="148"/>
      <c r="E155" s="148"/>
      <c r="F155" s="300"/>
      <c r="G155" s="156"/>
    </row>
    <row r="156" spans="2:7">
      <c r="B156" s="147"/>
      <c r="C156" s="148"/>
      <c r="D156" s="148"/>
      <c r="E156" s="182"/>
      <c r="F156" s="300"/>
      <c r="G156" s="156"/>
    </row>
    <row r="157" spans="2:7">
      <c r="B157" s="147"/>
      <c r="C157" s="148"/>
      <c r="D157" s="148"/>
      <c r="E157" s="148"/>
      <c r="F157" s="300"/>
      <c r="G157" s="156"/>
    </row>
    <row r="158" spans="2:7">
      <c r="B158" s="147"/>
      <c r="C158" s="148"/>
      <c r="D158" s="148"/>
      <c r="E158" s="148"/>
      <c r="F158" s="300"/>
      <c r="G158" s="156"/>
    </row>
    <row r="159" spans="2:7">
      <c r="B159" s="147"/>
      <c r="C159" s="148"/>
      <c r="D159" s="148"/>
      <c r="E159" s="182"/>
      <c r="F159" s="300"/>
      <c r="G159" s="156"/>
    </row>
    <row r="160" spans="2:7">
      <c r="B160" s="147"/>
      <c r="C160" s="155"/>
      <c r="D160" s="155"/>
      <c r="E160" s="155"/>
      <c r="F160" s="300"/>
      <c r="G160" s="180"/>
    </row>
    <row r="161" spans="2:7">
      <c r="B161" s="181"/>
      <c r="C161" s="152"/>
      <c r="D161" s="153"/>
      <c r="E161" s="153"/>
      <c r="F161" s="153"/>
      <c r="G161" s="153"/>
    </row>
    <row r="162" spans="2:7">
      <c r="B162" s="147"/>
      <c r="C162" s="148"/>
      <c r="D162" s="148"/>
      <c r="E162" s="148"/>
      <c r="F162" s="148"/>
      <c r="G162" s="148"/>
    </row>
  </sheetData>
  <mergeCells count="2">
    <mergeCell ref="D4:E4"/>
    <mergeCell ref="F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B90-2FCA-4E1A-84C1-E62624ED75CF}">
  <sheetPr>
    <tabColor rgb="FF0070C0"/>
  </sheetPr>
  <dimension ref="B2:P53"/>
  <sheetViews>
    <sheetView showGridLines="0" zoomScale="70" workbookViewId="0">
      <pane xSplit="1" topLeftCell="B1" activePane="topRight" state="frozen"/>
      <selection pane="topRight" activeCell="M32" sqref="M32"/>
    </sheetView>
  </sheetViews>
  <sheetFormatPr defaultRowHeight="14.45" outlineLevelCol="1"/>
  <cols>
    <col min="1" max="1" width="5.7109375" customWidth="1"/>
    <col min="2" max="2" width="36.5703125" bestFit="1" customWidth="1"/>
    <col min="3" max="3" width="17.7109375" customWidth="1"/>
    <col min="5" max="5" width="32.28515625" bestFit="1" customWidth="1"/>
    <col min="6" max="6" width="17" bestFit="1" customWidth="1"/>
    <col min="7" max="9" width="17" hidden="1" customWidth="1" outlineLevel="1"/>
    <col min="10" max="10" width="9.140625" collapsed="1"/>
    <col min="11" max="11" width="19.5703125" customWidth="1"/>
    <col min="12" max="13" width="10.42578125" bestFit="1" customWidth="1"/>
    <col min="14" max="14" width="11" bestFit="1" customWidth="1"/>
    <col min="15" max="15" width="12" bestFit="1" customWidth="1"/>
    <col min="16" max="16" width="12.7109375" bestFit="1" customWidth="1"/>
  </cols>
  <sheetData>
    <row r="2" spans="2:16" s="30" customFormat="1" ht="24" customHeight="1">
      <c r="B2" s="29" t="s">
        <v>265</v>
      </c>
      <c r="C2" s="29"/>
    </row>
    <row r="3" spans="2:16" ht="14.25" customHeight="1">
      <c r="B3" s="281" t="s">
        <v>266</v>
      </c>
      <c r="C3" s="14"/>
    </row>
    <row r="5" spans="2:16" ht="27.6">
      <c r="B5" s="47" t="s">
        <v>267</v>
      </c>
      <c r="C5" s="48"/>
      <c r="E5" s="250" t="s">
        <v>268</v>
      </c>
      <c r="F5" s="264"/>
      <c r="G5" s="272" t="s">
        <v>269</v>
      </c>
      <c r="H5" s="272" t="s">
        <v>270</v>
      </c>
      <c r="I5" s="272" t="s">
        <v>271</v>
      </c>
      <c r="K5" s="250" t="s">
        <v>272</v>
      </c>
      <c r="L5" s="251">
        <v>2025</v>
      </c>
      <c r="M5" s="251">
        <v>2026</v>
      </c>
      <c r="N5" s="251">
        <v>2027</v>
      </c>
      <c r="O5" s="251">
        <v>2028</v>
      </c>
      <c r="P5" s="252">
        <v>2029</v>
      </c>
    </row>
    <row r="6" spans="2:16">
      <c r="B6" s="31"/>
      <c r="C6" s="32"/>
      <c r="E6" s="194" t="s">
        <v>269</v>
      </c>
      <c r="F6" s="193"/>
      <c r="G6" s="192"/>
      <c r="H6" s="192"/>
      <c r="I6" s="192"/>
      <c r="K6" s="194"/>
      <c r="L6" s="192"/>
      <c r="M6" s="192"/>
      <c r="N6" s="192"/>
      <c r="O6" s="192"/>
      <c r="P6" s="193"/>
    </row>
    <row r="7" spans="2:16">
      <c r="B7" s="49" t="s">
        <v>273</v>
      </c>
      <c r="C7" s="33"/>
      <c r="E7" s="194" t="s">
        <v>274</v>
      </c>
      <c r="F7" s="265">
        <f>IF($E$6="Base",G7,IF($E$6="Best",H7,IF($E$6="Worst",I7,0)))</f>
        <v>0.1221</v>
      </c>
      <c r="G7" s="261">
        <v>0.1221</v>
      </c>
      <c r="H7" s="261">
        <v>0.156</v>
      </c>
      <c r="I7" s="261">
        <v>6.6600000000000006E-2</v>
      </c>
      <c r="K7" s="194" t="s">
        <v>100</v>
      </c>
      <c r="L7" s="100">
        <f>FINANCIALS!F7*('ASSUMPTION '!L12*-1)</f>
        <v>-1880.7843509000002</v>
      </c>
      <c r="M7" s="100">
        <f>FINANCIALS!G7*('ASSUMPTION '!M12*-1)</f>
        <v>-1948.0874955183606</v>
      </c>
      <c r="N7" s="100">
        <f>FINANCIALS!H7*('ASSUMPTION '!N12*-1)</f>
        <v>-2094.8677712744379</v>
      </c>
      <c r="O7" s="100">
        <f>FINANCIALS!I7*('ASSUMPTION '!O12*-1)</f>
        <v>-2248.4489032710881</v>
      </c>
      <c r="P7" s="101">
        <f>FINANCIALS!J7*('ASSUMPTION '!P12*-1)</f>
        <v>-2408.3034000713751</v>
      </c>
    </row>
    <row r="8" spans="2:16">
      <c r="B8" s="34" t="s">
        <v>59</v>
      </c>
      <c r="C8" s="35">
        <v>1</v>
      </c>
      <c r="E8" s="194" t="s">
        <v>76</v>
      </c>
      <c r="F8" s="265">
        <f t="shared" ref="F8:F9" si="0">IF($E$6="Base",G8,IF($E$6="Best",H8,IF($E$6="Worst",I8,0)))</f>
        <v>0.67330000000000001</v>
      </c>
      <c r="G8" s="261">
        <v>0.67330000000000001</v>
      </c>
      <c r="H8" s="261">
        <v>0.58699999999999997</v>
      </c>
      <c r="I8" s="261">
        <v>0.74760000000000004</v>
      </c>
      <c r="K8" s="253" t="s">
        <v>275</v>
      </c>
      <c r="L8" s="100">
        <f>('BALANCE SHEET '!H15+('ASSUMPTION '!L7*-1))</f>
        <v>16484.784350900001</v>
      </c>
      <c r="M8" s="100">
        <f>'ASSUMPTION '!L8+('ASSUMPTION '!M7*-1)</f>
        <v>18432.871846418362</v>
      </c>
      <c r="N8" s="100">
        <f>'ASSUMPTION '!M8+('ASSUMPTION '!N7*-1)</f>
        <v>20527.739617692801</v>
      </c>
      <c r="O8" s="100">
        <f>'ASSUMPTION '!N8+('ASSUMPTION '!O7*-1)</f>
        <v>22776.188520963889</v>
      </c>
      <c r="P8" s="101">
        <f>'ASSUMPTION '!O8+('ASSUMPTION '!P7*-1)</f>
        <v>25184.491921035264</v>
      </c>
    </row>
    <row r="9" spans="2:16">
      <c r="B9" s="34" t="s">
        <v>276</v>
      </c>
      <c r="C9" s="36">
        <v>0</v>
      </c>
      <c r="E9" s="194" t="s">
        <v>14</v>
      </c>
      <c r="F9" s="265">
        <f t="shared" si="0"/>
        <v>6.6699999999999995E-2</v>
      </c>
      <c r="G9" s="261">
        <v>6.6699999999999995E-2</v>
      </c>
      <c r="H9" s="261">
        <v>5.8000000000000003E-2</v>
      </c>
      <c r="I9" s="261">
        <v>7.9200000000000007E-2</v>
      </c>
      <c r="K9" s="194" t="s">
        <v>277</v>
      </c>
      <c r="L9" s="100">
        <f>L8*L13</f>
        <v>3544.2286354435</v>
      </c>
      <c r="M9" s="100">
        <f t="shared" ref="M9:P9" si="1">M8*M13</f>
        <v>4239.5605246762234</v>
      </c>
      <c r="N9" s="100">
        <f t="shared" si="1"/>
        <v>5029.2962063347359</v>
      </c>
      <c r="O9" s="100">
        <f t="shared" si="1"/>
        <v>5921.8090154506117</v>
      </c>
      <c r="P9" s="101">
        <f t="shared" si="1"/>
        <v>6925.7352782846983</v>
      </c>
    </row>
    <row r="10" spans="2:16">
      <c r="B10" s="37" t="s">
        <v>278</v>
      </c>
      <c r="C10" s="38">
        <f>SUM(C8:C9)</f>
        <v>1</v>
      </c>
      <c r="E10" s="194" t="s">
        <v>92</v>
      </c>
      <c r="F10" s="265">
        <v>4.4999999999999998E-2</v>
      </c>
      <c r="G10" s="261"/>
      <c r="H10" s="261"/>
      <c r="I10" s="261"/>
      <c r="K10" s="194"/>
      <c r="L10" s="192"/>
      <c r="M10" s="192"/>
      <c r="N10" s="192"/>
      <c r="O10" s="192"/>
      <c r="P10" s="193"/>
    </row>
    <row r="11" spans="2:16">
      <c r="B11" s="31"/>
      <c r="C11" s="32"/>
      <c r="E11" s="197" t="s">
        <v>279</v>
      </c>
      <c r="F11" s="266">
        <v>0.26</v>
      </c>
      <c r="G11" s="270"/>
      <c r="H11" s="270"/>
      <c r="I11" s="270"/>
      <c r="K11" s="194" t="s">
        <v>280</v>
      </c>
      <c r="L11" s="100">
        <f>L8-L9</f>
        <v>12940.555715456501</v>
      </c>
      <c r="M11" s="100">
        <f t="shared" ref="M11:P11" si="2">M8-M9</f>
        <v>14193.311321742138</v>
      </c>
      <c r="N11" s="100">
        <f t="shared" si="2"/>
        <v>15498.443411358065</v>
      </c>
      <c r="O11" s="100">
        <f t="shared" si="2"/>
        <v>16854.37950551328</v>
      </c>
      <c r="P11" s="101">
        <f t="shared" si="2"/>
        <v>18258.756642750566</v>
      </c>
    </row>
    <row r="12" spans="2:16">
      <c r="B12" s="49" t="s">
        <v>281</v>
      </c>
      <c r="C12" s="33"/>
      <c r="E12" s="192"/>
      <c r="F12" s="192"/>
      <c r="G12" s="192"/>
      <c r="H12" s="192"/>
      <c r="I12" s="192"/>
      <c r="K12" s="254" t="s">
        <v>282</v>
      </c>
      <c r="L12" s="255">
        <v>1.2999999999999999E-2</v>
      </c>
      <c r="M12" s="256">
        <v>1.2E-2</v>
      </c>
      <c r="N12" s="256">
        <v>1.15E-2</v>
      </c>
      <c r="O12" s="256">
        <v>1.0999999999999999E-2</v>
      </c>
      <c r="P12" s="257">
        <v>1.0500000000000001E-2</v>
      </c>
    </row>
    <row r="13" spans="2:16" ht="15" customHeight="1">
      <c r="B13" s="34" t="s">
        <v>283</v>
      </c>
      <c r="C13" s="35">
        <v>6.2199999999999998E-2</v>
      </c>
      <c r="E13" s="326" t="s">
        <v>284</v>
      </c>
      <c r="F13" s="267"/>
      <c r="G13" s="271"/>
      <c r="H13" s="271"/>
      <c r="I13" s="271"/>
      <c r="K13" s="197" t="s">
        <v>285</v>
      </c>
      <c r="L13" s="258">
        <v>0.215</v>
      </c>
      <c r="M13" s="258">
        <v>0.23</v>
      </c>
      <c r="N13" s="258">
        <v>0.245</v>
      </c>
      <c r="O13" s="258">
        <v>0.26</v>
      </c>
      <c r="P13" s="259">
        <v>0.27500000000000002</v>
      </c>
    </row>
    <row r="14" spans="2:16">
      <c r="B14" s="34" t="s">
        <v>286</v>
      </c>
      <c r="C14" s="39">
        <v>0.87</v>
      </c>
      <c r="E14" s="327"/>
      <c r="F14" s="268"/>
      <c r="G14" s="271"/>
      <c r="H14" s="271"/>
      <c r="I14" s="271"/>
      <c r="K14" s="192"/>
      <c r="L14" s="192"/>
      <c r="M14" s="192"/>
      <c r="N14" s="192"/>
      <c r="O14" s="192"/>
      <c r="P14" s="192"/>
    </row>
    <row r="15" spans="2:16" ht="15" customHeight="1">
      <c r="B15" s="34" t="s">
        <v>287</v>
      </c>
      <c r="C15" s="35">
        <v>6.7500000000000004E-2</v>
      </c>
      <c r="E15" s="194"/>
      <c r="F15" s="193"/>
      <c r="G15" s="192"/>
      <c r="H15" s="192"/>
      <c r="I15" s="192"/>
      <c r="K15" s="332" t="s">
        <v>288</v>
      </c>
      <c r="L15" s="330">
        <v>2025</v>
      </c>
      <c r="M15" s="330">
        <v>2026</v>
      </c>
      <c r="N15" s="330">
        <v>2027</v>
      </c>
      <c r="O15" s="330">
        <v>2028</v>
      </c>
      <c r="P15" s="328">
        <v>2029</v>
      </c>
    </row>
    <row r="16" spans="2:16" ht="15" customHeight="1">
      <c r="B16" s="34" t="s">
        <v>289</v>
      </c>
      <c r="C16" s="35">
        <f>C14*C15</f>
        <v>5.8725000000000006E-2</v>
      </c>
      <c r="E16" s="194" t="s">
        <v>290</v>
      </c>
      <c r="F16" s="78">
        <f>AVERAGE('RATIO ANALYSIS '!D31:H31)</f>
        <v>63.958907133550518</v>
      </c>
      <c r="G16" s="77"/>
      <c r="H16" s="77"/>
      <c r="I16" s="77"/>
      <c r="K16" s="333"/>
      <c r="L16" s="331"/>
      <c r="M16" s="331"/>
      <c r="N16" s="331"/>
      <c r="O16" s="331"/>
      <c r="P16" s="329"/>
    </row>
    <row r="17" spans="2:16">
      <c r="B17" s="37" t="s">
        <v>281</v>
      </c>
      <c r="C17" s="38">
        <f>C13+C16</f>
        <v>0.120925</v>
      </c>
      <c r="E17" s="194" t="s">
        <v>291</v>
      </c>
      <c r="F17" s="265">
        <f>AVERAGE('VERTICAL ANALYSIS'!D57:H57)</f>
        <v>8.6361257194881774E-2</v>
      </c>
      <c r="G17" s="261"/>
      <c r="H17" s="261"/>
      <c r="I17" s="261"/>
      <c r="K17" s="260"/>
      <c r="L17" s="192"/>
      <c r="M17" s="192"/>
      <c r="N17" s="192"/>
      <c r="O17" s="192"/>
      <c r="P17" s="193"/>
    </row>
    <row r="18" spans="2:16">
      <c r="B18" s="31"/>
      <c r="C18" s="32"/>
      <c r="E18" s="194" t="s">
        <v>292</v>
      </c>
      <c r="F18" s="78">
        <f>AVERAGE('VERTICAL ANALYSIS'!D58:H58)</f>
        <v>33.129124563739538</v>
      </c>
      <c r="G18" s="77"/>
      <c r="H18" s="77"/>
      <c r="I18" s="77"/>
      <c r="K18" s="194" t="s">
        <v>293</v>
      </c>
      <c r="L18" s="77">
        <f>AVERAGE('VERTICAL ANALYSIS'!D80:H80)</f>
        <v>2.0707328626759782</v>
      </c>
      <c r="M18" s="192"/>
      <c r="N18" s="192"/>
      <c r="O18" s="192"/>
      <c r="P18" s="193"/>
    </row>
    <row r="19" spans="2:16">
      <c r="B19" s="49" t="s">
        <v>294</v>
      </c>
      <c r="C19" s="33"/>
      <c r="E19" s="194" t="s">
        <v>295</v>
      </c>
      <c r="F19" s="265">
        <v>0.54800000000000004</v>
      </c>
      <c r="G19" s="261"/>
      <c r="H19" s="261"/>
      <c r="I19" s="261"/>
      <c r="K19" s="194" t="s">
        <v>296</v>
      </c>
      <c r="L19" s="261">
        <f>AVERAGE('VERTICAL ANALYSIS'!D82:H82)</f>
        <v>0.54448901178542575</v>
      </c>
      <c r="M19" s="192"/>
      <c r="N19" s="192"/>
      <c r="O19" s="192"/>
      <c r="P19" s="193"/>
    </row>
    <row r="20" spans="2:16">
      <c r="B20" s="34" t="s">
        <v>283</v>
      </c>
      <c r="C20" s="35">
        <v>0</v>
      </c>
      <c r="E20" s="194"/>
      <c r="F20" s="193"/>
      <c r="G20" s="192"/>
      <c r="H20" s="192"/>
      <c r="I20" s="192"/>
      <c r="K20" s="192" t="s">
        <v>297</v>
      </c>
      <c r="L20" s="261">
        <f>AVERAGE('VERTICAL ANALYSIS'!D81:H81)</f>
        <v>0.15251708326671587</v>
      </c>
      <c r="M20" s="192"/>
      <c r="N20" s="192"/>
      <c r="O20" s="192"/>
      <c r="P20" s="193"/>
    </row>
    <row r="21" spans="2:16">
      <c r="B21" s="34" t="s">
        <v>298</v>
      </c>
      <c r="C21" s="39">
        <v>0</v>
      </c>
      <c r="E21" s="194" t="s">
        <v>263</v>
      </c>
      <c r="F21" s="265">
        <f>AVERAGE('VERTICAL ANALYSIS'!D68:H68)</f>
        <v>2.1469321249078185E-2</v>
      </c>
      <c r="G21" s="261"/>
      <c r="H21" s="261"/>
      <c r="I21" s="261"/>
      <c r="K21" s="194" t="s">
        <v>299</v>
      </c>
      <c r="L21" s="100">
        <f>'VERTICAL ANALYSIS'!H79*'ASSUMPTION '!$L$18</f>
        <v>71769.530287486734</v>
      </c>
      <c r="M21" s="100">
        <f>L25*$L$18</f>
        <v>86274.618777738331</v>
      </c>
      <c r="N21" s="100">
        <f t="shared" ref="N21:P21" si="3">M25*$L$18</f>
        <v>90660.570750777464</v>
      </c>
      <c r="O21" s="100">
        <f t="shared" si="3"/>
        <v>108313.28371865021</v>
      </c>
      <c r="P21" s="101">
        <f t="shared" si="3"/>
        <v>114489.63989497663</v>
      </c>
    </row>
    <row r="22" spans="2:16">
      <c r="B22" s="34" t="s">
        <v>300</v>
      </c>
      <c r="C22" s="35">
        <f>C20+C21</f>
        <v>0</v>
      </c>
      <c r="E22" s="194" t="s">
        <v>213</v>
      </c>
      <c r="F22" s="231" t="s">
        <v>301</v>
      </c>
      <c r="G22" s="192"/>
      <c r="H22" s="192"/>
      <c r="I22" s="192"/>
      <c r="K22" s="194" t="s">
        <v>302</v>
      </c>
      <c r="L22" s="100">
        <f>FINANCIALS!F7*'ASSUMPTION '!$L$19</f>
        <v>78774.339431002663</v>
      </c>
      <c r="M22" s="100">
        <f>FINANCIALS!G7*'ASSUMPTION '!$L$19</f>
        <v>88392.686275528089</v>
      </c>
      <c r="N22" s="100">
        <f>FINANCIALS!H7*'ASSUMPTION '!$L$19</f>
        <v>99185.433269770088</v>
      </c>
      <c r="O22" s="100">
        <f>FINANCIALS!I7*'ASSUMPTION '!$L$19</f>
        <v>111295.97467200902</v>
      </c>
      <c r="P22" s="101">
        <f>FINANCIALS!J7*'ASSUMPTION '!$L$19</f>
        <v>124885.21317946132</v>
      </c>
    </row>
    <row r="23" spans="2:16">
      <c r="B23" s="34" t="s">
        <v>86</v>
      </c>
      <c r="C23" s="40">
        <v>0.26</v>
      </c>
      <c r="E23" s="194" t="s">
        <v>209</v>
      </c>
      <c r="F23" s="265">
        <f>AVERAGE('VERTICAL ANALYSIS'!D72:H72)</f>
        <v>1.0268335775840142E-2</v>
      </c>
      <c r="G23" s="261"/>
      <c r="H23" s="261"/>
      <c r="I23" s="261"/>
      <c r="K23" s="254" t="s">
        <v>303</v>
      </c>
      <c r="L23" s="262">
        <f>L21-L22</f>
        <v>-7004.8091435159295</v>
      </c>
      <c r="M23" s="262">
        <f t="shared" ref="M23:P23" si="4">M21-M22</f>
        <v>-2118.0674977897579</v>
      </c>
      <c r="N23" s="262">
        <f t="shared" si="4"/>
        <v>-8524.8625189926242</v>
      </c>
      <c r="O23" s="262">
        <f t="shared" si="4"/>
        <v>-2982.6909533588041</v>
      </c>
      <c r="P23" s="263">
        <f t="shared" si="4"/>
        <v>-10395.573284484693</v>
      </c>
    </row>
    <row r="24" spans="2:16">
      <c r="B24" s="41" t="s">
        <v>304</v>
      </c>
      <c r="C24" s="42">
        <v>0</v>
      </c>
      <c r="E24" s="194" t="s">
        <v>305</v>
      </c>
      <c r="F24" s="265">
        <f>AVERAGE('VERTICAL ANALYSIS'!D73:H73)</f>
        <v>7.1732858938732214E-2</v>
      </c>
      <c r="G24" s="261"/>
      <c r="H24" s="261"/>
      <c r="I24" s="261"/>
      <c r="K24" s="194"/>
      <c r="L24" s="192"/>
      <c r="M24" s="192"/>
      <c r="N24" s="192"/>
      <c r="O24" s="192"/>
      <c r="P24" s="193"/>
    </row>
    <row r="25" spans="2:16">
      <c r="B25" s="31"/>
      <c r="C25" s="32"/>
      <c r="E25" s="194"/>
      <c r="F25" s="193"/>
      <c r="G25" s="192"/>
      <c r="H25" s="192"/>
      <c r="I25" s="192"/>
      <c r="K25" s="194" t="s">
        <v>184</v>
      </c>
      <c r="L25" s="100">
        <f>'VERTICAL ANALYSIS'!H79-'ASSUMPTION '!L23</f>
        <v>41663.809143515929</v>
      </c>
      <c r="M25" s="100">
        <f>L25-'ASSUMPTION '!M23</f>
        <v>43781.876641305687</v>
      </c>
      <c r="N25" s="100">
        <f>M25-'ASSUMPTION '!N23</f>
        <v>52306.739160298312</v>
      </c>
      <c r="O25" s="100">
        <f>N25-'ASSUMPTION '!O23</f>
        <v>55289.430113657116</v>
      </c>
      <c r="P25" s="101">
        <f>O25-'ASSUMPTION '!P23</f>
        <v>65685.003398141809</v>
      </c>
    </row>
    <row r="26" spans="2:16">
      <c r="B26" s="43" t="s">
        <v>306</v>
      </c>
      <c r="C26" s="44">
        <f>C17*C8+C24*C9</f>
        <v>0.120925</v>
      </c>
      <c r="E26" s="194" t="s">
        <v>307</v>
      </c>
      <c r="F26" s="78">
        <f>AVERAGE('RATIO ANALYSIS '!D37:H37)</f>
        <v>10.599418652262363</v>
      </c>
      <c r="G26" s="77"/>
      <c r="H26" s="77"/>
      <c r="I26" s="77"/>
      <c r="K26" s="194"/>
      <c r="L26" s="192"/>
      <c r="M26" s="192"/>
      <c r="N26" s="192"/>
      <c r="O26" s="192"/>
      <c r="P26" s="193"/>
    </row>
    <row r="27" spans="2:16">
      <c r="B27" s="45"/>
      <c r="C27" s="46"/>
      <c r="E27" s="194" t="s">
        <v>219</v>
      </c>
      <c r="F27" s="265">
        <f>AVERAGE('VERTICAL ANALYSIS'!D62:H62)</f>
        <v>0.1379446653104906</v>
      </c>
      <c r="G27" s="261"/>
      <c r="H27" s="261"/>
      <c r="I27" s="261"/>
      <c r="K27" s="194" t="s">
        <v>308</v>
      </c>
      <c r="L27" s="100">
        <f>L25*0.25</f>
        <v>10415.952285878982</v>
      </c>
      <c r="M27" s="100">
        <f t="shared" ref="M27:P27" si="5">M25*0.25</f>
        <v>10945.469160326422</v>
      </c>
      <c r="N27" s="100">
        <f t="shared" si="5"/>
        <v>13076.684790074578</v>
      </c>
      <c r="O27" s="100">
        <f t="shared" si="5"/>
        <v>13822.357528414279</v>
      </c>
      <c r="P27" s="101">
        <f t="shared" si="5"/>
        <v>16421.250849535452</v>
      </c>
    </row>
    <row r="28" spans="2:16">
      <c r="E28" s="194" t="s">
        <v>309</v>
      </c>
      <c r="F28" s="101">
        <f>AVERAGE('VERTICAL ANALYSIS'!D63:H63)</f>
        <v>42.048253801784291</v>
      </c>
      <c r="G28" s="100"/>
      <c r="H28" s="100"/>
      <c r="I28" s="100"/>
      <c r="K28" s="197" t="s">
        <v>310</v>
      </c>
      <c r="L28" s="104">
        <f>L25*0.75</f>
        <v>31247.856857636947</v>
      </c>
      <c r="M28" s="104">
        <f t="shared" ref="M28:P28" si="6">M25*0.75</f>
        <v>32836.407480979266</v>
      </c>
      <c r="N28" s="104">
        <f t="shared" si="6"/>
        <v>39230.054370223734</v>
      </c>
      <c r="O28" s="104">
        <f t="shared" si="6"/>
        <v>41467.072585242837</v>
      </c>
      <c r="P28" s="105">
        <f t="shared" si="6"/>
        <v>49263.752548606353</v>
      </c>
    </row>
    <row r="29" spans="2:16">
      <c r="E29" s="194"/>
      <c r="F29" s="193"/>
      <c r="G29" s="192"/>
      <c r="H29" s="192"/>
      <c r="I29" s="192"/>
      <c r="L29" s="5"/>
    </row>
    <row r="30" spans="2:16">
      <c r="E30" s="194" t="s">
        <v>311</v>
      </c>
      <c r="F30" s="265">
        <f>AVERAGE('VERTICAL ANALYSIS'!D75:H75)</f>
        <v>5.0731820211417401E-2</v>
      </c>
      <c r="G30" s="261"/>
      <c r="H30" s="261"/>
      <c r="I30" s="261"/>
    </row>
    <row r="31" spans="2:16">
      <c r="E31" s="194" t="s">
        <v>182</v>
      </c>
      <c r="F31" s="265">
        <f>AVERAGE('VERTICAL ANALYSIS'!D76:H76)</f>
        <v>1.5169928988437876E-2</v>
      </c>
      <c r="G31" s="261"/>
      <c r="H31" s="261"/>
      <c r="I31" s="261"/>
    </row>
    <row r="32" spans="2:16">
      <c r="E32" s="197"/>
      <c r="F32" s="199"/>
      <c r="G32" s="192"/>
      <c r="H32" s="192"/>
      <c r="I32" s="192"/>
    </row>
    <row r="53" spans="6:9">
      <c r="F53" s="15"/>
      <c r="G53" s="15"/>
      <c r="H53" s="15"/>
      <c r="I53" s="15"/>
    </row>
  </sheetData>
  <mergeCells count="7">
    <mergeCell ref="E13:E14"/>
    <mergeCell ref="P15:P16"/>
    <mergeCell ref="O15:O16"/>
    <mergeCell ref="K15:K16"/>
    <mergeCell ref="L15:L16"/>
    <mergeCell ref="M15:M16"/>
    <mergeCell ref="N15:N16"/>
  </mergeCells>
  <dataValidations count="1">
    <dataValidation type="list" allowBlank="1" showInputMessage="1" showErrorMessage="1" sqref="E6" xr:uid="{2929E126-828C-4E55-90FF-A3DF85411F54}">
      <formula1>$G$5:$I$5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2025-05-15T08:56:46Z</dcterms:created>
  <dcterms:modified xsi:type="dcterms:W3CDTF">2025-06-01T10:20:29Z</dcterms:modified>
  <cp:category/>
  <cp:contentStatus/>
</cp:coreProperties>
</file>