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8d0918a7b9026d/Documents/"/>
    </mc:Choice>
  </mc:AlternateContent>
  <xr:revisionPtr revIDLastSave="0" documentId="8_{7915574E-DF32-4B4C-A539-24AF7860E912}" xr6:coauthVersionLast="47" xr6:coauthVersionMax="47" xr10:uidLastSave="{00000000-0000-0000-0000-000000000000}"/>
  <bookViews>
    <workbookView xWindow="-108" yWindow="-108" windowWidth="23256" windowHeight="13176" tabRatio="875" firstSheet="11" activeTab="11" xr2:uid="{F0C19816-A0C6-4621-8492-8A4A59422EA8}"/>
  </bookViews>
  <sheets>
    <sheet name="Assumptions" sheetId="1" r:id="rId1"/>
    <sheet name="Balance sheet " sheetId="24" r:id="rId2"/>
    <sheet name="Income Statement" sheetId="25" r:id="rId3"/>
    <sheet name="Cash Flow Statement " sheetId="28" r:id="rId4"/>
    <sheet name="Debt Repayment " sheetId="29" r:id="rId5"/>
    <sheet name="D&amp;A" sheetId="27" r:id="rId6"/>
    <sheet name="WACC" sheetId="30" r:id="rId7"/>
    <sheet name="Income Tax" sheetId="32" r:id="rId8"/>
    <sheet name="DCF Analysis " sheetId="31" r:id="rId9"/>
    <sheet name="IRR Analysis " sheetId="33" r:id="rId10"/>
    <sheet name="Ratio Analysis " sheetId="34" r:id="rId11"/>
    <sheet name="Common size " sheetId="26" r:id="rId12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6  Page 5-6_187619c4-297e-45dc-bd62-0317e7ab1856" name="Table006  Page 5-6" connection="Query - Table006 (Page 5-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4" l="1"/>
  <c r="J33" i="34"/>
  <c r="I33" i="34"/>
  <c r="H33" i="34"/>
  <c r="G33" i="34"/>
  <c r="F33" i="34"/>
  <c r="E33" i="34"/>
  <c r="D33" i="34"/>
  <c r="K32" i="34"/>
  <c r="J32" i="34"/>
  <c r="I32" i="34"/>
  <c r="H32" i="34"/>
  <c r="G32" i="34"/>
  <c r="F32" i="34"/>
  <c r="E32" i="34"/>
  <c r="D32" i="34"/>
  <c r="K31" i="34"/>
  <c r="J31" i="34"/>
  <c r="I31" i="34"/>
  <c r="H31" i="34"/>
  <c r="G31" i="34"/>
  <c r="F31" i="34"/>
  <c r="E31" i="34"/>
  <c r="D31" i="34"/>
  <c r="J55" i="28"/>
  <c r="I55" i="28"/>
  <c r="H55" i="28"/>
  <c r="G55" i="28"/>
  <c r="F55" i="28"/>
  <c r="E55" i="28"/>
  <c r="D55" i="28"/>
  <c r="C55" i="28"/>
  <c r="J54" i="28"/>
  <c r="I54" i="28"/>
  <c r="H54" i="28"/>
  <c r="G54" i="28"/>
  <c r="F54" i="28"/>
  <c r="E54" i="28"/>
  <c r="D54" i="28"/>
  <c r="C54" i="28"/>
  <c r="K29" i="34"/>
  <c r="J29" i="34"/>
  <c r="I29" i="34"/>
  <c r="H29" i="34"/>
  <c r="G29" i="34"/>
  <c r="F29" i="34"/>
  <c r="E29" i="34"/>
  <c r="D29" i="34"/>
  <c r="K28" i="34"/>
  <c r="J28" i="34"/>
  <c r="I28" i="34"/>
  <c r="H28" i="34"/>
  <c r="G28" i="34"/>
  <c r="F28" i="34"/>
  <c r="E28" i="34"/>
  <c r="D28" i="34"/>
  <c r="K27" i="34"/>
  <c r="J27" i="34"/>
  <c r="I27" i="34"/>
  <c r="H27" i="34"/>
  <c r="G27" i="34"/>
  <c r="F27" i="34"/>
  <c r="E27" i="34"/>
  <c r="D27" i="34"/>
  <c r="K26" i="34"/>
  <c r="J26" i="34"/>
  <c r="I26" i="34"/>
  <c r="H26" i="34"/>
  <c r="G26" i="34"/>
  <c r="F26" i="34"/>
  <c r="E26" i="34"/>
  <c r="D26" i="34"/>
  <c r="K25" i="34"/>
  <c r="J25" i="34"/>
  <c r="I25" i="34"/>
  <c r="H25" i="34"/>
  <c r="G25" i="34"/>
  <c r="F25" i="34"/>
  <c r="E25" i="34"/>
  <c r="D25" i="34"/>
  <c r="K24" i="34"/>
  <c r="J24" i="34"/>
  <c r="I24" i="34"/>
  <c r="H24" i="34"/>
  <c r="G24" i="34"/>
  <c r="F24" i="34"/>
  <c r="E24" i="34"/>
  <c r="D24" i="34"/>
  <c r="H30" i="25"/>
  <c r="G30" i="25"/>
  <c r="F30" i="25"/>
  <c r="E30" i="25"/>
  <c r="D30" i="25"/>
  <c r="H43" i="24"/>
  <c r="G43" i="24"/>
  <c r="F43" i="24"/>
  <c r="E43" i="24"/>
  <c r="D43" i="24"/>
  <c r="K43" i="24"/>
  <c r="K40" i="24"/>
  <c r="H40" i="24"/>
  <c r="G40" i="24"/>
  <c r="F40" i="24"/>
  <c r="E40" i="24"/>
  <c r="D40" i="24"/>
  <c r="F39" i="31"/>
  <c r="E39" i="31"/>
  <c r="D39" i="31"/>
  <c r="F31" i="31"/>
  <c r="E31" i="31"/>
  <c r="D31" i="31"/>
  <c r="D3" i="33"/>
  <c r="G10" i="33"/>
  <c r="G9" i="33"/>
  <c r="F12" i="33"/>
  <c r="D10" i="33"/>
  <c r="D27" i="33" s="1"/>
  <c r="D31" i="33" s="1"/>
  <c r="D9" i="33"/>
  <c r="D8" i="33"/>
  <c r="D34" i="33" s="1"/>
  <c r="D37" i="33" s="1"/>
  <c r="D7" i="33"/>
  <c r="D40" i="33" s="1"/>
  <c r="D43" i="33" s="1"/>
  <c r="J33" i="32"/>
  <c r="J11" i="32" s="1"/>
  <c r="I33" i="32"/>
  <c r="I11" i="32" s="1"/>
  <c r="H33" i="32"/>
  <c r="H11" i="32" s="1"/>
  <c r="G33" i="32"/>
  <c r="G11" i="32" s="1"/>
  <c r="F33" i="32"/>
  <c r="F11" i="32" s="1"/>
  <c r="E33" i="32"/>
  <c r="E11" i="32" s="1"/>
  <c r="D33" i="32"/>
  <c r="D11" i="32" s="1"/>
  <c r="C33" i="32"/>
  <c r="C11" i="32" s="1"/>
  <c r="J32" i="32"/>
  <c r="J10" i="32" s="1"/>
  <c r="I32" i="32"/>
  <c r="I10" i="32" s="1"/>
  <c r="H32" i="32"/>
  <c r="H10" i="32" s="1"/>
  <c r="G32" i="32"/>
  <c r="G10" i="32" s="1"/>
  <c r="F32" i="32"/>
  <c r="F10" i="32" s="1"/>
  <c r="E32" i="32"/>
  <c r="E10" i="32" s="1"/>
  <c r="D32" i="32"/>
  <c r="D10" i="32" s="1"/>
  <c r="C32" i="32"/>
  <c r="C10" i="32" s="1"/>
  <c r="L55" i="27"/>
  <c r="K55" i="27"/>
  <c r="J55" i="27"/>
  <c r="I55" i="27"/>
  <c r="H55" i="27"/>
  <c r="G55" i="27"/>
  <c r="F55" i="27"/>
  <c r="K54" i="27"/>
  <c r="J54" i="27"/>
  <c r="I54" i="27"/>
  <c r="H54" i="27"/>
  <c r="G54" i="27"/>
  <c r="F54" i="27"/>
  <c r="J53" i="27"/>
  <c r="I53" i="27"/>
  <c r="H53" i="27"/>
  <c r="G53" i="27"/>
  <c r="F53" i="27"/>
  <c r="I52" i="27"/>
  <c r="H52" i="27"/>
  <c r="G52" i="27"/>
  <c r="F52" i="27"/>
  <c r="H51" i="27"/>
  <c r="G51" i="27"/>
  <c r="F51" i="27"/>
  <c r="G50" i="27"/>
  <c r="F50" i="27"/>
  <c r="F49" i="27"/>
  <c r="M44" i="27"/>
  <c r="M43" i="27"/>
  <c r="M42" i="27"/>
  <c r="M45" i="27" s="1"/>
  <c r="L44" i="27"/>
  <c r="K44" i="27"/>
  <c r="J44" i="27"/>
  <c r="I44" i="27"/>
  <c r="H44" i="27"/>
  <c r="G44" i="27"/>
  <c r="F44" i="27"/>
  <c r="L43" i="27"/>
  <c r="K43" i="27"/>
  <c r="J43" i="27"/>
  <c r="I43" i="27"/>
  <c r="H43" i="27"/>
  <c r="G43" i="27"/>
  <c r="F43" i="27"/>
  <c r="L42" i="27"/>
  <c r="L45" i="27" s="1"/>
  <c r="K42" i="27"/>
  <c r="K45" i="27" s="1"/>
  <c r="J42" i="27"/>
  <c r="J45" i="27" s="1"/>
  <c r="I42" i="27"/>
  <c r="I45" i="27" s="1"/>
  <c r="H42" i="27"/>
  <c r="H45" i="27" s="1"/>
  <c r="G42" i="27"/>
  <c r="G45" i="27" s="1"/>
  <c r="F42" i="27"/>
  <c r="F45" i="27" s="1"/>
  <c r="K17" i="24"/>
  <c r="K16" i="24"/>
  <c r="K15" i="24"/>
  <c r="K14" i="24"/>
  <c r="J13" i="32"/>
  <c r="I13" i="32"/>
  <c r="H13" i="32"/>
  <c r="G13" i="32"/>
  <c r="F13" i="32"/>
  <c r="E13" i="32"/>
  <c r="D13" i="32"/>
  <c r="C13" i="32"/>
  <c r="J43" i="28"/>
  <c r="I43" i="28"/>
  <c r="H43" i="28"/>
  <c r="G43" i="28"/>
  <c r="F43" i="28"/>
  <c r="E43" i="28"/>
  <c r="D43" i="28"/>
  <c r="C43" i="28"/>
  <c r="Q23" i="31"/>
  <c r="P23" i="31"/>
  <c r="O23" i="31"/>
  <c r="I39" i="31"/>
  <c r="M16" i="31"/>
  <c r="Q34" i="31" s="1"/>
  <c r="L16" i="31"/>
  <c r="P34" i="31" s="1"/>
  <c r="K16" i="31"/>
  <c r="O34" i="31" s="1"/>
  <c r="K39" i="31"/>
  <c r="J39" i="31"/>
  <c r="K31" i="31"/>
  <c r="J31" i="31"/>
  <c r="I31" i="31"/>
  <c r="C42" i="31"/>
  <c r="C41" i="31"/>
  <c r="C40" i="31"/>
  <c r="C34" i="31"/>
  <c r="C33" i="31"/>
  <c r="C32" i="31"/>
  <c r="F16" i="31"/>
  <c r="E16" i="31"/>
  <c r="D16" i="31"/>
  <c r="P8" i="1"/>
  <c r="P7" i="1"/>
  <c r="I48" i="24"/>
  <c r="K47" i="24"/>
  <c r="K42" i="24"/>
  <c r="K41" i="24"/>
  <c r="K39" i="24"/>
  <c r="K38" i="24"/>
  <c r="K37" i="24"/>
  <c r="K36" i="24"/>
  <c r="K35" i="24"/>
  <c r="K34" i="24"/>
  <c r="K31" i="24"/>
  <c r="K30" i="24"/>
  <c r="K29" i="24"/>
  <c r="K28" i="24"/>
  <c r="K22" i="24"/>
  <c r="K21" i="24"/>
  <c r="K11" i="24"/>
  <c r="K10" i="24"/>
  <c r="K9" i="24"/>
  <c r="K8" i="24"/>
  <c r="K7" i="24"/>
  <c r="K12" i="24" s="1"/>
  <c r="C37" i="28"/>
  <c r="C32" i="30"/>
  <c r="C27" i="30"/>
  <c r="E12" i="30"/>
  <c r="E11" i="30"/>
  <c r="E10" i="30"/>
  <c r="E9" i="30"/>
  <c r="E8" i="30"/>
  <c r="E7" i="30"/>
  <c r="J31" i="29"/>
  <c r="I31" i="29"/>
  <c r="H31" i="29"/>
  <c r="J30" i="29"/>
  <c r="I30" i="29"/>
  <c r="H30" i="29"/>
  <c r="G30" i="29"/>
  <c r="J29" i="29"/>
  <c r="I29" i="29"/>
  <c r="H29" i="29"/>
  <c r="G29" i="29"/>
  <c r="J28" i="29"/>
  <c r="I28" i="29"/>
  <c r="H28" i="29"/>
  <c r="G28" i="29"/>
  <c r="J27" i="29"/>
  <c r="I27" i="29"/>
  <c r="H27" i="29"/>
  <c r="G27" i="29"/>
  <c r="J26" i="29"/>
  <c r="J32" i="29" s="1"/>
  <c r="I26" i="29"/>
  <c r="I32" i="29" s="1"/>
  <c r="H26" i="29"/>
  <c r="H32" i="29" s="1"/>
  <c r="J20" i="29"/>
  <c r="J33" i="28" s="1"/>
  <c r="I20" i="29"/>
  <c r="I33" i="28" s="1"/>
  <c r="H20" i="29"/>
  <c r="H33" i="28" s="1"/>
  <c r="J19" i="29"/>
  <c r="I19" i="29"/>
  <c r="G19" i="29"/>
  <c r="J18" i="29"/>
  <c r="H18" i="29"/>
  <c r="G18" i="29"/>
  <c r="I17" i="29"/>
  <c r="I30" i="28" s="1"/>
  <c r="H17" i="29"/>
  <c r="H30" i="28" s="1"/>
  <c r="G17" i="29"/>
  <c r="G30" i="28" s="1"/>
  <c r="J15" i="29"/>
  <c r="J28" i="28" s="1"/>
  <c r="I15" i="29"/>
  <c r="I28" i="28" s="1"/>
  <c r="H15" i="29"/>
  <c r="H28" i="28" s="1"/>
  <c r="F30" i="29"/>
  <c r="F29" i="29"/>
  <c r="F28" i="29"/>
  <c r="F27" i="29"/>
  <c r="F19" i="29"/>
  <c r="F18" i="29"/>
  <c r="F17" i="29"/>
  <c r="F30" i="28" s="1"/>
  <c r="E30" i="29"/>
  <c r="E29" i="29"/>
  <c r="E28" i="29"/>
  <c r="E27" i="29"/>
  <c r="E19" i="29"/>
  <c r="E18" i="29"/>
  <c r="E17" i="29"/>
  <c r="E30" i="28" s="1"/>
  <c r="D30" i="29"/>
  <c r="D29" i="29"/>
  <c r="C30" i="29"/>
  <c r="C29" i="29"/>
  <c r="C27" i="29"/>
  <c r="D28" i="29"/>
  <c r="C28" i="29"/>
  <c r="D27" i="29"/>
  <c r="D19" i="29"/>
  <c r="D18" i="29"/>
  <c r="D17" i="29"/>
  <c r="D30" i="28" s="1"/>
  <c r="C19" i="29"/>
  <c r="C18" i="29"/>
  <c r="C17" i="29"/>
  <c r="L38" i="24"/>
  <c r="L37" i="24"/>
  <c r="L36" i="24"/>
  <c r="C7" i="29"/>
  <c r="L22" i="27"/>
  <c r="K22" i="27"/>
  <c r="J22" i="27"/>
  <c r="I22" i="27"/>
  <c r="H22" i="27"/>
  <c r="G22" i="27"/>
  <c r="F22" i="27"/>
  <c r="K21" i="27"/>
  <c r="J21" i="27"/>
  <c r="I21" i="27"/>
  <c r="H21" i="27"/>
  <c r="G21" i="27"/>
  <c r="F21" i="27"/>
  <c r="J20" i="27"/>
  <c r="I20" i="27"/>
  <c r="H20" i="27"/>
  <c r="G20" i="27"/>
  <c r="F20" i="27"/>
  <c r="J16" i="28"/>
  <c r="I16" i="28"/>
  <c r="H16" i="28"/>
  <c r="G16" i="28"/>
  <c r="F16" i="28"/>
  <c r="E16" i="28"/>
  <c r="D16" i="28"/>
  <c r="C16" i="28"/>
  <c r="J13" i="28"/>
  <c r="I13" i="28"/>
  <c r="H13" i="28"/>
  <c r="G13" i="28"/>
  <c r="F13" i="28"/>
  <c r="E13" i="28"/>
  <c r="D13" i="28"/>
  <c r="C13" i="28"/>
  <c r="M11" i="27"/>
  <c r="L11" i="27"/>
  <c r="K11" i="27"/>
  <c r="M10" i="27"/>
  <c r="L10" i="27"/>
  <c r="J13" i="1"/>
  <c r="D21" i="25"/>
  <c r="H18" i="24"/>
  <c r="K18" i="24" s="1"/>
  <c r="G18" i="24"/>
  <c r="F18" i="24"/>
  <c r="E18" i="24"/>
  <c r="D18" i="24"/>
  <c r="H23" i="24"/>
  <c r="G23" i="24"/>
  <c r="F23" i="24"/>
  <c r="E23" i="24"/>
  <c r="D23" i="24"/>
  <c r="I19" i="27"/>
  <c r="H19" i="27"/>
  <c r="G19" i="27"/>
  <c r="F19" i="27"/>
  <c r="H18" i="27"/>
  <c r="G18" i="27"/>
  <c r="F18" i="27"/>
  <c r="G17" i="27"/>
  <c r="F17" i="27"/>
  <c r="F16" i="27"/>
  <c r="C11" i="27"/>
  <c r="C10" i="27"/>
  <c r="K10" i="27" s="1"/>
  <c r="C9" i="27"/>
  <c r="G141" i="26"/>
  <c r="F141" i="26"/>
  <c r="E141" i="26"/>
  <c r="D141" i="26"/>
  <c r="C141" i="26"/>
  <c r="G19" i="26"/>
  <c r="F19" i="26"/>
  <c r="E19" i="26"/>
  <c r="D19" i="26"/>
  <c r="G142" i="26"/>
  <c r="F142" i="26"/>
  <c r="E142" i="26"/>
  <c r="D142" i="26"/>
  <c r="C142" i="26"/>
  <c r="G136" i="26"/>
  <c r="F136" i="26"/>
  <c r="E136" i="26"/>
  <c r="D136" i="26"/>
  <c r="C136" i="26"/>
  <c r="L42" i="24"/>
  <c r="M42" i="24" s="1"/>
  <c r="N42" i="24" s="1"/>
  <c r="O42" i="24" s="1"/>
  <c r="P42" i="24" s="1"/>
  <c r="Q42" i="24" s="1"/>
  <c r="R42" i="24" s="1"/>
  <c r="S42" i="24" s="1"/>
  <c r="L41" i="24"/>
  <c r="G11" i="25"/>
  <c r="G26" i="25" s="1"/>
  <c r="G27" i="25" s="1"/>
  <c r="H11" i="25"/>
  <c r="H26" i="25" s="1"/>
  <c r="H27" i="25" s="1"/>
  <c r="F11" i="25"/>
  <c r="F26" i="25" s="1"/>
  <c r="F27" i="25" s="1"/>
  <c r="E11" i="25"/>
  <c r="E26" i="25" s="1"/>
  <c r="E27" i="25" s="1"/>
  <c r="D11" i="25"/>
  <c r="D36" i="25" s="1"/>
  <c r="M8" i="1"/>
  <c r="J14" i="25" s="1"/>
  <c r="F23" i="25"/>
  <c r="H8" i="25"/>
  <c r="G8" i="25"/>
  <c r="F8" i="25"/>
  <c r="E8" i="25"/>
  <c r="D8" i="25"/>
  <c r="M23" i="1"/>
  <c r="G139" i="26"/>
  <c r="F139" i="26"/>
  <c r="E139" i="26"/>
  <c r="D139" i="26"/>
  <c r="C139" i="26"/>
  <c r="M19" i="1" s="1"/>
  <c r="G138" i="26"/>
  <c r="F138" i="26"/>
  <c r="E138" i="26"/>
  <c r="D138" i="26"/>
  <c r="C138" i="26"/>
  <c r="M17" i="1"/>
  <c r="F59" i="24"/>
  <c r="M15" i="1"/>
  <c r="G135" i="26"/>
  <c r="F135" i="26"/>
  <c r="E135" i="26"/>
  <c r="D135" i="26"/>
  <c r="C135" i="26"/>
  <c r="G129" i="26"/>
  <c r="G130" i="26" s="1"/>
  <c r="G131" i="26" s="1"/>
  <c r="F129" i="26"/>
  <c r="F130" i="26" s="1"/>
  <c r="F131" i="26" s="1"/>
  <c r="E129" i="26"/>
  <c r="E130" i="26" s="1"/>
  <c r="E131" i="26" s="1"/>
  <c r="D129" i="26"/>
  <c r="D130" i="26" s="1"/>
  <c r="D131" i="26" s="1"/>
  <c r="C129" i="26"/>
  <c r="C130" i="26" s="1"/>
  <c r="C131" i="26" s="1"/>
  <c r="M21" i="1" s="1"/>
  <c r="G124" i="26"/>
  <c r="G125" i="26" s="1"/>
  <c r="G126" i="26" s="1"/>
  <c r="F124" i="26"/>
  <c r="F125" i="26" s="1"/>
  <c r="F126" i="26" s="1"/>
  <c r="E124" i="26"/>
  <c r="E125" i="26" s="1"/>
  <c r="E126" i="26" s="1"/>
  <c r="D124" i="26"/>
  <c r="D125" i="26" s="1"/>
  <c r="D126" i="26" s="1"/>
  <c r="C124" i="26"/>
  <c r="C125" i="26" s="1"/>
  <c r="C126" i="26" s="1"/>
  <c r="M13" i="1" s="1"/>
  <c r="G119" i="26"/>
  <c r="G120" i="26" s="1"/>
  <c r="G121" i="26" s="1"/>
  <c r="F119" i="26"/>
  <c r="F120" i="26" s="1"/>
  <c r="F121" i="26" s="1"/>
  <c r="E119" i="26"/>
  <c r="E120" i="26" s="1"/>
  <c r="E121" i="26" s="1"/>
  <c r="C119" i="26"/>
  <c r="C120" i="26" s="1"/>
  <c r="C121" i="26" s="1"/>
  <c r="D119" i="26"/>
  <c r="D120" i="26" s="1"/>
  <c r="D121" i="26" s="1"/>
  <c r="G108" i="26"/>
  <c r="F108" i="26"/>
  <c r="E108" i="26"/>
  <c r="D108" i="26"/>
  <c r="C108" i="26"/>
  <c r="G112" i="26"/>
  <c r="F112" i="26"/>
  <c r="E112" i="26"/>
  <c r="D112" i="26"/>
  <c r="C112" i="26"/>
  <c r="G111" i="26"/>
  <c r="F111" i="26"/>
  <c r="E111" i="26"/>
  <c r="D111" i="26"/>
  <c r="C111" i="26"/>
  <c r="G105" i="26"/>
  <c r="F105" i="26"/>
  <c r="E105" i="26"/>
  <c r="D105" i="26"/>
  <c r="G102" i="26"/>
  <c r="F102" i="26"/>
  <c r="E102" i="26"/>
  <c r="D102" i="26"/>
  <c r="C102" i="26"/>
  <c r="M6" i="1" s="1"/>
  <c r="C105" i="26"/>
  <c r="M7" i="1" s="1"/>
  <c r="G101" i="26"/>
  <c r="F101" i="26"/>
  <c r="E101" i="26"/>
  <c r="D101" i="26"/>
  <c r="C101" i="26"/>
  <c r="G56" i="26"/>
  <c r="F56" i="26"/>
  <c r="E56" i="26"/>
  <c r="D56" i="26"/>
  <c r="G54" i="26"/>
  <c r="F54" i="26"/>
  <c r="E54" i="26"/>
  <c r="D54" i="26"/>
  <c r="G53" i="26"/>
  <c r="F53" i="26"/>
  <c r="E53" i="26"/>
  <c r="D53" i="26"/>
  <c r="G50" i="26"/>
  <c r="F50" i="26"/>
  <c r="E50" i="26"/>
  <c r="D50" i="26"/>
  <c r="G49" i="26"/>
  <c r="F49" i="26"/>
  <c r="E49" i="26"/>
  <c r="D49" i="26"/>
  <c r="G48" i="26"/>
  <c r="F48" i="26"/>
  <c r="E48" i="26"/>
  <c r="D48" i="26"/>
  <c r="M5" i="1" s="1"/>
  <c r="J6" i="25" s="1"/>
  <c r="D12" i="26"/>
  <c r="G41" i="26"/>
  <c r="F41" i="26"/>
  <c r="E41" i="26"/>
  <c r="D41" i="26"/>
  <c r="G40" i="26"/>
  <c r="F40" i="26"/>
  <c r="E40" i="26"/>
  <c r="D40" i="26"/>
  <c r="G35" i="26"/>
  <c r="F35" i="26"/>
  <c r="E35" i="26"/>
  <c r="D35" i="26"/>
  <c r="G34" i="26"/>
  <c r="F34" i="26"/>
  <c r="E34" i="26"/>
  <c r="D34" i="26"/>
  <c r="G31" i="26"/>
  <c r="F31" i="26"/>
  <c r="E31" i="26"/>
  <c r="D31" i="26"/>
  <c r="G30" i="26"/>
  <c r="F30" i="26"/>
  <c r="E30" i="26"/>
  <c r="D30" i="26"/>
  <c r="G29" i="26"/>
  <c r="F29" i="26"/>
  <c r="E29" i="26"/>
  <c r="D29" i="26"/>
  <c r="G28" i="26"/>
  <c r="F28" i="26"/>
  <c r="E28" i="26"/>
  <c r="D28" i="26"/>
  <c r="G22" i="26"/>
  <c r="F22" i="26"/>
  <c r="E22" i="26"/>
  <c r="D22" i="26"/>
  <c r="G21" i="26"/>
  <c r="F21" i="26"/>
  <c r="E21" i="26"/>
  <c r="D21" i="26"/>
  <c r="G20" i="26"/>
  <c r="F20" i="26"/>
  <c r="E20" i="26"/>
  <c r="D20" i="26"/>
  <c r="G16" i="26"/>
  <c r="F16" i="26"/>
  <c r="E16" i="26"/>
  <c r="D16" i="26"/>
  <c r="G15" i="26"/>
  <c r="F15" i="26"/>
  <c r="E15" i="26"/>
  <c r="D15" i="26"/>
  <c r="G14" i="26"/>
  <c r="F14" i="26"/>
  <c r="E14" i="26"/>
  <c r="D14" i="26"/>
  <c r="G13" i="26"/>
  <c r="F13" i="26"/>
  <c r="E13" i="26"/>
  <c r="D13" i="26"/>
  <c r="G12" i="26"/>
  <c r="F12" i="26"/>
  <c r="E12" i="26"/>
  <c r="C19" i="1"/>
  <c r="G59" i="24"/>
  <c r="E59" i="24"/>
  <c r="H35" i="25"/>
  <c r="G103" i="26" s="1"/>
  <c r="G35" i="25"/>
  <c r="F103" i="26" s="1"/>
  <c r="F35" i="25"/>
  <c r="E103" i="26" s="1"/>
  <c r="E35" i="25"/>
  <c r="D103" i="26" s="1"/>
  <c r="D35" i="25"/>
  <c r="C103" i="26" s="1"/>
  <c r="H12" i="24"/>
  <c r="H25" i="24"/>
  <c r="H32" i="24"/>
  <c r="H45" i="24"/>
  <c r="H49" i="24"/>
  <c r="H51" i="24"/>
  <c r="H58" i="24"/>
  <c r="F23" i="26"/>
  <c r="C6" i="1"/>
  <c r="C8" i="1" s="1"/>
  <c r="C12" i="1" s="1"/>
  <c r="F12" i="25"/>
  <c r="K42" i="33" l="1"/>
  <c r="J42" i="33"/>
  <c r="E42" i="33"/>
  <c r="L29" i="33"/>
  <c r="K29" i="33"/>
  <c r="I29" i="33"/>
  <c r="H29" i="33"/>
  <c r="G29" i="33"/>
  <c r="F29" i="33"/>
  <c r="E29" i="33"/>
  <c r="L22" i="33"/>
  <c r="J22" i="33"/>
  <c r="I22" i="33"/>
  <c r="H22" i="33"/>
  <c r="G22" i="33"/>
  <c r="F22" i="33"/>
  <c r="E23" i="33"/>
  <c r="E22" i="33"/>
  <c r="E36" i="33"/>
  <c r="E30" i="33"/>
  <c r="D31" i="28"/>
  <c r="D32" i="28"/>
  <c r="E31" i="28"/>
  <c r="E32" i="28"/>
  <c r="F31" i="28"/>
  <c r="F32" i="28"/>
  <c r="G31" i="28"/>
  <c r="H31" i="28"/>
  <c r="J31" i="28"/>
  <c r="G32" i="28"/>
  <c r="I32" i="28"/>
  <c r="J32" i="28"/>
  <c r="D20" i="33"/>
  <c r="D24" i="33" s="1"/>
  <c r="K32" i="24"/>
  <c r="M32" i="1"/>
  <c r="C48" i="27"/>
  <c r="F48" i="27" s="1"/>
  <c r="D12" i="33"/>
  <c r="E7" i="33"/>
  <c r="E8" i="33"/>
  <c r="O6" i="27"/>
  <c r="O7" i="27"/>
  <c r="O8" i="27"/>
  <c r="O9" i="27"/>
  <c r="M48" i="27"/>
  <c r="L48" i="27"/>
  <c r="K48" i="27"/>
  <c r="J48" i="27"/>
  <c r="I48" i="27"/>
  <c r="H48" i="27"/>
  <c r="G48" i="27"/>
  <c r="F56" i="27"/>
  <c r="F59" i="27" s="1"/>
  <c r="C8" i="32" s="1"/>
  <c r="C28" i="30"/>
  <c r="C30" i="28"/>
  <c r="F32" i="27" s="1"/>
  <c r="C31" i="28"/>
  <c r="F33" i="27" s="1"/>
  <c r="C32" i="28"/>
  <c r="F34" i="27" s="1"/>
  <c r="C29" i="30"/>
  <c r="D26" i="25"/>
  <c r="D27" i="25" s="1"/>
  <c r="J19" i="25"/>
  <c r="E28" i="33" s="1"/>
  <c r="E31" i="33" s="1"/>
  <c r="J17" i="25"/>
  <c r="J18" i="25"/>
  <c r="E21" i="33" s="1"/>
  <c r="M36" i="24"/>
  <c r="G32" i="27" s="1"/>
  <c r="M37" i="24"/>
  <c r="G33" i="27" s="1"/>
  <c r="M38" i="24"/>
  <c r="G34" i="27" s="1"/>
  <c r="N36" i="24"/>
  <c r="H32" i="27" s="1"/>
  <c r="N37" i="24"/>
  <c r="H33" i="27" s="1"/>
  <c r="N38" i="24"/>
  <c r="H34" i="27" s="1"/>
  <c r="O36" i="24"/>
  <c r="I32" i="27" s="1"/>
  <c r="O37" i="24"/>
  <c r="I33" i="27" s="1"/>
  <c r="O38" i="24"/>
  <c r="I34" i="27" s="1"/>
  <c r="K14" i="25"/>
  <c r="C8" i="28"/>
  <c r="C23" i="28"/>
  <c r="G72" i="26"/>
  <c r="C33" i="1"/>
  <c r="C35" i="1" s="1"/>
  <c r="M19" i="24" s="1"/>
  <c r="M9" i="27"/>
  <c r="L9" i="27"/>
  <c r="K9" i="27"/>
  <c r="K12" i="27"/>
  <c r="L12" i="27"/>
  <c r="M12" i="27"/>
  <c r="L21" i="24"/>
  <c r="C15" i="27"/>
  <c r="J34" i="25" s="1"/>
  <c r="M41" i="24"/>
  <c r="J9" i="27"/>
  <c r="I9" i="27"/>
  <c r="H9" i="27"/>
  <c r="G9" i="27"/>
  <c r="F9" i="27"/>
  <c r="J10" i="27"/>
  <c r="I10" i="27"/>
  <c r="H10" i="27"/>
  <c r="G10" i="27"/>
  <c r="F10" i="27"/>
  <c r="J11" i="27"/>
  <c r="I11" i="27"/>
  <c r="H11" i="27"/>
  <c r="G11" i="27"/>
  <c r="F11" i="27"/>
  <c r="J15" i="27"/>
  <c r="I15" i="27"/>
  <c r="H15" i="27"/>
  <c r="G15" i="27"/>
  <c r="L22" i="24"/>
  <c r="J10" i="25"/>
  <c r="D23" i="25"/>
  <c r="E12" i="25"/>
  <c r="E23" i="25"/>
  <c r="H12" i="25"/>
  <c r="H23" i="25"/>
  <c r="G12" i="25"/>
  <c r="G23" i="25"/>
  <c r="C106" i="26"/>
  <c r="D12" i="25"/>
  <c r="D106" i="26"/>
  <c r="D51" i="26"/>
  <c r="E106" i="26"/>
  <c r="E51" i="26"/>
  <c r="F113" i="26"/>
  <c r="G106" i="26"/>
  <c r="G51" i="26"/>
  <c r="F106" i="26"/>
  <c r="F51" i="26"/>
  <c r="J7" i="25"/>
  <c r="J35" i="25" s="1"/>
  <c r="K6" i="25"/>
  <c r="M12" i="1"/>
  <c r="L8" i="24" s="1"/>
  <c r="C11" i="28" s="1"/>
  <c r="G94" i="26"/>
  <c r="G93" i="26"/>
  <c r="G95" i="26" s="1"/>
  <c r="G88" i="26"/>
  <c r="G87" i="26"/>
  <c r="G89" i="26" s="1"/>
  <c r="G84" i="26"/>
  <c r="G83" i="26"/>
  <c r="G82" i="26"/>
  <c r="G81" i="26"/>
  <c r="G85" i="26" s="1"/>
  <c r="G91" i="26" s="1"/>
  <c r="G97" i="26" s="1"/>
  <c r="G75" i="26"/>
  <c r="G74" i="26"/>
  <c r="G73" i="26"/>
  <c r="G76" i="26"/>
  <c r="G69" i="26"/>
  <c r="G68" i="26"/>
  <c r="G67" i="26"/>
  <c r="G66" i="26"/>
  <c r="G65" i="26"/>
  <c r="G70" i="26" s="1"/>
  <c r="G78" i="26" s="1"/>
  <c r="G23" i="26"/>
  <c r="C113" i="26"/>
  <c r="D39" i="25"/>
  <c r="C109" i="26"/>
  <c r="E39" i="25"/>
  <c r="E36" i="25"/>
  <c r="D109" i="26" s="1"/>
  <c r="F39" i="25"/>
  <c r="F36" i="25"/>
  <c r="E109" i="26" s="1"/>
  <c r="G38" i="25"/>
  <c r="G37" i="25"/>
  <c r="G60" i="24" s="1"/>
  <c r="G39" i="25"/>
  <c r="G36" i="25"/>
  <c r="F109" i="26" s="1"/>
  <c r="H39" i="25"/>
  <c r="H36" i="25"/>
  <c r="G109" i="26" s="1"/>
  <c r="D12" i="24"/>
  <c r="E12" i="24"/>
  <c r="D17" i="26" s="1"/>
  <c r="F12" i="24"/>
  <c r="E17" i="26" s="1"/>
  <c r="G12" i="24"/>
  <c r="D25" i="24"/>
  <c r="C72" i="26" s="1"/>
  <c r="G25" i="24"/>
  <c r="F72" i="26" s="1"/>
  <c r="F25" i="24"/>
  <c r="E72" i="26" s="1"/>
  <c r="G32" i="24"/>
  <c r="F32" i="24"/>
  <c r="E32" i="24"/>
  <c r="D32" i="24"/>
  <c r="G49" i="24"/>
  <c r="F49" i="24"/>
  <c r="E49" i="24"/>
  <c r="D49" i="24"/>
  <c r="D58" i="24" s="1"/>
  <c r="G8" i="33" l="1"/>
  <c r="L35" i="33"/>
  <c r="K35" i="33"/>
  <c r="J35" i="33"/>
  <c r="I35" i="33"/>
  <c r="H35" i="33"/>
  <c r="G35" i="33"/>
  <c r="F35" i="33"/>
  <c r="E35" i="33"/>
  <c r="E37" i="33" s="1"/>
  <c r="L41" i="33"/>
  <c r="K41" i="33"/>
  <c r="K43" i="33" s="1"/>
  <c r="J41" i="33"/>
  <c r="J43" i="33" s="1"/>
  <c r="I41" i="33"/>
  <c r="H41" i="33"/>
  <c r="G41" i="33"/>
  <c r="F41" i="33"/>
  <c r="E41" i="33"/>
  <c r="E43" i="33" s="1"/>
  <c r="E24" i="33"/>
  <c r="K45" i="24"/>
  <c r="C49" i="27"/>
  <c r="G7" i="33"/>
  <c r="E12" i="33"/>
  <c r="F15" i="27"/>
  <c r="F24" i="27" s="1"/>
  <c r="L17" i="24"/>
  <c r="L16" i="24"/>
  <c r="L15" i="24"/>
  <c r="L14" i="24"/>
  <c r="M9" i="1"/>
  <c r="C36" i="30" s="1"/>
  <c r="C38" i="30" s="1"/>
  <c r="M19" i="25"/>
  <c r="H28" i="33" s="1"/>
  <c r="L19" i="25"/>
  <c r="G28" i="33" s="1"/>
  <c r="K19" i="25"/>
  <c r="F28" i="33" s="1"/>
  <c r="M18" i="25"/>
  <c r="H21" i="33" s="1"/>
  <c r="M17" i="25"/>
  <c r="L18" i="25"/>
  <c r="G21" i="33" s="1"/>
  <c r="K18" i="25"/>
  <c r="F21" i="33" s="1"/>
  <c r="L17" i="25"/>
  <c r="K17" i="25"/>
  <c r="P38" i="24"/>
  <c r="P37" i="24"/>
  <c r="J33" i="27" s="1"/>
  <c r="P36" i="24"/>
  <c r="J32" i="27" s="1"/>
  <c r="C22" i="28"/>
  <c r="C25" i="28" s="1"/>
  <c r="C9" i="29" s="1"/>
  <c r="C48" i="28"/>
  <c r="L14" i="25"/>
  <c r="D8" i="28"/>
  <c r="D23" i="28"/>
  <c r="M15" i="27"/>
  <c r="L15" i="27"/>
  <c r="K15" i="27"/>
  <c r="C16" i="27"/>
  <c r="K34" i="25" s="1"/>
  <c r="M21" i="24"/>
  <c r="N41" i="24"/>
  <c r="F12" i="27"/>
  <c r="G12" i="27"/>
  <c r="H12" i="27"/>
  <c r="I12" i="27"/>
  <c r="J12" i="27"/>
  <c r="M8" i="24"/>
  <c r="D11" i="28" s="1"/>
  <c r="M22" i="24"/>
  <c r="L28" i="24"/>
  <c r="C15" i="28" s="1"/>
  <c r="L9" i="24"/>
  <c r="C12" i="28" s="1"/>
  <c r="L11" i="24"/>
  <c r="C14" i="28" s="1"/>
  <c r="L31" i="24"/>
  <c r="C17" i="28" s="1"/>
  <c r="K10" i="25"/>
  <c r="J8" i="25"/>
  <c r="J11" i="25"/>
  <c r="J12" i="25"/>
  <c r="E113" i="26"/>
  <c r="E57" i="26"/>
  <c r="F57" i="26"/>
  <c r="D113" i="26"/>
  <c r="D57" i="26"/>
  <c r="L6" i="25"/>
  <c r="K7" i="25"/>
  <c r="K35" i="25" s="1"/>
  <c r="G113" i="26"/>
  <c r="G57" i="26"/>
  <c r="E58" i="24"/>
  <c r="D42" i="26"/>
  <c r="F58" i="24"/>
  <c r="E42" i="26"/>
  <c r="G58" i="24"/>
  <c r="F42" i="26"/>
  <c r="G42" i="26"/>
  <c r="D36" i="26"/>
  <c r="E36" i="26"/>
  <c r="F36" i="26"/>
  <c r="G36" i="26"/>
  <c r="D32" i="26"/>
  <c r="E32" i="26"/>
  <c r="F32" i="26"/>
  <c r="G32" i="26"/>
  <c r="E75" i="26"/>
  <c r="E74" i="26"/>
  <c r="E73" i="26"/>
  <c r="E76" i="26"/>
  <c r="E69" i="26"/>
  <c r="E68" i="26"/>
  <c r="E67" i="26"/>
  <c r="E66" i="26"/>
  <c r="E65" i="26"/>
  <c r="E70" i="26" s="1"/>
  <c r="E78" i="26" s="1"/>
  <c r="F75" i="26"/>
  <c r="F74" i="26"/>
  <c r="F73" i="26"/>
  <c r="F76" i="26"/>
  <c r="F69" i="26"/>
  <c r="F68" i="26"/>
  <c r="F67" i="26"/>
  <c r="F66" i="26"/>
  <c r="F65" i="26"/>
  <c r="F70" i="26" s="1"/>
  <c r="F78" i="26" s="1"/>
  <c r="F25" i="26"/>
  <c r="G25" i="26"/>
  <c r="E25" i="24"/>
  <c r="D72" i="26" s="1"/>
  <c r="D23" i="26"/>
  <c r="E23" i="26"/>
  <c r="C75" i="26"/>
  <c r="C74" i="26"/>
  <c r="C73" i="26"/>
  <c r="C76" i="26"/>
  <c r="C66" i="26"/>
  <c r="C69" i="26"/>
  <c r="C68" i="26"/>
  <c r="C67" i="26"/>
  <c r="C65" i="26"/>
  <c r="C70" i="26" s="1"/>
  <c r="C78" i="26" s="1"/>
  <c r="F17" i="26"/>
  <c r="G17" i="26"/>
  <c r="F38" i="25"/>
  <c r="F37" i="25"/>
  <c r="F60" i="24" s="1"/>
  <c r="E38" i="25"/>
  <c r="E37" i="25"/>
  <c r="E60" i="24" s="1"/>
  <c r="D38" i="25"/>
  <c r="D37" i="25"/>
  <c r="D60" i="24" s="1"/>
  <c r="H38" i="25"/>
  <c r="H37" i="25"/>
  <c r="H60" i="24" s="1"/>
  <c r="D45" i="24"/>
  <c r="D51" i="24" s="1"/>
  <c r="E45" i="24"/>
  <c r="F45" i="24"/>
  <c r="G45" i="24"/>
  <c r="C50" i="27" l="1"/>
  <c r="M49" i="27"/>
  <c r="L49" i="27"/>
  <c r="K49" i="27"/>
  <c r="J49" i="27"/>
  <c r="I49" i="27"/>
  <c r="H49" i="27"/>
  <c r="G49" i="27"/>
  <c r="G56" i="27" s="1"/>
  <c r="G59" i="27" s="1"/>
  <c r="D8" i="32" s="1"/>
  <c r="G12" i="33"/>
  <c r="M14" i="24"/>
  <c r="M15" i="24"/>
  <c r="M16" i="24"/>
  <c r="M17" i="24"/>
  <c r="F27" i="27"/>
  <c r="N19" i="25"/>
  <c r="I28" i="33" s="1"/>
  <c r="N17" i="25"/>
  <c r="N18" i="25"/>
  <c r="I21" i="33" s="1"/>
  <c r="Q36" i="24"/>
  <c r="K32" i="27" s="1"/>
  <c r="Q37" i="24"/>
  <c r="H19" i="29"/>
  <c r="J29" i="33" s="1"/>
  <c r="C42" i="28"/>
  <c r="C44" i="28" s="1"/>
  <c r="C47" i="28"/>
  <c r="D22" i="28"/>
  <c r="D25" i="28" s="1"/>
  <c r="D9" i="29" s="1"/>
  <c r="D48" i="28"/>
  <c r="M14" i="25"/>
  <c r="E8" i="28"/>
  <c r="E23" i="28"/>
  <c r="C10" i="28"/>
  <c r="M16" i="27"/>
  <c r="L16" i="27"/>
  <c r="K16" i="27"/>
  <c r="N21" i="24"/>
  <c r="C17" i="27"/>
  <c r="L34" i="25" s="1"/>
  <c r="J16" i="27"/>
  <c r="I16" i="27"/>
  <c r="H16" i="27"/>
  <c r="G16" i="27"/>
  <c r="L32" i="24"/>
  <c r="O41" i="24"/>
  <c r="M28" i="24"/>
  <c r="D15" i="28" s="1"/>
  <c r="M9" i="24"/>
  <c r="D12" i="28" s="1"/>
  <c r="M11" i="24"/>
  <c r="D14" i="28" s="1"/>
  <c r="M31" i="24"/>
  <c r="D17" i="28" s="1"/>
  <c r="N8" i="24"/>
  <c r="E11" i="28" s="1"/>
  <c r="N22" i="24"/>
  <c r="K8" i="25"/>
  <c r="K11" i="25"/>
  <c r="L10" i="25"/>
  <c r="K12" i="25"/>
  <c r="M6" i="25"/>
  <c r="L7" i="25"/>
  <c r="L35" i="25" s="1"/>
  <c r="G51" i="24"/>
  <c r="F38" i="26"/>
  <c r="G38" i="26"/>
  <c r="F51" i="24"/>
  <c r="E38" i="26"/>
  <c r="E51" i="24"/>
  <c r="D38" i="26"/>
  <c r="C94" i="26"/>
  <c r="C93" i="26"/>
  <c r="C95" i="26" s="1"/>
  <c r="C88" i="26"/>
  <c r="C87" i="26"/>
  <c r="C89" i="26" s="1"/>
  <c r="C84" i="26"/>
  <c r="C83" i="26"/>
  <c r="C82" i="26"/>
  <c r="C81" i="26"/>
  <c r="C85" i="26" s="1"/>
  <c r="C91" i="26" s="1"/>
  <c r="C97" i="26" s="1"/>
  <c r="D75" i="26"/>
  <c r="D74" i="26"/>
  <c r="D73" i="26"/>
  <c r="D76" i="26"/>
  <c r="D69" i="26"/>
  <c r="D68" i="26"/>
  <c r="D67" i="26"/>
  <c r="D66" i="26"/>
  <c r="D65" i="26"/>
  <c r="D70" i="26" s="1"/>
  <c r="D78" i="26" s="1"/>
  <c r="D25" i="26"/>
  <c r="E25" i="26"/>
  <c r="H32" i="28" l="1"/>
  <c r="C51" i="27"/>
  <c r="C9" i="28"/>
  <c r="M50" i="27"/>
  <c r="L50" i="27"/>
  <c r="K50" i="27"/>
  <c r="J50" i="27"/>
  <c r="I50" i="27"/>
  <c r="H50" i="27"/>
  <c r="H56" i="27" s="1"/>
  <c r="H59" i="27" s="1"/>
  <c r="E8" i="32" s="1"/>
  <c r="J34" i="27"/>
  <c r="K34" i="27"/>
  <c r="C7" i="32"/>
  <c r="L18" i="24"/>
  <c r="N17" i="24"/>
  <c r="N16" i="24"/>
  <c r="N15" i="24"/>
  <c r="N14" i="24"/>
  <c r="Q38" i="24"/>
  <c r="O19" i="25"/>
  <c r="J28" i="33" s="1"/>
  <c r="O18" i="25"/>
  <c r="J21" i="33" s="1"/>
  <c r="O17" i="25"/>
  <c r="R38" i="24"/>
  <c r="L34" i="27" s="1"/>
  <c r="I18" i="29"/>
  <c r="K22" i="33" s="1"/>
  <c r="R36" i="24"/>
  <c r="D42" i="28"/>
  <c r="D44" i="28" s="1"/>
  <c r="D45" i="28" s="1"/>
  <c r="D46" i="28" s="1"/>
  <c r="E22" i="28"/>
  <c r="E25" i="28" s="1"/>
  <c r="E9" i="29" s="1"/>
  <c r="E48" i="28"/>
  <c r="N14" i="25"/>
  <c r="F8" i="28"/>
  <c r="F23" i="28"/>
  <c r="C45" i="28"/>
  <c r="C46" i="28"/>
  <c r="C49" i="28"/>
  <c r="C50" i="28" s="1"/>
  <c r="G24" i="27"/>
  <c r="D10" i="28"/>
  <c r="D49" i="28" s="1"/>
  <c r="M17" i="27"/>
  <c r="L17" i="27"/>
  <c r="K17" i="27"/>
  <c r="O21" i="24"/>
  <c r="C18" i="27"/>
  <c r="M34" i="25" s="1"/>
  <c r="J17" i="27"/>
  <c r="I17" i="27"/>
  <c r="H17" i="27"/>
  <c r="M32" i="24"/>
  <c r="P41" i="24"/>
  <c r="N28" i="24"/>
  <c r="E15" i="28" s="1"/>
  <c r="N9" i="24"/>
  <c r="E12" i="28" s="1"/>
  <c r="N11" i="24"/>
  <c r="E14" i="28" s="1"/>
  <c r="N31" i="24"/>
  <c r="E17" i="28" s="1"/>
  <c r="O8" i="24"/>
  <c r="F11" i="28" s="1"/>
  <c r="O22" i="24"/>
  <c r="L8" i="25"/>
  <c r="L11" i="25"/>
  <c r="M10" i="25"/>
  <c r="L12" i="25"/>
  <c r="N6" i="25"/>
  <c r="M7" i="25"/>
  <c r="M35" i="25" s="1"/>
  <c r="D94" i="26"/>
  <c r="D93" i="26"/>
  <c r="D95" i="26" s="1"/>
  <c r="D88" i="26"/>
  <c r="D87" i="26"/>
  <c r="D89" i="26" s="1"/>
  <c r="D84" i="26"/>
  <c r="D83" i="26"/>
  <c r="D82" i="26"/>
  <c r="D81" i="26"/>
  <c r="D85" i="26" s="1"/>
  <c r="D91" i="26" s="1"/>
  <c r="D97" i="26" s="1"/>
  <c r="D44" i="26"/>
  <c r="E94" i="26"/>
  <c r="E93" i="26"/>
  <c r="E95" i="26" s="1"/>
  <c r="E88" i="26"/>
  <c r="E87" i="26"/>
  <c r="E89" i="26" s="1"/>
  <c r="E84" i="26"/>
  <c r="E83" i="26"/>
  <c r="E82" i="26"/>
  <c r="E81" i="26"/>
  <c r="E85" i="26" s="1"/>
  <c r="E91" i="26" s="1"/>
  <c r="E97" i="26" s="1"/>
  <c r="E44" i="26"/>
  <c r="F94" i="26"/>
  <c r="F93" i="26"/>
  <c r="F95" i="26" s="1"/>
  <c r="F88" i="26"/>
  <c r="F87" i="26"/>
  <c r="F89" i="26" s="1"/>
  <c r="F84" i="26"/>
  <c r="F83" i="26"/>
  <c r="F82" i="26"/>
  <c r="F81" i="26"/>
  <c r="F85" i="26" s="1"/>
  <c r="F91" i="26" s="1"/>
  <c r="F97" i="26" s="1"/>
  <c r="F44" i="26"/>
  <c r="G44" i="26"/>
  <c r="I31" i="28" l="1"/>
  <c r="O6" i="25"/>
  <c r="C52" i="27"/>
  <c r="M51" i="27"/>
  <c r="L51" i="27"/>
  <c r="K51" i="27"/>
  <c r="J51" i="27"/>
  <c r="I51" i="27"/>
  <c r="I56" i="27" s="1"/>
  <c r="I59" i="27" s="1"/>
  <c r="F8" i="32" s="1"/>
  <c r="K33" i="27"/>
  <c r="L33" i="27"/>
  <c r="G27" i="27"/>
  <c r="O14" i="24"/>
  <c r="O15" i="24"/>
  <c r="O16" i="24"/>
  <c r="O17" i="24"/>
  <c r="R37" i="24"/>
  <c r="P19" i="25"/>
  <c r="K28" i="33" s="1"/>
  <c r="P17" i="25"/>
  <c r="P18" i="25"/>
  <c r="K21" i="33" s="1"/>
  <c r="J17" i="29"/>
  <c r="J30" i="28" s="1"/>
  <c r="S37" i="24"/>
  <c r="M33" i="27" s="1"/>
  <c r="S38" i="24"/>
  <c r="M34" i="27" s="1"/>
  <c r="E42" i="28"/>
  <c r="E44" i="28" s="1"/>
  <c r="E45" i="28" s="1"/>
  <c r="E46" i="28" s="1"/>
  <c r="F22" i="28"/>
  <c r="F25" i="28" s="1"/>
  <c r="F9" i="29" s="1"/>
  <c r="F48" i="28"/>
  <c r="D47" i="28"/>
  <c r="D50" i="28" s="1"/>
  <c r="O14" i="25"/>
  <c r="G8" i="28"/>
  <c r="G23" i="28"/>
  <c r="H24" i="27"/>
  <c r="E10" i="28"/>
  <c r="E49" i="28" s="1"/>
  <c r="P6" i="25"/>
  <c r="Q21" i="24"/>
  <c r="O10" i="25"/>
  <c r="O7" i="25"/>
  <c r="Q8" i="24"/>
  <c r="Q22" i="24"/>
  <c r="Q41" i="24"/>
  <c r="M18" i="27"/>
  <c r="L18" i="27"/>
  <c r="K18" i="27"/>
  <c r="P21" i="24"/>
  <c r="C19" i="27"/>
  <c r="N34" i="25" s="1"/>
  <c r="J18" i="27"/>
  <c r="I18" i="27"/>
  <c r="N32" i="24"/>
  <c r="O28" i="24"/>
  <c r="F15" i="28" s="1"/>
  <c r="O9" i="24"/>
  <c r="F12" i="28" s="1"/>
  <c r="O11" i="24"/>
  <c r="F14" i="28" s="1"/>
  <c r="O31" i="24"/>
  <c r="F17" i="28" s="1"/>
  <c r="P8" i="24"/>
  <c r="G11" i="28" s="1"/>
  <c r="P22" i="24"/>
  <c r="M8" i="25"/>
  <c r="M11" i="25"/>
  <c r="N10" i="25"/>
  <c r="M12" i="25"/>
  <c r="N7" i="25"/>
  <c r="N35" i="25" s="1"/>
  <c r="C21" i="27" l="1"/>
  <c r="P34" i="25" s="1"/>
  <c r="C54" i="27"/>
  <c r="D9" i="28"/>
  <c r="M52" i="27"/>
  <c r="L52" i="27"/>
  <c r="K52" i="27"/>
  <c r="J52" i="27"/>
  <c r="J56" i="27" s="1"/>
  <c r="J59" i="27" s="1"/>
  <c r="G8" i="32" s="1"/>
  <c r="C20" i="27"/>
  <c r="O35" i="25"/>
  <c r="C53" i="27"/>
  <c r="L32" i="27"/>
  <c r="M32" i="27"/>
  <c r="H27" i="27"/>
  <c r="P17" i="24"/>
  <c r="Q17" i="24" s="1"/>
  <c r="R17" i="24" s="1"/>
  <c r="P16" i="24"/>
  <c r="Q16" i="24" s="1"/>
  <c r="R16" i="24" s="1"/>
  <c r="P15" i="24"/>
  <c r="Q15" i="24" s="1"/>
  <c r="R15" i="24" s="1"/>
  <c r="P14" i="24"/>
  <c r="M18" i="24"/>
  <c r="D7" i="32"/>
  <c r="Q19" i="25"/>
  <c r="L28" i="33" s="1"/>
  <c r="Q18" i="25"/>
  <c r="L21" i="33" s="1"/>
  <c r="S36" i="24"/>
  <c r="F42" i="28"/>
  <c r="F44" i="28" s="1"/>
  <c r="F45" i="28" s="1"/>
  <c r="F46" i="28" s="1"/>
  <c r="G22" i="28"/>
  <c r="G25" i="28" s="1"/>
  <c r="G9" i="29" s="1"/>
  <c r="G48" i="28"/>
  <c r="I48" i="28"/>
  <c r="I22" i="28"/>
  <c r="M21" i="27"/>
  <c r="L21" i="27"/>
  <c r="E47" i="28"/>
  <c r="E50" i="28" s="1"/>
  <c r="P14" i="25"/>
  <c r="H8" i="28"/>
  <c r="H23" i="28"/>
  <c r="I24" i="27"/>
  <c r="F10" i="28"/>
  <c r="F49" i="28" s="1"/>
  <c r="H11" i="28"/>
  <c r="J19" i="27"/>
  <c r="M19" i="27"/>
  <c r="L19" i="27"/>
  <c r="K19" i="27"/>
  <c r="R41" i="24"/>
  <c r="Q28" i="24"/>
  <c r="Q9" i="24"/>
  <c r="Q11" i="24"/>
  <c r="Q31" i="24"/>
  <c r="O11" i="25"/>
  <c r="O8" i="25"/>
  <c r="Q6" i="25"/>
  <c r="R21" i="24"/>
  <c r="P10" i="25"/>
  <c r="P7" i="25"/>
  <c r="P35" i="25" s="1"/>
  <c r="R8" i="24"/>
  <c r="I11" i="28" s="1"/>
  <c r="R22" i="24"/>
  <c r="O32" i="24"/>
  <c r="P28" i="24"/>
  <c r="G15" i="28" s="1"/>
  <c r="P9" i="24"/>
  <c r="G12" i="28" s="1"/>
  <c r="P11" i="24"/>
  <c r="G14" i="28" s="1"/>
  <c r="P31" i="24"/>
  <c r="G17" i="28" s="1"/>
  <c r="N8" i="25"/>
  <c r="N11" i="25"/>
  <c r="N12" i="25"/>
  <c r="C14" i="1"/>
  <c r="C20" i="1"/>
  <c r="C22" i="27" l="1"/>
  <c r="Q34" i="25" s="1"/>
  <c r="C55" i="27"/>
  <c r="M55" i="27" s="1"/>
  <c r="E9" i="28"/>
  <c r="M53" i="27"/>
  <c r="L53" i="27"/>
  <c r="K53" i="27"/>
  <c r="O34" i="25"/>
  <c r="H48" i="28"/>
  <c r="H22" i="28"/>
  <c r="H25" i="28" s="1"/>
  <c r="H9" i="29" s="1"/>
  <c r="M20" i="27"/>
  <c r="L20" i="27"/>
  <c r="K20" i="27"/>
  <c r="K56" i="27"/>
  <c r="K59" i="27" s="1"/>
  <c r="H8" i="32" s="1"/>
  <c r="M54" i="27"/>
  <c r="M56" i="27" s="1"/>
  <c r="M59" i="27" s="1"/>
  <c r="J8" i="32" s="1"/>
  <c r="L54" i="27"/>
  <c r="L56" i="27" s="1"/>
  <c r="L59" i="27" s="1"/>
  <c r="I8" i="32" s="1"/>
  <c r="I27" i="27"/>
  <c r="Q14" i="24"/>
  <c r="S15" i="24"/>
  <c r="S16" i="24"/>
  <c r="S17" i="24"/>
  <c r="N18" i="24"/>
  <c r="E7" i="32"/>
  <c r="C15" i="29"/>
  <c r="D7" i="30"/>
  <c r="Q17" i="25"/>
  <c r="O4" i="1"/>
  <c r="G42" i="28"/>
  <c r="G44" i="28" s="1"/>
  <c r="G45" i="28" s="1"/>
  <c r="G46" i="28" s="1"/>
  <c r="J48" i="28"/>
  <c r="J22" i="28"/>
  <c r="M22" i="27"/>
  <c r="H42" i="28"/>
  <c r="H44" i="28" s="1"/>
  <c r="H45" i="28" s="1"/>
  <c r="H46" i="28" s="1"/>
  <c r="F47" i="28"/>
  <c r="F50" i="28" s="1"/>
  <c r="Q14" i="25"/>
  <c r="I8" i="28"/>
  <c r="I23" i="28"/>
  <c r="I25" i="28"/>
  <c r="I9" i="29" s="1"/>
  <c r="K24" i="27"/>
  <c r="L24" i="27"/>
  <c r="M24" i="27"/>
  <c r="J24" i="27"/>
  <c r="G10" i="28"/>
  <c r="G49" i="28" s="1"/>
  <c r="H17" i="28"/>
  <c r="H14" i="28"/>
  <c r="H12" i="28"/>
  <c r="H15" i="28"/>
  <c r="H10" i="28"/>
  <c r="H49" i="28" s="1"/>
  <c r="R28" i="24"/>
  <c r="I15" i="28" s="1"/>
  <c r="R9" i="24"/>
  <c r="I12" i="28" s="1"/>
  <c r="R11" i="24"/>
  <c r="I14" i="28" s="1"/>
  <c r="R31" i="24"/>
  <c r="I17" i="28" s="1"/>
  <c r="P11" i="25"/>
  <c r="P8" i="25"/>
  <c r="S21" i="24"/>
  <c r="Q10" i="25"/>
  <c r="Q7" i="25"/>
  <c r="Q35" i="25" s="1"/>
  <c r="S8" i="24"/>
  <c r="J11" i="28" s="1"/>
  <c r="S22" i="24"/>
  <c r="O12" i="25"/>
  <c r="Q32" i="24"/>
  <c r="S41" i="24"/>
  <c r="P32" i="24"/>
  <c r="P4" i="1"/>
  <c r="E19" i="1"/>
  <c r="E29" i="1" s="1"/>
  <c r="C27" i="1"/>
  <c r="C21" i="1"/>
  <c r="C22" i="1"/>
  <c r="C23" i="1"/>
  <c r="C24" i="1"/>
  <c r="C25" i="1"/>
  <c r="D12" i="30" s="1"/>
  <c r="F9" i="28" l="1"/>
  <c r="J27" i="27"/>
  <c r="M27" i="27"/>
  <c r="L27" i="27"/>
  <c r="K27" i="27"/>
  <c r="Q18" i="24"/>
  <c r="R14" i="24"/>
  <c r="O18" i="24"/>
  <c r="F7" i="32"/>
  <c r="O8" i="1"/>
  <c r="D11" i="30"/>
  <c r="O7" i="1"/>
  <c r="D10" i="30"/>
  <c r="O6" i="1"/>
  <c r="P6" i="1" s="1"/>
  <c r="D9" i="30"/>
  <c r="C16" i="29"/>
  <c r="C29" i="28" s="1"/>
  <c r="D8" i="30"/>
  <c r="D14" i="30"/>
  <c r="F12" i="30" s="1"/>
  <c r="F7" i="30"/>
  <c r="O9" i="1"/>
  <c r="P9" i="1" s="1"/>
  <c r="C20" i="29"/>
  <c r="I42" i="28"/>
  <c r="I44" i="28" s="1"/>
  <c r="I45" i="28" s="1"/>
  <c r="I46" i="28" s="1"/>
  <c r="G47" i="28"/>
  <c r="G50" i="28" s="1"/>
  <c r="J47" i="28"/>
  <c r="I47" i="28"/>
  <c r="H47" i="28"/>
  <c r="H50" i="28" s="1"/>
  <c r="J8" i="28"/>
  <c r="J23" i="28"/>
  <c r="J25" i="28"/>
  <c r="J9" i="29" s="1"/>
  <c r="I10" i="28"/>
  <c r="S28" i="24"/>
  <c r="J15" i="28" s="1"/>
  <c r="S9" i="24"/>
  <c r="J12" i="28" s="1"/>
  <c r="S11" i="24"/>
  <c r="J14" i="28" s="1"/>
  <c r="S31" i="24"/>
  <c r="J17" i="28" s="1"/>
  <c r="Q11" i="25"/>
  <c r="Q8" i="25"/>
  <c r="P12" i="25"/>
  <c r="R32" i="24"/>
  <c r="O5" i="1"/>
  <c r="C28" i="1"/>
  <c r="J48" i="24" s="1"/>
  <c r="K48" i="24" s="1"/>
  <c r="K49" i="24" s="1"/>
  <c r="K51" i="24" l="1"/>
  <c r="I8" i="30"/>
  <c r="I7" i="30"/>
  <c r="J42" i="28"/>
  <c r="J44" i="28" s="1"/>
  <c r="J45" i="28" s="1"/>
  <c r="J46" i="28" s="1"/>
  <c r="H7" i="32"/>
  <c r="H9" i="28"/>
  <c r="I7" i="32"/>
  <c r="I9" i="28"/>
  <c r="J7" i="32"/>
  <c r="J9" i="28"/>
  <c r="G9" i="28"/>
  <c r="R18" i="24"/>
  <c r="S14" i="24"/>
  <c r="S18" i="24" s="1"/>
  <c r="P18" i="24"/>
  <c r="G7" i="32"/>
  <c r="D12" i="31"/>
  <c r="D11" i="31"/>
  <c r="D10" i="31"/>
  <c r="F8" i="30"/>
  <c r="F9" i="30"/>
  <c r="F10" i="30"/>
  <c r="F11" i="30"/>
  <c r="C21" i="29"/>
  <c r="L35" i="24"/>
  <c r="C29" i="1"/>
  <c r="C32" i="1" s="1"/>
  <c r="J19" i="24" s="1"/>
  <c r="S19" i="24"/>
  <c r="R19" i="24"/>
  <c r="Q19" i="24"/>
  <c r="P19" i="24"/>
  <c r="O19" i="24"/>
  <c r="N19" i="24"/>
  <c r="L19" i="24"/>
  <c r="K19" i="24"/>
  <c r="I49" i="28"/>
  <c r="I50" i="28" s="1"/>
  <c r="J10" i="28"/>
  <c r="Q12" i="25"/>
  <c r="S32" i="24"/>
  <c r="P5" i="1"/>
  <c r="P10" i="1" s="1"/>
  <c r="O10" i="1"/>
  <c r="K13" i="31" l="1"/>
  <c r="K12" i="31"/>
  <c r="K11" i="31"/>
  <c r="L13" i="31"/>
  <c r="L11" i="31"/>
  <c r="L12" i="31"/>
  <c r="M13" i="31"/>
  <c r="M12" i="31"/>
  <c r="M11" i="31"/>
  <c r="F14" i="30"/>
  <c r="F15" i="30" s="1"/>
  <c r="C17" i="30" s="1"/>
  <c r="J7" i="30" s="1"/>
  <c r="K7" i="30" s="1"/>
  <c r="J16" i="25"/>
  <c r="D16" i="29"/>
  <c r="D29" i="28" s="1"/>
  <c r="J49" i="28"/>
  <c r="J50" i="28" s="1"/>
  <c r="F31" i="27" l="1"/>
  <c r="F19" i="31"/>
  <c r="M19" i="31" s="1"/>
  <c r="E19" i="31"/>
  <c r="L19" i="31" s="1"/>
  <c r="D19" i="31"/>
  <c r="K19" i="31" s="1"/>
  <c r="F18" i="31"/>
  <c r="M18" i="31" s="1"/>
  <c r="E18" i="31"/>
  <c r="L18" i="31" s="1"/>
  <c r="D18" i="31"/>
  <c r="K18" i="31" s="1"/>
  <c r="F17" i="31"/>
  <c r="M17" i="31" s="1"/>
  <c r="E17" i="31"/>
  <c r="L17" i="31" s="1"/>
  <c r="D17" i="31"/>
  <c r="K17" i="31" s="1"/>
  <c r="D7" i="31"/>
  <c r="D6" i="31"/>
  <c r="D5" i="31"/>
  <c r="F32" i="31"/>
  <c r="F40" i="31" s="1"/>
  <c r="F33" i="31"/>
  <c r="F41" i="31" s="1"/>
  <c r="F34" i="31"/>
  <c r="F42" i="31" s="1"/>
  <c r="E33" i="31"/>
  <c r="E41" i="31" s="1"/>
  <c r="E32" i="31"/>
  <c r="E40" i="31" s="1"/>
  <c r="E34" i="31"/>
  <c r="E42" i="31" s="1"/>
  <c r="D32" i="31"/>
  <c r="D40" i="31" s="1"/>
  <c r="D33" i="31"/>
  <c r="D41" i="31" s="1"/>
  <c r="D34" i="31"/>
  <c r="D42" i="31" s="1"/>
  <c r="M35" i="24"/>
  <c r="K16" i="25"/>
  <c r="E16" i="29"/>
  <c r="E29" i="28" s="1"/>
  <c r="N35" i="24"/>
  <c r="G31" i="27" l="1"/>
  <c r="K24" i="31"/>
  <c r="Q35" i="31" s="1"/>
  <c r="J24" i="31"/>
  <c r="P35" i="31" s="1"/>
  <c r="I24" i="31"/>
  <c r="O40" i="31" s="1"/>
  <c r="O35" i="31"/>
  <c r="F24" i="31"/>
  <c r="Q29" i="31" s="1"/>
  <c r="E24" i="31"/>
  <c r="P29" i="31" s="1"/>
  <c r="D24" i="31"/>
  <c r="O29" i="31" s="1"/>
  <c r="O24" i="31"/>
  <c r="P24" i="31"/>
  <c r="Q24" i="31"/>
  <c r="K25" i="31"/>
  <c r="Q41" i="31" s="1"/>
  <c r="J25" i="31"/>
  <c r="P36" i="31" s="1"/>
  <c r="I25" i="31"/>
  <c r="O36" i="31" s="1"/>
  <c r="F25" i="31"/>
  <c r="Q30" i="31" s="1"/>
  <c r="E25" i="31"/>
  <c r="P30" i="31" s="1"/>
  <c r="D25" i="31"/>
  <c r="O30" i="31" s="1"/>
  <c r="O25" i="31"/>
  <c r="K26" i="31"/>
  <c r="Q42" i="31" s="1"/>
  <c r="J26" i="31"/>
  <c r="I26" i="31"/>
  <c r="O37" i="31"/>
  <c r="P37" i="31"/>
  <c r="Q37" i="31"/>
  <c r="F26" i="31"/>
  <c r="Q31" i="31" s="1"/>
  <c r="E26" i="31"/>
  <c r="P31" i="31" s="1"/>
  <c r="D26" i="31"/>
  <c r="O31" i="31" s="1"/>
  <c r="O26" i="31"/>
  <c r="P26" i="31"/>
  <c r="I32" i="31"/>
  <c r="I40" i="31" s="1"/>
  <c r="J32" i="31"/>
  <c r="J40" i="31" s="1"/>
  <c r="K32" i="31"/>
  <c r="K40" i="31" s="1"/>
  <c r="Q40" i="31"/>
  <c r="I33" i="31"/>
  <c r="I41" i="31" s="1"/>
  <c r="J33" i="31"/>
  <c r="J41" i="31" s="1"/>
  <c r="P41" i="31"/>
  <c r="K33" i="31"/>
  <c r="K41" i="31" s="1"/>
  <c r="I34" i="31"/>
  <c r="I42" i="31" s="1"/>
  <c r="O42" i="31"/>
  <c r="J34" i="31"/>
  <c r="J42" i="31" s="1"/>
  <c r="P42" i="31"/>
  <c r="K34" i="31"/>
  <c r="K42" i="31" s="1"/>
  <c r="L16" i="25"/>
  <c r="F16" i="29"/>
  <c r="F29" i="28" s="1"/>
  <c r="O35" i="24"/>
  <c r="O41" i="31" l="1"/>
  <c r="P40" i="31"/>
  <c r="Q25" i="31"/>
  <c r="P25" i="31"/>
  <c r="Q26" i="31"/>
  <c r="Q36" i="31"/>
  <c r="H31" i="27"/>
  <c r="M16" i="25"/>
  <c r="G16" i="29"/>
  <c r="G29" i="28" s="1"/>
  <c r="P35" i="24"/>
  <c r="I31" i="27" l="1"/>
  <c r="N16" i="25"/>
  <c r="H16" i="29"/>
  <c r="H29" i="28" s="1"/>
  <c r="H56" i="28" s="1"/>
  <c r="H35" i="28" l="1"/>
  <c r="J31" i="27"/>
  <c r="Q35" i="24"/>
  <c r="H21" i="29"/>
  <c r="O16" i="25" l="1"/>
  <c r="I16" i="29"/>
  <c r="I29" i="28" s="1"/>
  <c r="I56" i="28" s="1"/>
  <c r="R35" i="24"/>
  <c r="I35" i="28" l="1"/>
  <c r="K31" i="27"/>
  <c r="I21" i="29"/>
  <c r="P16" i="25"/>
  <c r="J16" i="29"/>
  <c r="J29" i="28" s="1"/>
  <c r="J56" i="28" s="1"/>
  <c r="S35" i="24"/>
  <c r="J35" i="28" l="1"/>
  <c r="L31" i="27"/>
  <c r="M31" i="27" s="1"/>
  <c r="Q16" i="25"/>
  <c r="J21" i="29"/>
  <c r="J20" i="25"/>
  <c r="J15" i="25"/>
  <c r="D17" i="34" s="1"/>
  <c r="J21" i="25"/>
  <c r="C5" i="32" l="1"/>
  <c r="D18" i="34"/>
  <c r="C22" i="32"/>
  <c r="C15" i="32"/>
  <c r="C18" i="32" s="1"/>
  <c r="C20" i="32" s="1"/>
  <c r="J23" i="25"/>
  <c r="C23" i="32" l="1"/>
  <c r="J25" i="25"/>
  <c r="J26" i="25" s="1"/>
  <c r="C52" i="28" s="1"/>
  <c r="J27" i="25" l="1"/>
  <c r="J30" i="25"/>
  <c r="C7" i="28" s="1"/>
  <c r="K20" i="24"/>
  <c r="K23" i="24" s="1"/>
  <c r="K25" i="24" s="1"/>
  <c r="C33" i="30" s="1"/>
  <c r="C34" i="30" s="1"/>
  <c r="C39" i="30" s="1"/>
  <c r="C18" i="30" s="1"/>
  <c r="J8" i="30" s="1"/>
  <c r="K8" i="30" s="1"/>
  <c r="K10" i="30" s="1"/>
  <c r="L20" i="24"/>
  <c r="L23" i="24" s="1"/>
  <c r="M20" i="24"/>
  <c r="M23" i="24" s="1"/>
  <c r="N20" i="24"/>
  <c r="N23" i="24" s="1"/>
  <c r="O20" i="24"/>
  <c r="O23" i="24" s="1"/>
  <c r="P20" i="24"/>
  <c r="P23" i="24" s="1"/>
  <c r="Q20" i="24"/>
  <c r="Q23" i="24" s="1"/>
  <c r="R20" i="24"/>
  <c r="S20" i="24" s="1"/>
  <c r="S23" i="24" s="1"/>
  <c r="R23" i="24"/>
  <c r="C19" i="28"/>
  <c r="C8" i="29"/>
  <c r="C10" i="29"/>
  <c r="C12" i="29"/>
  <c r="C23" i="29"/>
  <c r="C26" i="29"/>
  <c r="C28" i="28"/>
  <c r="L34" i="24" l="1"/>
  <c r="C31" i="29"/>
  <c r="C33" i="28" l="1"/>
  <c r="C56" i="28" s="1"/>
  <c r="L39" i="24"/>
  <c r="L40" i="24" s="1"/>
  <c r="C32" i="29"/>
  <c r="C34" i="29" s="1"/>
  <c r="L7" i="24" s="1"/>
  <c r="K15" i="25"/>
  <c r="E17" i="34" s="1"/>
  <c r="D15" i="29"/>
  <c r="D22" i="34" l="1"/>
  <c r="D21" i="34"/>
  <c r="L43" i="24"/>
  <c r="L45" i="24" s="1"/>
  <c r="D7" i="29"/>
  <c r="D37" i="28"/>
  <c r="L12" i="24"/>
  <c r="D20" i="29"/>
  <c r="K20" i="25"/>
  <c r="K21" i="25" s="1"/>
  <c r="E18" i="34" s="1"/>
  <c r="C35" i="28"/>
  <c r="C38" i="28" s="1"/>
  <c r="C36" i="29" s="1"/>
  <c r="L25" i="24" l="1"/>
  <c r="D20" i="34"/>
  <c r="D5" i="32"/>
  <c r="K23" i="25"/>
  <c r="D21" i="29"/>
  <c r="L48" i="24" l="1"/>
  <c r="L49" i="24" s="1"/>
  <c r="D6" i="34"/>
  <c r="D15" i="32"/>
  <c r="D18" i="32" s="1"/>
  <c r="D20" i="32" s="1"/>
  <c r="D22" i="32"/>
  <c r="L51" i="24" l="1"/>
  <c r="D7" i="34"/>
  <c r="D23" i="32"/>
  <c r="K25" i="25"/>
  <c r="K26" i="25" s="1"/>
  <c r="K30" i="25" l="1"/>
  <c r="D7" i="28" s="1"/>
  <c r="D52" i="28"/>
  <c r="D19" i="28"/>
  <c r="K27" i="25"/>
  <c r="D8" i="29"/>
  <c r="D10" i="29" s="1"/>
  <c r="D12" i="29" s="1"/>
  <c r="D23" i="29" s="1"/>
  <c r="D26" i="29" l="1"/>
  <c r="D31" i="29"/>
  <c r="M39" i="24" l="1"/>
  <c r="D33" i="28"/>
  <c r="D32" i="29"/>
  <c r="D34" i="29" s="1"/>
  <c r="M7" i="24" s="1"/>
  <c r="M34" i="24"/>
  <c r="M40" i="24" s="1"/>
  <c r="D28" i="28"/>
  <c r="D56" i="28" s="1"/>
  <c r="M43" i="24" l="1"/>
  <c r="E22" i="34"/>
  <c r="E21" i="34"/>
  <c r="D35" i="28"/>
  <c r="D38" i="28" s="1"/>
  <c r="D36" i="29" s="1"/>
  <c r="F30" i="27"/>
  <c r="L15" i="25"/>
  <c r="F17" i="34" s="1"/>
  <c r="M45" i="24"/>
  <c r="E15" i="29"/>
  <c r="E7" i="29"/>
  <c r="E37" i="28"/>
  <c r="M12" i="24"/>
  <c r="F35" i="27"/>
  <c r="E20" i="29"/>
  <c r="L20" i="25"/>
  <c r="M25" i="24" l="1"/>
  <c r="E20" i="34"/>
  <c r="E21" i="29"/>
  <c r="L21" i="25"/>
  <c r="F18" i="34" s="1"/>
  <c r="F29" i="27"/>
  <c r="J33" i="25" l="1"/>
  <c r="J36" i="25" s="1"/>
  <c r="C53" i="28"/>
  <c r="C57" i="28" s="1"/>
  <c r="D16" i="34"/>
  <c r="D15" i="34"/>
  <c r="D14" i="34"/>
  <c r="D13" i="34"/>
  <c r="D11" i="34"/>
  <c r="D9" i="34"/>
  <c r="D10" i="34"/>
  <c r="M48" i="24"/>
  <c r="M49" i="24" s="1"/>
  <c r="E6" i="34"/>
  <c r="E5" i="32"/>
  <c r="L23" i="25"/>
  <c r="E7" i="34" l="1"/>
  <c r="M51" i="24"/>
  <c r="E15" i="32"/>
  <c r="E18" i="32" s="1"/>
  <c r="E20" i="32" s="1"/>
  <c r="E22" i="32"/>
  <c r="E23" i="32" l="1"/>
  <c r="L25" i="25"/>
  <c r="L26" i="25" s="1"/>
  <c r="L30" i="25" l="1"/>
  <c r="E7" i="28" s="1"/>
  <c r="E52" i="28"/>
  <c r="E19" i="28"/>
  <c r="L27" i="25"/>
  <c r="E8" i="29"/>
  <c r="E10" i="29" s="1"/>
  <c r="E12" i="29" s="1"/>
  <c r="E23" i="29" s="1"/>
  <c r="E26" i="29" l="1"/>
  <c r="N34" i="24" l="1"/>
  <c r="E28" i="28"/>
  <c r="E31" i="29"/>
  <c r="N39" i="24" l="1"/>
  <c r="N40" i="24" s="1"/>
  <c r="E33" i="28"/>
  <c r="E56" i="28" s="1"/>
  <c r="E32" i="29"/>
  <c r="E34" i="29" s="1"/>
  <c r="N7" i="24" s="1"/>
  <c r="E35" i="28"/>
  <c r="E38" i="28" s="1"/>
  <c r="E36" i="29" s="1"/>
  <c r="G30" i="27"/>
  <c r="M15" i="25"/>
  <c r="G17" i="34" s="1"/>
  <c r="F15" i="29"/>
  <c r="F22" i="34" l="1"/>
  <c r="F21" i="34"/>
  <c r="N43" i="24"/>
  <c r="N45" i="24" s="1"/>
  <c r="F7" i="29"/>
  <c r="F37" i="28"/>
  <c r="N12" i="24"/>
  <c r="G35" i="27"/>
  <c r="G29" i="27" s="1"/>
  <c r="F20" i="29"/>
  <c r="M20" i="25"/>
  <c r="M21" i="25" s="1"/>
  <c r="G18" i="34" s="1"/>
  <c r="K33" i="25" l="1"/>
  <c r="K36" i="25" s="1"/>
  <c r="D53" i="28"/>
  <c r="D57" i="28" s="1"/>
  <c r="E16" i="34"/>
  <c r="E15" i="34"/>
  <c r="E14" i="34"/>
  <c r="E13" i="34"/>
  <c r="E11" i="34"/>
  <c r="E9" i="34"/>
  <c r="E10" i="34"/>
  <c r="N25" i="24"/>
  <c r="F20" i="34"/>
  <c r="F5" i="32"/>
  <c r="M23" i="25"/>
  <c r="F21" i="29"/>
  <c r="N48" i="24" l="1"/>
  <c r="N49" i="24" s="1"/>
  <c r="F6" i="34"/>
  <c r="F15" i="32"/>
  <c r="F18" i="32" s="1"/>
  <c r="F20" i="32" s="1"/>
  <c r="F22" i="32"/>
  <c r="N51" i="24" l="1"/>
  <c r="F7" i="34"/>
  <c r="F23" i="32"/>
  <c r="M25" i="25"/>
  <c r="M26" i="25" s="1"/>
  <c r="M30" i="25" l="1"/>
  <c r="F7" i="28" s="1"/>
  <c r="F52" i="28"/>
  <c r="F19" i="28"/>
  <c r="M27" i="25"/>
  <c r="F8" i="29"/>
  <c r="F10" i="29" s="1"/>
  <c r="F12" i="29" s="1"/>
  <c r="F23" i="29" s="1"/>
  <c r="F26" i="29" l="1"/>
  <c r="F31" i="29"/>
  <c r="O39" i="24" l="1"/>
  <c r="F33" i="28"/>
  <c r="F32" i="29"/>
  <c r="F34" i="29" s="1"/>
  <c r="O7" i="24" s="1"/>
  <c r="O34" i="24"/>
  <c r="O40" i="24" s="1"/>
  <c r="F28" i="28"/>
  <c r="F56" i="28" s="1"/>
  <c r="O43" i="24" l="1"/>
  <c r="G22" i="34"/>
  <c r="G21" i="34"/>
  <c r="F35" i="28"/>
  <c r="F38" i="28" s="1"/>
  <c r="F36" i="29" s="1"/>
  <c r="H30" i="27"/>
  <c r="N15" i="25"/>
  <c r="H17" i="34" s="1"/>
  <c r="O45" i="24"/>
  <c r="G15" i="29"/>
  <c r="G7" i="29"/>
  <c r="G37" i="28"/>
  <c r="O12" i="24"/>
  <c r="H35" i="27"/>
  <c r="G20" i="29"/>
  <c r="N20" i="25"/>
  <c r="O25" i="24" l="1"/>
  <c r="G20" i="34"/>
  <c r="G21" i="29"/>
  <c r="N21" i="25"/>
  <c r="H18" i="34" s="1"/>
  <c r="H29" i="27"/>
  <c r="L33" i="25" l="1"/>
  <c r="L36" i="25" s="1"/>
  <c r="E53" i="28"/>
  <c r="E57" i="28" s="1"/>
  <c r="F16" i="34"/>
  <c r="F15" i="34"/>
  <c r="F14" i="34"/>
  <c r="F13" i="34"/>
  <c r="F11" i="34"/>
  <c r="F9" i="34"/>
  <c r="F10" i="34"/>
  <c r="O48" i="24"/>
  <c r="O49" i="24" s="1"/>
  <c r="G6" i="34"/>
  <c r="G5" i="32"/>
  <c r="N23" i="25"/>
  <c r="G7" i="34" l="1"/>
  <c r="O51" i="24"/>
  <c r="G15" i="32"/>
  <c r="G18" i="32" s="1"/>
  <c r="G20" i="32" s="1"/>
  <c r="G22" i="32"/>
  <c r="G23" i="32" l="1"/>
  <c r="N25" i="25"/>
  <c r="N26" i="25" s="1"/>
  <c r="N30" i="25" l="1"/>
  <c r="G7" i="28" s="1"/>
  <c r="G52" i="28"/>
  <c r="G19" i="28"/>
  <c r="N27" i="25"/>
  <c r="G8" i="29"/>
  <c r="G10" i="29" s="1"/>
  <c r="G12" i="29" s="1"/>
  <c r="G23" i="29" s="1"/>
  <c r="G26" i="29" l="1"/>
  <c r="P34" i="24" l="1"/>
  <c r="G28" i="28"/>
  <c r="G31" i="29"/>
  <c r="P39" i="24" l="1"/>
  <c r="P40" i="24" s="1"/>
  <c r="G33" i="28"/>
  <c r="G56" i="28" s="1"/>
  <c r="G32" i="29"/>
  <c r="G34" i="29" s="1"/>
  <c r="P7" i="24" s="1"/>
  <c r="G35" i="28"/>
  <c r="G38" i="28" s="1"/>
  <c r="G36" i="29" s="1"/>
  <c r="J30" i="27"/>
  <c r="I30" i="27"/>
  <c r="O15" i="25"/>
  <c r="I17" i="34" s="1"/>
  <c r="Q34" i="24"/>
  <c r="H22" i="34" l="1"/>
  <c r="H21" i="34"/>
  <c r="P43" i="24"/>
  <c r="P45" i="24" s="1"/>
  <c r="P15" i="25"/>
  <c r="J17" i="34" s="1"/>
  <c r="K30" i="27"/>
  <c r="R34" i="24"/>
  <c r="H7" i="29"/>
  <c r="H37" i="28"/>
  <c r="P12" i="24"/>
  <c r="J35" i="27"/>
  <c r="J29" i="27" s="1"/>
  <c r="I35" i="27"/>
  <c r="I29" i="27" s="1"/>
  <c r="Q39" i="24"/>
  <c r="Q40" i="24" s="1"/>
  <c r="O20" i="25"/>
  <c r="O21" i="25" s="1"/>
  <c r="I18" i="34" s="1"/>
  <c r="M33" i="25" l="1"/>
  <c r="M36" i="25" s="1"/>
  <c r="F53" i="28"/>
  <c r="F57" i="28" s="1"/>
  <c r="N33" i="25"/>
  <c r="N36" i="25" s="1"/>
  <c r="G53" i="28"/>
  <c r="G57" i="28" s="1"/>
  <c r="Q43" i="24"/>
  <c r="G16" i="34"/>
  <c r="G15" i="34"/>
  <c r="G14" i="34"/>
  <c r="G13" i="34"/>
  <c r="G11" i="34"/>
  <c r="G9" i="34"/>
  <c r="G10" i="34"/>
  <c r="H16" i="34"/>
  <c r="H15" i="34"/>
  <c r="H14" i="34"/>
  <c r="H13" i="34"/>
  <c r="H11" i="34"/>
  <c r="H9" i="34"/>
  <c r="H10" i="34"/>
  <c r="P25" i="24"/>
  <c r="H20" i="34"/>
  <c r="H5" i="32"/>
  <c r="O23" i="25"/>
  <c r="R39" i="24"/>
  <c r="R40" i="24" s="1"/>
  <c r="K35" i="27"/>
  <c r="P20" i="25"/>
  <c r="Q45" i="24"/>
  <c r="Q15" i="25"/>
  <c r="K17" i="34" s="1"/>
  <c r="L30" i="27"/>
  <c r="S34" i="24"/>
  <c r="K29" i="27"/>
  <c r="P21" i="25"/>
  <c r="J18" i="34" s="1"/>
  <c r="O33" i="25" l="1"/>
  <c r="O36" i="25" s="1"/>
  <c r="H53" i="28"/>
  <c r="I16" i="34"/>
  <c r="I15" i="34"/>
  <c r="I14" i="34"/>
  <c r="I13" i="34"/>
  <c r="I9" i="34"/>
  <c r="I10" i="34"/>
  <c r="R43" i="24"/>
  <c r="R45" i="24" s="1"/>
  <c r="P48" i="24"/>
  <c r="P49" i="24" s="1"/>
  <c r="H6" i="34"/>
  <c r="I5" i="32"/>
  <c r="P23" i="25"/>
  <c r="M30" i="27"/>
  <c r="S39" i="24"/>
  <c r="S40" i="24" s="1"/>
  <c r="L35" i="27"/>
  <c r="L29" i="27" s="1"/>
  <c r="Q20" i="25"/>
  <c r="Q21" i="25" s="1"/>
  <c r="K18" i="34" s="1"/>
  <c r="H15" i="32"/>
  <c r="H18" i="32" s="1"/>
  <c r="H20" i="32" s="1"/>
  <c r="H22" i="32"/>
  <c r="P33" i="25" l="1"/>
  <c r="P36" i="25" s="1"/>
  <c r="I53" i="28"/>
  <c r="J16" i="34"/>
  <c r="J15" i="34"/>
  <c r="J14" i="34"/>
  <c r="J13" i="34"/>
  <c r="J9" i="34"/>
  <c r="J10" i="34"/>
  <c r="K11" i="34"/>
  <c r="P51" i="24"/>
  <c r="H7" i="34"/>
  <c r="S43" i="24"/>
  <c r="L11" i="33"/>
  <c r="H23" i="32"/>
  <c r="O25" i="25"/>
  <c r="O26" i="25" s="1"/>
  <c r="J5" i="32"/>
  <c r="Q23" i="25"/>
  <c r="M35" i="27"/>
  <c r="S45" i="24"/>
  <c r="M29" i="27"/>
  <c r="I15" i="32"/>
  <c r="I18" i="32" s="1"/>
  <c r="I20" i="32" s="1"/>
  <c r="I22" i="32"/>
  <c r="Q33" i="25" l="1"/>
  <c r="Q36" i="25" s="1"/>
  <c r="J53" i="28"/>
  <c r="O30" i="25"/>
  <c r="H7" i="28" s="1"/>
  <c r="H52" i="28"/>
  <c r="H57" i="28" s="1"/>
  <c r="K16" i="34"/>
  <c r="K15" i="34"/>
  <c r="K14" i="34"/>
  <c r="K13" i="34"/>
  <c r="K9" i="34"/>
  <c r="K10" i="34"/>
  <c r="H19" i="28"/>
  <c r="O27" i="25"/>
  <c r="L8" i="33"/>
  <c r="L9" i="33" s="1"/>
  <c r="I23" i="32"/>
  <c r="P25" i="25"/>
  <c r="P26" i="25" s="1"/>
  <c r="J15" i="32"/>
  <c r="J18" i="32" s="1"/>
  <c r="J20" i="32" s="1"/>
  <c r="J22" i="32"/>
  <c r="H38" i="28"/>
  <c r="H8" i="29"/>
  <c r="H10" i="29" s="1"/>
  <c r="H12" i="29" s="1"/>
  <c r="H23" i="29" s="1"/>
  <c r="H34" i="29" s="1"/>
  <c r="Q7" i="24" s="1"/>
  <c r="P30" i="25" l="1"/>
  <c r="I7" i="28" s="1"/>
  <c r="I52" i="28"/>
  <c r="I57" i="28" s="1"/>
  <c r="I22" i="34"/>
  <c r="I21" i="34"/>
  <c r="I11" i="34"/>
  <c r="I19" i="28"/>
  <c r="P27" i="25"/>
  <c r="I7" i="29"/>
  <c r="I37" i="28"/>
  <c r="Q12" i="24"/>
  <c r="H36" i="29"/>
  <c r="J23" i="32"/>
  <c r="Q25" i="25"/>
  <c r="Q26" i="25" s="1"/>
  <c r="I38" i="28"/>
  <c r="I8" i="29"/>
  <c r="Q30" i="25" l="1"/>
  <c r="J7" i="28" s="1"/>
  <c r="J52" i="28"/>
  <c r="J57" i="28" s="1"/>
  <c r="Q25" i="24"/>
  <c r="I20" i="34"/>
  <c r="J19" i="28"/>
  <c r="Q27" i="25"/>
  <c r="J8" i="29"/>
  <c r="I10" i="29"/>
  <c r="I12" i="29" s="1"/>
  <c r="I23" i="29" s="1"/>
  <c r="I34" i="29" s="1"/>
  <c r="Q48" i="24" l="1"/>
  <c r="Q49" i="24" s="1"/>
  <c r="I6" i="34"/>
  <c r="R7" i="24"/>
  <c r="I36" i="29"/>
  <c r="J22" i="34" l="1"/>
  <c r="J21" i="34"/>
  <c r="J11" i="34"/>
  <c r="Q51" i="24"/>
  <c r="I7" i="34"/>
  <c r="J37" i="28"/>
  <c r="J38" i="28" s="1"/>
  <c r="R12" i="24"/>
  <c r="J7" i="29"/>
  <c r="J10" i="29" s="1"/>
  <c r="J12" i="29" s="1"/>
  <c r="J23" i="29" s="1"/>
  <c r="J34" i="29" s="1"/>
  <c r="S7" i="24" s="1"/>
  <c r="K22" i="34" l="1"/>
  <c r="K21" i="34"/>
  <c r="R25" i="24"/>
  <c r="J20" i="34"/>
  <c r="S12" i="24"/>
  <c r="L12" i="33"/>
  <c r="L13" i="33" s="1"/>
  <c r="J36" i="29"/>
  <c r="S25" i="24" l="1"/>
  <c r="K20" i="34"/>
  <c r="R48" i="24"/>
  <c r="R49" i="24" s="1"/>
  <c r="J6" i="34"/>
  <c r="H7" i="33"/>
  <c r="F42" i="33" s="1"/>
  <c r="F43" i="33" s="1"/>
  <c r="H10" i="33"/>
  <c r="F30" i="33" s="1"/>
  <c r="F31" i="33" s="1"/>
  <c r="H9" i="33"/>
  <c r="F23" i="33" s="1"/>
  <c r="F24" i="33" s="1"/>
  <c r="H8" i="33"/>
  <c r="F36" i="33" s="1"/>
  <c r="F37" i="33" s="1"/>
  <c r="R51" i="24" l="1"/>
  <c r="J7" i="34"/>
  <c r="S48" i="24"/>
  <c r="S49" i="24" s="1"/>
  <c r="K6" i="34"/>
  <c r="I36" i="33"/>
  <c r="I37" i="33" s="1"/>
  <c r="G36" i="33"/>
  <c r="G37" i="33" s="1"/>
  <c r="I23" i="33"/>
  <c r="I24" i="33" s="1"/>
  <c r="G23" i="33"/>
  <c r="G24" i="33" s="1"/>
  <c r="I30" i="33"/>
  <c r="I31" i="33" s="1"/>
  <c r="G30" i="33"/>
  <c r="G31" i="33" s="1"/>
  <c r="H42" i="33"/>
  <c r="H43" i="33" s="1"/>
  <c r="G42" i="33"/>
  <c r="G43" i="33" s="1"/>
  <c r="L42" i="33"/>
  <c r="L43" i="33" s="1"/>
  <c r="I42" i="33"/>
  <c r="I43" i="33" s="1"/>
  <c r="J36" i="33"/>
  <c r="J37" i="33" s="1"/>
  <c r="K36" i="33"/>
  <c r="K37" i="33" s="1"/>
  <c r="J23" i="33"/>
  <c r="J24" i="33" s="1"/>
  <c r="K23" i="33"/>
  <c r="K24" i="33" s="1"/>
  <c r="J30" i="33"/>
  <c r="J31" i="33" s="1"/>
  <c r="K30" i="33"/>
  <c r="K31" i="33" s="1"/>
  <c r="L36" i="33"/>
  <c r="L37" i="33" s="1"/>
  <c r="H36" i="33"/>
  <c r="H37" i="33" s="1"/>
  <c r="L23" i="33"/>
  <c r="L24" i="33" s="1"/>
  <c r="H23" i="33"/>
  <c r="H24" i="33" s="1"/>
  <c r="L30" i="33"/>
  <c r="L31" i="33" s="1"/>
  <c r="H30" i="33"/>
  <c r="H31" i="33" s="1"/>
  <c r="H12" i="33"/>
  <c r="S51" i="24" l="1"/>
  <c r="K7" i="34"/>
  <c r="C43" i="33"/>
  <c r="C37" i="33"/>
  <c r="C31" i="33"/>
  <c r="C2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Yogesh P</author>
  </authors>
  <commentList>
    <comment ref="C8" authorId="0" shapeId="0" xr:uid="{E0BC662E-0168-4174-9EA7-F1A8888EFD45}">
      <text>
        <r>
          <rPr>
            <sz val="9"/>
            <color indexed="81"/>
            <rFont val="Tahoma"/>
            <charset val="1"/>
          </rPr>
          <t xml:space="preserve">in crores
</t>
        </r>
      </text>
    </comment>
    <comment ref="C14" authorId="0" shapeId="0" xr:uid="{BF65F331-83E8-4231-8C93-155D213AD8F2}">
      <text>
        <r>
          <rPr>
            <sz val="9"/>
            <color indexed="81"/>
            <rFont val="Tahoma"/>
            <family val="2"/>
          </rPr>
          <t xml:space="preserve">in crores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F73F9-F69F-422F-9773-398250F549A2}" keepAlive="1" name="ModelConnection_ExternalData_3" description="Data Model" type="5" refreshedVersion="8" minRefreshableVersion="5" saveData="1">
    <dbPr connection="Data Model Connection" command="Table006  Page 5-6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28738DE-FE02-4A2E-8A30-331652557C61}" name="Query - Table006 (Page 5-6)" description="Connection to the 'Table006 (Page 5-6)' query in the workbook." type="100" refreshedVersion="8" minRefreshableVersion="5">
    <extLst>
      <ext xmlns:x15="http://schemas.microsoft.com/office/spreadsheetml/2010/11/main" uri="{DE250136-89BD-433C-8126-D09CA5730AF9}">
        <x15:connection id="df9b2932-acd8-4bf5-a58a-596bcfe43c51"/>
      </ext>
    </extLst>
  </connection>
  <connection id="3" xr16:uid="{A603C9A2-77EF-4761-A409-FEF3B7CD1A6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<sst xmlns="http://schemas.openxmlformats.org/spreadsheetml/2006/main" count="570" uniqueCount="343">
  <si>
    <t>Estimated Cost of Deal:</t>
  </si>
  <si>
    <t>Debt           Assumptions:</t>
  </si>
  <si>
    <t>Financial Statements Assumptions:</t>
  </si>
  <si>
    <t>Financing Costs</t>
  </si>
  <si>
    <t xml:space="preserve">Annual amortization </t>
  </si>
  <si>
    <t>Curent Stock Price</t>
  </si>
  <si>
    <t>Term loan A</t>
  </si>
  <si>
    <t xml:space="preserve">Income statement </t>
  </si>
  <si>
    <t>Offer Premium</t>
  </si>
  <si>
    <t>Term Years</t>
  </si>
  <si>
    <t xml:space="preserve">Revenue </t>
  </si>
  <si>
    <t>Offer Price Per Share</t>
  </si>
  <si>
    <t>Annual Repayment</t>
  </si>
  <si>
    <t>COGS</t>
  </si>
  <si>
    <t>No. of Shares outstanding</t>
  </si>
  <si>
    <t>Coupon Rate</t>
  </si>
  <si>
    <t>SG&amp;A</t>
  </si>
  <si>
    <t>Equity Purchase Price</t>
  </si>
  <si>
    <t>Optional Prepayment</t>
  </si>
  <si>
    <t xml:space="preserve">Other Income </t>
  </si>
  <si>
    <t>Tax Rate</t>
  </si>
  <si>
    <t>Existing Debt Retired</t>
  </si>
  <si>
    <t>Term loan B</t>
  </si>
  <si>
    <t>Assumed Debt</t>
  </si>
  <si>
    <t xml:space="preserve">Balance Sheet </t>
  </si>
  <si>
    <t>Expensed Transaction Costs</t>
  </si>
  <si>
    <t xml:space="preserve">Trades Receivable </t>
  </si>
  <si>
    <t>Capitalized Financing Costs</t>
  </si>
  <si>
    <t xml:space="preserve">Bullet Payment </t>
  </si>
  <si>
    <t xml:space="preserve">Inventories </t>
  </si>
  <si>
    <t>Total Fund Required</t>
  </si>
  <si>
    <t xml:space="preserve">Other Financial Assets </t>
  </si>
  <si>
    <t>Flat</t>
  </si>
  <si>
    <t xml:space="preserve">Other Current asset </t>
  </si>
  <si>
    <t>Sources of Funds:</t>
  </si>
  <si>
    <t>% of Capital</t>
  </si>
  <si>
    <t>Excess Cash</t>
  </si>
  <si>
    <t>Senior Notes</t>
  </si>
  <si>
    <t xml:space="preserve">Long-Term Investment </t>
  </si>
  <si>
    <t>Debt:</t>
  </si>
  <si>
    <t>Maturity Year</t>
  </si>
  <si>
    <t>Asssumed Debt</t>
  </si>
  <si>
    <t xml:space="preserve">Fees </t>
  </si>
  <si>
    <t>Other Non-Current Assets</t>
  </si>
  <si>
    <t>Term Loan "A"</t>
  </si>
  <si>
    <t>Term Loan "B"</t>
  </si>
  <si>
    <t xml:space="preserve">Accounts Payable </t>
  </si>
  <si>
    <t>Subordinate Notes</t>
  </si>
  <si>
    <t xml:space="preserve">Other Financial Liabilities </t>
  </si>
  <si>
    <t>Subordinated Notes</t>
  </si>
  <si>
    <t xml:space="preserve">Other Current Liabilities </t>
  </si>
  <si>
    <t>Mezzanine Debt</t>
  </si>
  <si>
    <t>Seller Notes</t>
  </si>
  <si>
    <t xml:space="preserve">Other Financial Liablities </t>
  </si>
  <si>
    <t>Equity:</t>
  </si>
  <si>
    <t xml:space="preserve">Other Non-Current Liabilities </t>
  </si>
  <si>
    <t>Common - Sponsor Equity</t>
  </si>
  <si>
    <t>Mezzanine notes</t>
  </si>
  <si>
    <t>Capex</t>
  </si>
  <si>
    <t>Management Equity</t>
  </si>
  <si>
    <t>Total</t>
  </si>
  <si>
    <t>WACC Assumption :</t>
  </si>
  <si>
    <t>Years PIK</t>
  </si>
  <si>
    <t>Discount Rate</t>
  </si>
  <si>
    <t xml:space="preserve">Goodwill / Bargain Purchase: </t>
  </si>
  <si>
    <t xml:space="preserve">EBITDA Multiple </t>
  </si>
  <si>
    <t>12x</t>
  </si>
  <si>
    <t xml:space="preserve">Purchase Price </t>
  </si>
  <si>
    <t>Net Debt</t>
  </si>
  <si>
    <t xml:space="preserve">Less:Net Assets </t>
  </si>
  <si>
    <t>Less:Asset Write-Up</t>
  </si>
  <si>
    <t>Good Will</t>
  </si>
  <si>
    <t xml:space="preserve">Optional Prepayment </t>
  </si>
  <si>
    <t xml:space="preserve">Average interest </t>
  </si>
  <si>
    <t>In Crores ₹</t>
  </si>
  <si>
    <t>ACTUAL</t>
  </si>
  <si>
    <t xml:space="preserve">Adjustment </t>
  </si>
  <si>
    <t>FORCAST</t>
  </si>
  <si>
    <t xml:space="preserve">BALANCE SHEET </t>
  </si>
  <si>
    <t>-</t>
  </si>
  <si>
    <t>+</t>
  </si>
  <si>
    <t>Post-Acq</t>
  </si>
  <si>
    <t>ASSETS :</t>
  </si>
  <si>
    <t>Cash &amp; Cash Equivalents</t>
  </si>
  <si>
    <t xml:space="preserve">Total Current Assets </t>
  </si>
  <si>
    <t>Property, plant and equipment</t>
  </si>
  <si>
    <t>Capital work-in-progress</t>
  </si>
  <si>
    <t>Right of use of assets</t>
  </si>
  <si>
    <t>Other intangible assets</t>
  </si>
  <si>
    <t xml:space="preserve">Net Fixed Asset </t>
  </si>
  <si>
    <t>Good will</t>
  </si>
  <si>
    <t xml:space="preserve">Total Non-Current Assets </t>
  </si>
  <si>
    <t>TOTAL ASSETS</t>
  </si>
  <si>
    <t>Short-Term Debt</t>
  </si>
  <si>
    <t xml:space="preserve">Total Current Liabilities </t>
  </si>
  <si>
    <t>Total long term Debt</t>
  </si>
  <si>
    <t xml:space="preserve">Total Non-Current Liabilities </t>
  </si>
  <si>
    <t>TOTAL LIABILITIES</t>
  </si>
  <si>
    <t xml:space="preserve">Share Capital </t>
  </si>
  <si>
    <t xml:space="preserve">Other Equity </t>
  </si>
  <si>
    <t>TOTAL EQUITY</t>
  </si>
  <si>
    <t>TOTAL LIABILITIES &amp; EQUITY</t>
  </si>
  <si>
    <t xml:space="preserve">Other Information </t>
  </si>
  <si>
    <t>Common share</t>
  </si>
  <si>
    <t>Diluted common share</t>
  </si>
  <si>
    <t>Market price of the share</t>
  </si>
  <si>
    <t>Par Value of common share</t>
  </si>
  <si>
    <t>Book value of common share</t>
  </si>
  <si>
    <t>Dividend paid per share</t>
  </si>
  <si>
    <t>Dividend payout ratio</t>
  </si>
  <si>
    <t xml:space="preserve">INCOME STATEMENT </t>
  </si>
  <si>
    <t>Revenue</t>
  </si>
  <si>
    <t>Gross Profit Margin %</t>
  </si>
  <si>
    <t xml:space="preserve">Operating Income </t>
  </si>
  <si>
    <t>EBIT Margin %</t>
  </si>
  <si>
    <t xml:space="preserve">Interest Expense </t>
  </si>
  <si>
    <t xml:space="preserve">Non recurring items </t>
  </si>
  <si>
    <t>EBT Margin %</t>
  </si>
  <si>
    <t xml:space="preserve">Tax Expense </t>
  </si>
  <si>
    <t xml:space="preserve">Net Income </t>
  </si>
  <si>
    <t>Net Profit %</t>
  </si>
  <si>
    <t xml:space="preserve">Dividend </t>
  </si>
  <si>
    <t>Net Income for Share Holder</t>
  </si>
  <si>
    <t>Other Information</t>
  </si>
  <si>
    <t xml:space="preserve">Depreciation &amp; amortization </t>
  </si>
  <si>
    <t>Gross profit</t>
  </si>
  <si>
    <t>EBITDA</t>
  </si>
  <si>
    <t>Basic EPS</t>
  </si>
  <si>
    <t>Diluted EPS</t>
  </si>
  <si>
    <t>Tax rate</t>
  </si>
  <si>
    <t xml:space="preserve">CASH FLOW STATEMENT </t>
  </si>
  <si>
    <t>Cash  flow from operation</t>
  </si>
  <si>
    <t xml:space="preserve">Other income </t>
  </si>
  <si>
    <t xml:space="preserve">Depriciation  &amp; Amortization </t>
  </si>
  <si>
    <t xml:space="preserve">Change in working capital </t>
  </si>
  <si>
    <t>(Increase)/decrease in trade receivable</t>
  </si>
  <si>
    <t>(Increase)/decrease in inventories</t>
  </si>
  <si>
    <t>(Increase)/decrease in current financial assets</t>
  </si>
  <si>
    <t>(Increase)/decrease in other current assets</t>
  </si>
  <si>
    <t>Increase/(decrease) in trade payables</t>
  </si>
  <si>
    <t>Increase/(decrease) in financial liabilities</t>
  </si>
  <si>
    <t>Increase/(decrease) in other current liabilities</t>
  </si>
  <si>
    <t>Net cash provided by (used in) operating activities</t>
  </si>
  <si>
    <t>Cash flows from investing activities</t>
  </si>
  <si>
    <t xml:space="preserve">Capital expenditures </t>
  </si>
  <si>
    <t>Net cash provided by (used in) investing activities</t>
  </si>
  <si>
    <t>Cash flows from financing activities</t>
  </si>
  <si>
    <t>"Increase (decrease) in Term Loan "A"</t>
  </si>
  <si>
    <t>"Increase (decrease) in Term Loan "B"</t>
  </si>
  <si>
    <t>Increase (decrease) in Senior Notes</t>
  </si>
  <si>
    <t>Increase (decrease) in Subordinate Notes</t>
  </si>
  <si>
    <t>Increase (decrease) in Mezzanine Debt</t>
  </si>
  <si>
    <t>Increase (decrease) in Seller Notes</t>
  </si>
  <si>
    <t>Net cash provided by (used in) financing activities</t>
  </si>
  <si>
    <t xml:space="preserve">Cash Beginning of the Year </t>
  </si>
  <si>
    <t>Net Balance Cash</t>
  </si>
  <si>
    <t>Free Cash Flow</t>
  </si>
  <si>
    <t>EBIT</t>
  </si>
  <si>
    <t>Add : Impairment of Good Will</t>
  </si>
  <si>
    <t xml:space="preserve">EBIT </t>
  </si>
  <si>
    <t>Tax on EBIT</t>
  </si>
  <si>
    <t xml:space="preserve">Unlevered Net Income </t>
  </si>
  <si>
    <t xml:space="preserve">Plus:Depreciation &amp; Amortization </t>
  </si>
  <si>
    <t>Less:Capex</t>
  </si>
  <si>
    <t xml:space="preserve">Less:Change in Working Capital </t>
  </si>
  <si>
    <t xml:space="preserve">Unlevered Free Cash Flow </t>
  </si>
  <si>
    <t>Net Income</t>
  </si>
  <si>
    <t xml:space="preserve">Add: Depericiation &amp; Amortization </t>
  </si>
  <si>
    <t>Less:CapEx</t>
  </si>
  <si>
    <t xml:space="preserve">Less: Changes in Working Capital </t>
  </si>
  <si>
    <t>Add:Net Borrowings</t>
  </si>
  <si>
    <t xml:space="preserve">DEBT REPAYMENT </t>
  </si>
  <si>
    <t xml:space="preserve">Cash Available for Debt Repayment </t>
  </si>
  <si>
    <t>Cash beginning of Year</t>
  </si>
  <si>
    <t xml:space="preserve">Cash from Operating Activities </t>
  </si>
  <si>
    <t xml:space="preserve">Cash from Investing Activities </t>
  </si>
  <si>
    <t xml:space="preserve">Minimum cash Balance </t>
  </si>
  <si>
    <t xml:space="preserve">Mandatory Repayment </t>
  </si>
  <si>
    <t>Term Loan A</t>
  </si>
  <si>
    <t>Term Loan B</t>
  </si>
  <si>
    <t xml:space="preserve">Sub Total </t>
  </si>
  <si>
    <t>Cash Available for Optional Repayment</t>
  </si>
  <si>
    <t xml:space="preserve">Optional Repayment </t>
  </si>
  <si>
    <t>Cash At Year End</t>
  </si>
  <si>
    <t xml:space="preserve">Cash Flow Check </t>
  </si>
  <si>
    <t xml:space="preserve">Depreciation &amp; Amortization </t>
  </si>
  <si>
    <t xml:space="preserve">Book Depriciation &amp; Amortization </t>
  </si>
  <si>
    <t xml:space="preserve">Propostion </t>
  </si>
  <si>
    <t xml:space="preserve">Existing Asset </t>
  </si>
  <si>
    <t>Remain Life</t>
  </si>
  <si>
    <t>Asset 1</t>
  </si>
  <si>
    <t>Asset 2</t>
  </si>
  <si>
    <t>Asset 3</t>
  </si>
  <si>
    <t>Year</t>
  </si>
  <si>
    <t>Useful life</t>
  </si>
  <si>
    <t xml:space="preserve">Good Will Amortization </t>
  </si>
  <si>
    <t>Amortization of Capitallization Cost</t>
  </si>
  <si>
    <t xml:space="preserve">Tax Depreciation &amp; Amortization </t>
  </si>
  <si>
    <t>WACC</t>
  </si>
  <si>
    <t>Estimated Cost of Debt</t>
  </si>
  <si>
    <t>Amount</t>
  </si>
  <si>
    <t xml:space="preserve">Interest Rate </t>
  </si>
  <si>
    <t>Wt.average</t>
  </si>
  <si>
    <t xml:space="preserve">Instruments </t>
  </si>
  <si>
    <t>Propostion</t>
  </si>
  <si>
    <t>Cost</t>
  </si>
  <si>
    <t>Wtd.Cost</t>
  </si>
  <si>
    <t>Debt Propostion</t>
  </si>
  <si>
    <t xml:space="preserve">Equity Propostion </t>
  </si>
  <si>
    <t>Post Tax</t>
  </si>
  <si>
    <t xml:space="preserve">Cost Of Debt </t>
  </si>
  <si>
    <t xml:space="preserve">Cost Of Equity </t>
  </si>
  <si>
    <t xml:space="preserve">Risk Free Rate </t>
  </si>
  <si>
    <t xml:space="preserve">Market Risk Premium </t>
  </si>
  <si>
    <t>Levered Beta</t>
  </si>
  <si>
    <t xml:space="preserve">WACC Calculation </t>
  </si>
  <si>
    <t xml:space="preserve">Pre Acquisition </t>
  </si>
  <si>
    <t>Debt</t>
  </si>
  <si>
    <t xml:space="preserve">Equity </t>
  </si>
  <si>
    <t>Debt/Equity Ratio</t>
  </si>
  <si>
    <t xml:space="preserve">Post Acquisition </t>
  </si>
  <si>
    <t>Equity</t>
  </si>
  <si>
    <t>Unlevered Beta</t>
  </si>
  <si>
    <t>Relevered Beta</t>
  </si>
  <si>
    <t xml:space="preserve">INCOME TAX </t>
  </si>
  <si>
    <t>Net Income Before Tax</t>
  </si>
  <si>
    <t xml:space="preserve">Plus:Book Depriciation </t>
  </si>
  <si>
    <t xml:space="preserve">Less:Tax Depriciation </t>
  </si>
  <si>
    <t>Plus:Book (Gain)/Loss On Asset Sale</t>
  </si>
  <si>
    <t>Less:Tax Gain/(Loss) asset Sale</t>
  </si>
  <si>
    <t xml:space="preserve">Plus:GoodWill Amortization </t>
  </si>
  <si>
    <t>Pre-NOL Income</t>
  </si>
  <si>
    <t>NOL Used</t>
  </si>
  <si>
    <t>Current Taxable Income</t>
  </si>
  <si>
    <t xml:space="preserve">Curremt Tax Expense </t>
  </si>
  <si>
    <t>Total Book Tax</t>
  </si>
  <si>
    <t xml:space="preserve">Deffered Tax liability </t>
  </si>
  <si>
    <t>Projected Asset Sale</t>
  </si>
  <si>
    <t xml:space="preserve">Net Sale Proceeds </t>
  </si>
  <si>
    <t xml:space="preserve">Book Basis of Assets </t>
  </si>
  <si>
    <t xml:space="preserve">Tax Basis of Assets </t>
  </si>
  <si>
    <t xml:space="preserve">Book Gain/(Loss) on Asset </t>
  </si>
  <si>
    <t>Tax Gain/(Loss) on Asset</t>
  </si>
  <si>
    <t>DCF ANALYSIS</t>
  </si>
  <si>
    <t>PV of FCFF</t>
  </si>
  <si>
    <t>Cash Flow @8%</t>
  </si>
  <si>
    <t>Cash Flow @10%</t>
  </si>
  <si>
    <t>Cash Flow @12%</t>
  </si>
  <si>
    <t>FV of Terminal Value (EBITDA)</t>
  </si>
  <si>
    <t>PV of Terminal Value (EBITDA)</t>
  </si>
  <si>
    <t>Terminal Value @10x</t>
  </si>
  <si>
    <t>10.0x</t>
  </si>
  <si>
    <t>12.0x</t>
  </si>
  <si>
    <t>14.0x</t>
  </si>
  <si>
    <t>Terminal Value @12x</t>
  </si>
  <si>
    <t>Terminal Value @ 8.00%</t>
  </si>
  <si>
    <t>Terminal Value @14x</t>
  </si>
  <si>
    <t>Terminal Value @10.00%</t>
  </si>
  <si>
    <t>Terminal Value @12.00%</t>
  </si>
  <si>
    <t>FV of Terminal Value (Perpetuity)</t>
  </si>
  <si>
    <t>PV of Terminal Value (perpetuity)</t>
  </si>
  <si>
    <t xml:space="preserve">Total Enterprise Value </t>
  </si>
  <si>
    <t xml:space="preserve">Percentage of Enterprise Value </t>
  </si>
  <si>
    <t xml:space="preserve">EVITDA Multiple </t>
  </si>
  <si>
    <t xml:space="preserve">Perpetuity Method </t>
  </si>
  <si>
    <t>EBITDA Method</t>
  </si>
  <si>
    <t>Cash flow % of TEV</t>
  </si>
  <si>
    <t>TV % of TEV</t>
  </si>
  <si>
    <t xml:space="preserve">Total Equity Value </t>
  </si>
  <si>
    <t>Total Equity Value Per Share</t>
  </si>
  <si>
    <t>IRR ANALYSIS</t>
  </si>
  <si>
    <t>Exit year</t>
  </si>
  <si>
    <t xml:space="preserve">Equity Allocation </t>
  </si>
  <si>
    <t xml:space="preserve">Investment </t>
  </si>
  <si>
    <t>UnDiluted</t>
  </si>
  <si>
    <t>Allocation</t>
  </si>
  <si>
    <t>Diluted</t>
  </si>
  <si>
    <t>Allocation on Exit</t>
  </si>
  <si>
    <t>EBITDA Exit Multiple</t>
  </si>
  <si>
    <t>EBITDA (Exit Year)</t>
  </si>
  <si>
    <t>Exit EnterpriseValue</t>
  </si>
  <si>
    <t>Less:Debt</t>
  </si>
  <si>
    <t>Add:cash</t>
  </si>
  <si>
    <t>Equity Value</t>
  </si>
  <si>
    <t xml:space="preserve">CASH FLOW &amp; IRR ANALYSIS </t>
  </si>
  <si>
    <t>Interest</t>
  </si>
  <si>
    <t xml:space="preserve">Principal Payment </t>
  </si>
  <si>
    <t>Particupation on Exit</t>
  </si>
  <si>
    <t>IRR</t>
  </si>
  <si>
    <t>Dividend</t>
  </si>
  <si>
    <t xml:space="preserve">RATIO ANALYSIS </t>
  </si>
  <si>
    <t>Debt Ratio</t>
  </si>
  <si>
    <t>Debt To Equity Ratio</t>
  </si>
  <si>
    <t>Debt To EBITDA</t>
  </si>
  <si>
    <t>Debt To EBITDA-CapEx</t>
  </si>
  <si>
    <t>Net Debt To EBITDA</t>
  </si>
  <si>
    <t>EBITDA To Total Interest</t>
  </si>
  <si>
    <t>EBITDA To Senior Interest</t>
  </si>
  <si>
    <t>(EBITDA - Capex) / Total Interest</t>
  </si>
  <si>
    <t>(EBITDA - Capex) / Senior Interest</t>
  </si>
  <si>
    <t>EBIT / Senior Interest</t>
  </si>
  <si>
    <t>EBIT / Total Interest</t>
  </si>
  <si>
    <t>Current Ratio</t>
  </si>
  <si>
    <t>Quick Ratio</t>
  </si>
  <si>
    <t>Cash Ratio</t>
  </si>
  <si>
    <t xml:space="preserve">Inventory Turnover </t>
  </si>
  <si>
    <t xml:space="preserve">Reciveables Turnover </t>
  </si>
  <si>
    <t xml:space="preserve">Payable Turnover </t>
  </si>
  <si>
    <t>Inventory  Holding</t>
  </si>
  <si>
    <t>Days Receivable</t>
  </si>
  <si>
    <t xml:space="preserve">Days Payable </t>
  </si>
  <si>
    <t>EBITDA Margin</t>
  </si>
  <si>
    <t>EBIT Margin</t>
  </si>
  <si>
    <t>Net Profit</t>
  </si>
  <si>
    <t>In crores</t>
  </si>
  <si>
    <t>Period</t>
  </si>
  <si>
    <t xml:space="preserve">Description </t>
  </si>
  <si>
    <t xml:space="preserve">HORIZONTAL ANALYSIS </t>
  </si>
  <si>
    <t xml:space="preserve">Fixed Assets </t>
  </si>
  <si>
    <t>LIABILITIES &amp; EQUITY :</t>
  </si>
  <si>
    <t xml:space="preserve">VERTICAL ANALYSIS </t>
  </si>
  <si>
    <t>Gross Profit Margin</t>
  </si>
  <si>
    <t>EBIT Magin</t>
  </si>
  <si>
    <t xml:space="preserve">D&amp;A Expense </t>
  </si>
  <si>
    <t>Other Ratios</t>
  </si>
  <si>
    <t>Reciveables turnover :</t>
  </si>
  <si>
    <t xml:space="preserve">Average reciveables </t>
  </si>
  <si>
    <t xml:space="preserve">Receivables Turnover </t>
  </si>
  <si>
    <t>Receivables Days</t>
  </si>
  <si>
    <t>Inventory Turnover  :</t>
  </si>
  <si>
    <t xml:space="preserve">Average Inventory </t>
  </si>
  <si>
    <t>Inventory Days</t>
  </si>
  <si>
    <t>Payable Turnover :</t>
  </si>
  <si>
    <t xml:space="preserve">Average Payable </t>
  </si>
  <si>
    <t xml:space="preserve">Payables Turnover </t>
  </si>
  <si>
    <t>Payables Days</t>
  </si>
  <si>
    <t>Other Info</t>
  </si>
  <si>
    <t xml:space="preserve">Other Financial Assets % of Revenue </t>
  </si>
  <si>
    <t xml:space="preserve">Other Current Assets % of OP Expense </t>
  </si>
  <si>
    <t xml:space="preserve">Other Non Current Financial Assets </t>
  </si>
  <si>
    <t>Other Non Current Assets</t>
  </si>
  <si>
    <t>Capex as % of Revenue</t>
  </si>
  <si>
    <t xml:space="preserve">Other Current Liabilities % of OP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</si>
</sst>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&quot;₹&quot;\ #,##0.00"/>
    <numFmt numFmtId="167" formatCode="_ * #,##0.00_ ;_ * \-#,##0.00_ ;_ * &quot;-&quot;????_ ;_ @_ "/>
    <numFmt numFmtId="168" formatCode="_ * #,##0.000_ ;_ * \-#,##0.000_ ;_ * &quot;-&quot;???_ ;_ @_ "/>
    <numFmt numFmtId="169" formatCode="&quot;₹&quot;\ #,##0.000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charset val="1"/>
    </font>
    <font>
      <i/>
      <sz val="11"/>
      <color theme="2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Arial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charset val="1"/>
    </font>
    <font>
      <sz val="11"/>
      <color rgb="FF000000"/>
      <name val="Arial"/>
      <charset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indexed="64"/>
      </bottom>
      <diagonal/>
    </border>
    <border>
      <left style="dashed">
        <color rgb="FF000000"/>
      </left>
      <right/>
      <top/>
      <bottom style="dashed">
        <color indexed="64"/>
      </bottom>
      <diagonal/>
    </border>
    <border>
      <left style="dashed">
        <color rgb="FF000000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indexed="64"/>
      </bottom>
      <diagonal/>
    </border>
    <border>
      <left/>
      <right style="dashed">
        <color rgb="FF000000"/>
      </right>
      <top style="dashed">
        <color indexed="64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43" fontId="0" fillId="0" borderId="0" xfId="1" applyFont="1"/>
    <xf numFmtId="9" fontId="0" fillId="0" borderId="0" xfId="3" applyFont="1"/>
    <xf numFmtId="44" fontId="0" fillId="0" borderId="0" xfId="2" applyFont="1" applyBorder="1"/>
    <xf numFmtId="43" fontId="0" fillId="0" borderId="2" xfId="1" applyFont="1" applyBorder="1"/>
    <xf numFmtId="4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8" fillId="7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/>
    <xf numFmtId="0" fontId="10" fillId="7" borderId="0" xfId="0" applyFont="1" applyFill="1"/>
    <xf numFmtId="0" fontId="6" fillId="0" borderId="0" xfId="0" applyFont="1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43" fontId="7" fillId="7" borderId="0" xfId="1" applyFont="1" applyFill="1" applyBorder="1" applyAlignment="1">
      <alignment horizontal="right" vertical="center"/>
    </xf>
    <xf numFmtId="43" fontId="0" fillId="0" borderId="0" xfId="1" applyFont="1" applyAlignment="1">
      <alignment horizontal="right"/>
    </xf>
    <xf numFmtId="44" fontId="0" fillId="0" borderId="0" xfId="2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/>
    <xf numFmtId="10" fontId="5" fillId="0" borderId="0" xfId="0" applyNumberFormat="1" applyFont="1"/>
    <xf numFmtId="10" fontId="5" fillId="0" borderId="0" xfId="0" applyNumberFormat="1" applyFont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9" fillId="0" borderId="10" xfId="0" applyFont="1" applyBorder="1"/>
    <xf numFmtId="0" fontId="0" fillId="0" borderId="11" xfId="0" applyBorder="1"/>
    <xf numFmtId="0" fontId="0" fillId="0" borderId="10" xfId="0" applyBorder="1"/>
    <xf numFmtId="10" fontId="0" fillId="0" borderId="11" xfId="0" applyNumberFormat="1" applyBorder="1"/>
    <xf numFmtId="0" fontId="8" fillId="0" borderId="10" xfId="0" applyFont="1" applyBorder="1"/>
    <xf numFmtId="10" fontId="5" fillId="0" borderId="11" xfId="0" applyNumberFormat="1" applyFont="1" applyBorder="1"/>
    <xf numFmtId="0" fontId="0" fillId="0" borderId="10" xfId="0" applyBorder="1" applyAlignment="1">
      <alignment horizontal="left"/>
    </xf>
    <xf numFmtId="0" fontId="8" fillId="0" borderId="10" xfId="0" applyFont="1" applyBorder="1" applyAlignment="1">
      <alignment horizontal="left"/>
    </xf>
    <xf numFmtId="43" fontId="0" fillId="0" borderId="11" xfId="0" applyNumberFormat="1" applyBorder="1"/>
    <xf numFmtId="0" fontId="8" fillId="0" borderId="12" xfId="0" applyFont="1" applyBorder="1" applyAlignment="1">
      <alignment horizontal="left"/>
    </xf>
    <xf numFmtId="0" fontId="5" fillId="5" borderId="10" xfId="0" applyFont="1" applyFill="1" applyBorder="1"/>
    <xf numFmtId="0" fontId="5" fillId="0" borderId="10" xfId="0" applyFont="1" applyBorder="1"/>
    <xf numFmtId="0" fontId="5" fillId="5" borderId="10" xfId="0" applyFont="1" applyFill="1" applyBorder="1" applyAlignment="1">
      <alignment horizontal="left" wrapText="1"/>
    </xf>
    <xf numFmtId="0" fontId="5" fillId="0" borderId="13" xfId="0" applyFont="1" applyBorder="1"/>
    <xf numFmtId="10" fontId="5" fillId="0" borderId="13" xfId="0" applyNumberFormat="1" applyFont="1" applyBorder="1"/>
    <xf numFmtId="10" fontId="5" fillId="0" borderId="14" xfId="0" applyNumberFormat="1" applyFont="1" applyBorder="1"/>
    <xf numFmtId="0" fontId="14" fillId="8" borderId="0" xfId="0" applyFont="1" applyFill="1" applyAlignment="1">
      <alignment readingOrder="1"/>
    </xf>
    <xf numFmtId="0" fontId="0" fillId="0" borderId="18" xfId="0" applyBorder="1"/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43" fontId="8" fillId="0" borderId="0" xfId="1" applyFont="1" applyBorder="1" applyAlignment="1">
      <alignment horizontal="right"/>
    </xf>
    <xf numFmtId="43" fontId="0" fillId="0" borderId="0" xfId="1" applyFont="1" applyBorder="1" applyAlignment="1">
      <alignment horizontal="right"/>
    </xf>
    <xf numFmtId="0" fontId="15" fillId="0" borderId="10" xfId="0" applyFont="1" applyBorder="1" applyAlignment="1">
      <alignment horizontal="left"/>
    </xf>
    <xf numFmtId="10" fontId="15" fillId="0" borderId="0" xfId="1" applyNumberFormat="1" applyFont="1" applyBorder="1" applyAlignment="1">
      <alignment horizontal="right"/>
    </xf>
    <xf numFmtId="10" fontId="15" fillId="0" borderId="11" xfId="1" applyNumberFormat="1" applyFont="1" applyBorder="1" applyAlignment="1">
      <alignment horizontal="right"/>
    </xf>
    <xf numFmtId="43" fontId="8" fillId="0" borderId="11" xfId="1" applyFont="1" applyBorder="1" applyAlignment="1">
      <alignment horizontal="right"/>
    </xf>
    <xf numFmtId="43" fontId="15" fillId="0" borderId="0" xfId="1" applyFont="1" applyBorder="1" applyAlignment="1">
      <alignment horizontal="right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/>
    <xf numFmtId="10" fontId="15" fillId="0" borderId="10" xfId="1" applyNumberFormat="1" applyFont="1" applyBorder="1" applyAlignment="1">
      <alignment horizontal="right"/>
    </xf>
    <xf numFmtId="43" fontId="8" fillId="0" borderId="10" xfId="1" applyFont="1" applyBorder="1" applyAlignment="1">
      <alignment horizontal="right"/>
    </xf>
    <xf numFmtId="43" fontId="15" fillId="0" borderId="10" xfId="1" applyFont="1" applyBorder="1" applyAlignment="1">
      <alignment horizontal="right"/>
    </xf>
    <xf numFmtId="43" fontId="7" fillId="0" borderId="0" xfId="0" applyNumberFormat="1" applyFont="1" applyAlignment="1">
      <alignment horizontal="right" readingOrder="1"/>
    </xf>
    <xf numFmtId="0" fontId="4" fillId="10" borderId="7" xfId="0" applyFont="1" applyFill="1" applyBorder="1"/>
    <xf numFmtId="0" fontId="0" fillId="0" borderId="9" xfId="0" applyBorder="1"/>
    <xf numFmtId="166" fontId="0" fillId="0" borderId="2" xfId="2" applyNumberFormat="1" applyFont="1" applyBorder="1"/>
    <xf numFmtId="166" fontId="0" fillId="0" borderId="4" xfId="2" applyNumberFormat="1" applyFont="1" applyBorder="1"/>
    <xf numFmtId="9" fontId="0" fillId="0" borderId="23" xfId="3" applyFont="1" applyBorder="1"/>
    <xf numFmtId="9" fontId="0" fillId="0" borderId="0" xfId="3" applyFont="1" applyBorder="1"/>
    <xf numFmtId="0" fontId="4" fillId="0" borderId="0" xfId="0" applyFont="1"/>
    <xf numFmtId="9" fontId="0" fillId="0" borderId="0" xfId="3" applyFont="1" applyBorder="1" applyAlignment="1">
      <alignment horizontal="right"/>
    </xf>
    <xf numFmtId="0" fontId="4" fillId="2" borderId="22" xfId="0" applyFont="1" applyFill="1" applyBorder="1" applyAlignment="1">
      <alignment horizontal="right"/>
    </xf>
    <xf numFmtId="169" fontId="0" fillId="0" borderId="0" xfId="0" applyNumberFormat="1"/>
    <xf numFmtId="0" fontId="18" fillId="6" borderId="15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4" fillId="2" borderId="19" xfId="0" applyFont="1" applyFill="1" applyBorder="1"/>
    <xf numFmtId="0" fontId="4" fillId="2" borderId="22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vertical="center" wrapText="1" readingOrder="1"/>
    </xf>
    <xf numFmtId="0" fontId="17" fillId="6" borderId="9" xfId="0" applyFont="1" applyFill="1" applyBorder="1" applyAlignment="1">
      <alignment vertical="center" wrapText="1" readingOrder="1"/>
    </xf>
    <xf numFmtId="10" fontId="5" fillId="0" borderId="11" xfId="0" applyNumberFormat="1" applyFont="1" applyBorder="1" applyAlignment="1">
      <alignment wrapText="1"/>
    </xf>
    <xf numFmtId="0" fontId="12" fillId="0" borderId="10" xfId="0" applyFont="1" applyBorder="1" applyAlignment="1">
      <alignment horizontal="left"/>
    </xf>
    <xf numFmtId="10" fontId="12" fillId="0" borderId="0" xfId="0" applyNumberFormat="1" applyFont="1"/>
    <xf numFmtId="10" fontId="12" fillId="0" borderId="11" xfId="0" applyNumberFormat="1" applyFont="1" applyBorder="1"/>
    <xf numFmtId="0" fontId="13" fillId="0" borderId="10" xfId="0" applyFont="1" applyBorder="1"/>
    <xf numFmtId="2" fontId="0" fillId="0" borderId="11" xfId="0" applyNumberFormat="1" applyBorder="1"/>
    <xf numFmtId="2" fontId="5" fillId="0" borderId="0" xfId="0" applyNumberFormat="1" applyFont="1"/>
    <xf numFmtId="2" fontId="5" fillId="0" borderId="11" xfId="0" applyNumberFormat="1" applyFont="1" applyBorder="1"/>
    <xf numFmtId="167" fontId="0" fillId="0" borderId="0" xfId="0" applyNumberFormat="1"/>
    <xf numFmtId="167" fontId="0" fillId="0" borderId="11" xfId="0" applyNumberFormat="1" applyBorder="1"/>
    <xf numFmtId="43" fontId="5" fillId="0" borderId="0" xfId="0" applyNumberFormat="1" applyFont="1"/>
    <xf numFmtId="43" fontId="5" fillId="0" borderId="11" xfId="0" applyNumberFormat="1" applyFont="1" applyBorder="1"/>
    <xf numFmtId="168" fontId="0" fillId="0" borderId="0" xfId="0" applyNumberFormat="1"/>
    <xf numFmtId="168" fontId="0" fillId="0" borderId="11" xfId="0" applyNumberFormat="1" applyBorder="1"/>
    <xf numFmtId="0" fontId="0" fillId="0" borderId="12" xfId="0" applyBorder="1" applyAlignment="1">
      <alignment wrapText="1"/>
    </xf>
    <xf numFmtId="10" fontId="0" fillId="0" borderId="13" xfId="0" applyNumberFormat="1" applyBorder="1"/>
    <xf numFmtId="10" fontId="0" fillId="0" borderId="14" xfId="0" applyNumberFormat="1" applyBorder="1"/>
    <xf numFmtId="0" fontId="5" fillId="5" borderId="7" xfId="0" applyFont="1" applyFill="1" applyBorder="1"/>
    <xf numFmtId="0" fontId="0" fillId="0" borderId="8" xfId="0" applyBorder="1"/>
    <xf numFmtId="0" fontId="19" fillId="3" borderId="10" xfId="0" applyFont="1" applyFill="1" applyBorder="1"/>
    <xf numFmtId="0" fontId="19" fillId="3" borderId="0" xfId="0" applyFont="1" applyFill="1"/>
    <xf numFmtId="0" fontId="0" fillId="2" borderId="4" xfId="0" applyFill="1" applyBorder="1"/>
    <xf numFmtId="0" fontId="18" fillId="6" borderId="16" xfId="0" applyFont="1" applyFill="1" applyBorder="1" applyAlignment="1">
      <alignment wrapText="1"/>
    </xf>
    <xf numFmtId="0" fontId="18" fillId="0" borderId="0" xfId="0" applyFont="1" applyAlignment="1">
      <alignment horizontal="left" wrapText="1"/>
    </xf>
    <xf numFmtId="0" fontId="0" fillId="6" borderId="9" xfId="0" applyFill="1" applyBorder="1"/>
    <xf numFmtId="0" fontId="19" fillId="3" borderId="1" xfId="0" applyFont="1" applyFill="1" applyBorder="1"/>
    <xf numFmtId="166" fontId="0" fillId="0" borderId="2" xfId="0" applyNumberFormat="1" applyBorder="1"/>
    <xf numFmtId="0" fontId="19" fillId="5" borderId="17" xfId="0" applyFont="1" applyFill="1" applyBorder="1"/>
    <xf numFmtId="44" fontId="0" fillId="0" borderId="18" xfId="0" applyNumberFormat="1" applyBorder="1"/>
    <xf numFmtId="44" fontId="0" fillId="0" borderId="0" xfId="0" applyNumberFormat="1"/>
    <xf numFmtId="0" fontId="0" fillId="5" borderId="10" xfId="0" applyFill="1" applyBorder="1"/>
    <xf numFmtId="166" fontId="0" fillId="0" borderId="10" xfId="0" applyNumberFormat="1" applyBorder="1"/>
    <xf numFmtId="166" fontId="0" fillId="0" borderId="11" xfId="0" applyNumberFormat="1" applyBorder="1"/>
    <xf numFmtId="9" fontId="0" fillId="0" borderId="2" xfId="0" applyNumberFormat="1" applyBorder="1"/>
    <xf numFmtId="0" fontId="20" fillId="0" borderId="17" xfId="0" applyFont="1" applyBorder="1"/>
    <xf numFmtId="10" fontId="0" fillId="0" borderId="11" xfId="0" applyNumberFormat="1" applyBorder="1" applyAlignment="1">
      <alignment horizontal="right"/>
    </xf>
    <xf numFmtId="0" fontId="20" fillId="8" borderId="17" xfId="0" applyFont="1" applyFill="1" applyBorder="1" applyAlignment="1">
      <alignment wrapText="1" readingOrder="1"/>
    </xf>
    <xf numFmtId="4" fontId="0" fillId="0" borderId="2" xfId="0" applyNumberFormat="1" applyBorder="1"/>
    <xf numFmtId="0" fontId="18" fillId="5" borderId="1" xfId="0" applyFont="1" applyFill="1" applyBorder="1"/>
    <xf numFmtId="0" fontId="21" fillId="8" borderId="17" xfId="0" applyFont="1" applyFill="1" applyBorder="1" applyAlignment="1">
      <alignment readingOrder="1"/>
    </xf>
    <xf numFmtId="0" fontId="0" fillId="0" borderId="2" xfId="0" applyBorder="1"/>
    <xf numFmtId="0" fontId="0" fillId="0" borderId="17" xfId="0" applyBorder="1"/>
    <xf numFmtId="0" fontId="0" fillId="0" borderId="11" xfId="0" applyBorder="1" applyAlignment="1">
      <alignment horizontal="right"/>
    </xf>
    <xf numFmtId="166" fontId="0" fillId="0" borderId="24" xfId="0" applyNumberFormat="1" applyBorder="1"/>
    <xf numFmtId="166" fontId="0" fillId="0" borderId="27" xfId="0" applyNumberFormat="1" applyBorder="1"/>
    <xf numFmtId="2" fontId="0" fillId="0" borderId="11" xfId="0" applyNumberFormat="1" applyBorder="1" applyAlignment="1">
      <alignment horizontal="right"/>
    </xf>
    <xf numFmtId="43" fontId="0" fillId="0" borderId="11" xfId="0" applyNumberFormat="1" applyBorder="1" applyAlignment="1">
      <alignment horizontal="right"/>
    </xf>
    <xf numFmtId="0" fontId="18" fillId="5" borderId="3" xfId="0" applyFont="1" applyFill="1" applyBorder="1"/>
    <xf numFmtId="166" fontId="0" fillId="0" borderId="0" xfId="0" applyNumberFormat="1"/>
    <xf numFmtId="0" fontId="20" fillId="9" borderId="17" xfId="0" applyFont="1" applyFill="1" applyBorder="1" applyAlignment="1">
      <alignment wrapText="1" readingOrder="1"/>
    </xf>
    <xf numFmtId="0" fontId="20" fillId="0" borderId="18" xfId="0" applyFont="1" applyBorder="1" applyAlignment="1">
      <alignment readingOrder="1"/>
    </xf>
    <xf numFmtId="0" fontId="20" fillId="8" borderId="18" xfId="0" applyFont="1" applyFill="1" applyBorder="1" applyAlignment="1">
      <alignment readingOrder="1"/>
    </xf>
    <xf numFmtId="0" fontId="18" fillId="4" borderId="10" xfId="0" applyFont="1" applyFill="1" applyBorder="1"/>
    <xf numFmtId="165" fontId="0" fillId="0" borderId="23" xfId="0" applyNumberFormat="1" applyBorder="1"/>
    <xf numFmtId="165" fontId="0" fillId="0" borderId="0" xfId="0" applyNumberFormat="1"/>
    <xf numFmtId="10" fontId="0" fillId="0" borderId="23" xfId="0" applyNumberFormat="1" applyBorder="1" applyAlignment="1">
      <alignment horizontal="right"/>
    </xf>
    <xf numFmtId="0" fontId="20" fillId="8" borderId="17" xfId="0" applyFont="1" applyFill="1" applyBorder="1" applyAlignment="1">
      <alignment readingOrder="1"/>
    </xf>
    <xf numFmtId="0" fontId="20" fillId="9" borderId="17" xfId="0" applyFont="1" applyFill="1" applyBorder="1" applyAlignment="1">
      <alignment readingOrder="1"/>
    </xf>
    <xf numFmtId="10" fontId="0" fillId="0" borderId="26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2" xfId="0" applyBorder="1"/>
    <xf numFmtId="0" fontId="19" fillId="3" borderId="20" xfId="0" applyFont="1" applyFill="1" applyBorder="1"/>
    <xf numFmtId="0" fontId="18" fillId="5" borderId="21" xfId="0" applyFont="1" applyFill="1" applyBorder="1"/>
    <xf numFmtId="165" fontId="0" fillId="0" borderId="25" xfId="0" applyNumberFormat="1" applyBorder="1"/>
    <xf numFmtId="0" fontId="0" fillId="0" borderId="0" xfId="0" applyAlignment="1">
      <alignment wrapText="1"/>
    </xf>
    <xf numFmtId="0" fontId="4" fillId="2" borderId="3" xfId="0" applyFont="1" applyFill="1" applyBorder="1" applyAlignment="1">
      <alignment vertical="center" wrapText="1"/>
    </xf>
    <xf numFmtId="9" fontId="0" fillId="0" borderId="0" xfId="0" applyNumberFormat="1"/>
    <xf numFmtId="43" fontId="0" fillId="0" borderId="0" xfId="1" applyFont="1" applyBorder="1"/>
    <xf numFmtId="166" fontId="0" fillId="0" borderId="0" xfId="2" applyNumberFormat="1" applyFont="1" applyBorder="1"/>
    <xf numFmtId="0" fontId="0" fillId="2" borderId="28" xfId="0" applyFill="1" applyBorder="1"/>
    <xf numFmtId="44" fontId="0" fillId="0" borderId="11" xfId="2" applyFont="1" applyBorder="1"/>
    <xf numFmtId="166" fontId="0" fillId="0" borderId="29" xfId="0" applyNumberFormat="1" applyBorder="1"/>
    <xf numFmtId="0" fontId="0" fillId="0" borderId="30" xfId="0" applyBorder="1"/>
    <xf numFmtId="165" fontId="0" fillId="0" borderId="30" xfId="0" applyNumberFormat="1" applyBorder="1"/>
    <xf numFmtId="10" fontId="0" fillId="0" borderId="0" xfId="0" applyNumberFormat="1" applyAlignment="1">
      <alignment wrapText="1"/>
    </xf>
    <xf numFmtId="0" fontId="22" fillId="0" borderId="0" xfId="0" applyFont="1" applyAlignment="1">
      <alignment vertical="center"/>
    </xf>
    <xf numFmtId="10" fontId="7" fillId="7" borderId="11" xfId="1" applyNumberFormat="1" applyFont="1" applyFill="1" applyBorder="1" applyAlignment="1">
      <alignment horizontal="right"/>
    </xf>
    <xf numFmtId="10" fontId="7" fillId="7" borderId="11" xfId="1" applyNumberFormat="1" applyFont="1" applyFill="1" applyBorder="1" applyAlignment="1">
      <alignment horizontal="right" vertical="center"/>
    </xf>
    <xf numFmtId="0" fontId="23" fillId="0" borderId="0" xfId="0" applyFont="1"/>
    <xf numFmtId="165" fontId="0" fillId="0" borderId="18" xfId="0" applyNumberFormat="1" applyBorder="1"/>
    <xf numFmtId="0" fontId="20" fillId="8" borderId="8" xfId="0" applyFont="1" applyFill="1" applyBorder="1" applyAlignment="1">
      <alignment readingOrder="1"/>
    </xf>
    <xf numFmtId="9" fontId="0" fillId="0" borderId="8" xfId="0" applyNumberFormat="1" applyBorder="1"/>
    <xf numFmtId="165" fontId="0" fillId="0" borderId="18" xfId="0" applyNumberFormat="1" applyBorder="1" applyAlignment="1">
      <alignment horizontal="right"/>
    </xf>
    <xf numFmtId="165" fontId="20" fillId="8" borderId="18" xfId="0" applyNumberFormat="1" applyFont="1" applyFill="1" applyBorder="1" applyAlignment="1">
      <alignment readingOrder="1"/>
    </xf>
    <xf numFmtId="0" fontId="4" fillId="2" borderId="7" xfId="0" applyFont="1" applyFill="1" applyBorder="1" applyAlignment="1">
      <alignment wrapText="1"/>
    </xf>
    <xf numFmtId="0" fontId="0" fillId="2" borderId="9" xfId="0" applyFill="1" applyBorder="1"/>
    <xf numFmtId="0" fontId="5" fillId="5" borderId="24" xfId="0" applyFont="1" applyFill="1" applyBorder="1"/>
    <xf numFmtId="0" fontId="20" fillId="8" borderId="10" xfId="0" applyFont="1" applyFill="1" applyBorder="1" applyAlignment="1">
      <alignment wrapText="1" readingOrder="1"/>
    </xf>
    <xf numFmtId="43" fontId="0" fillId="0" borderId="10" xfId="0" applyNumberFormat="1" applyBorder="1" applyAlignment="1">
      <alignment horizontal="right"/>
    </xf>
    <xf numFmtId="164" fontId="0" fillId="0" borderId="0" xfId="0" applyNumberFormat="1"/>
    <xf numFmtId="2" fontId="7" fillId="7" borderId="0" xfId="1" applyNumberFormat="1" applyFont="1" applyFill="1" applyBorder="1" applyAlignment="1">
      <alignment horizontal="right" vertical="center"/>
    </xf>
    <xf numFmtId="166" fontId="0" fillId="0" borderId="11" xfId="0" applyNumberFormat="1" applyBorder="1" applyAlignment="1">
      <alignment horizontal="right"/>
    </xf>
    <xf numFmtId="43" fontId="0" fillId="0" borderId="0" xfId="0" applyNumberFormat="1" applyAlignment="1">
      <alignment wrapText="1"/>
    </xf>
    <xf numFmtId="0" fontId="8" fillId="6" borderId="7" xfId="0" applyFont="1" applyFill="1" applyBorder="1"/>
    <xf numFmtId="43" fontId="0" fillId="0" borderId="14" xfId="0" applyNumberFormat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0" fillId="0" borderId="0" xfId="0" applyNumberFormat="1" applyAlignment="1">
      <alignment horizontal="right"/>
    </xf>
    <xf numFmtId="0" fontId="11" fillId="0" borderId="0" xfId="0" applyFont="1"/>
    <xf numFmtId="0" fontId="15" fillId="0" borderId="10" xfId="0" applyFont="1" applyBorder="1"/>
    <xf numFmtId="10" fontId="15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15" fillId="0" borderId="13" xfId="0" applyFont="1" applyBorder="1" applyAlignment="1">
      <alignment horizontal="right"/>
    </xf>
    <xf numFmtId="10" fontId="15" fillId="0" borderId="11" xfId="0" applyNumberFormat="1" applyFont="1" applyBorder="1" applyAlignment="1">
      <alignment horizontal="right"/>
    </xf>
    <xf numFmtId="2" fontId="7" fillId="0" borderId="11" xfId="0" applyNumberFormat="1" applyFont="1" applyBorder="1" applyAlignment="1">
      <alignment horizontal="right"/>
    </xf>
    <xf numFmtId="0" fontId="7" fillId="0" borderId="10" xfId="0" applyFont="1" applyBorder="1"/>
    <xf numFmtId="0" fontId="8" fillId="0" borderId="12" xfId="0" applyFont="1" applyBorder="1"/>
    <xf numFmtId="43" fontId="8" fillId="0" borderId="13" xfId="0" applyNumberFormat="1" applyFont="1" applyBorder="1"/>
    <xf numFmtId="43" fontId="8" fillId="0" borderId="14" xfId="0" applyNumberFormat="1" applyFont="1" applyBorder="1"/>
    <xf numFmtId="10" fontId="15" fillId="0" borderId="10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3" fontId="8" fillId="0" borderId="12" xfId="0" applyNumberFormat="1" applyFont="1" applyBorder="1"/>
    <xf numFmtId="43" fontId="8" fillId="0" borderId="13" xfId="0" applyNumberFormat="1" applyFont="1" applyBorder="1" applyAlignment="1">
      <alignment horizontal="right"/>
    </xf>
    <xf numFmtId="0" fontId="8" fillId="7" borderId="10" xfId="0" applyFont="1" applyFill="1" applyBorder="1"/>
    <xf numFmtId="0" fontId="8" fillId="7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43" fontId="5" fillId="0" borderId="0" xfId="1" applyFont="1" applyBorder="1" applyAlignment="1">
      <alignment horizontal="right"/>
    </xf>
    <xf numFmtId="2" fontId="5" fillId="0" borderId="0" xfId="1" applyNumberFormat="1" applyFont="1" applyBorder="1" applyAlignment="1">
      <alignment horizontal="right"/>
    </xf>
    <xf numFmtId="43" fontId="5" fillId="0" borderId="11" xfId="1" applyFont="1" applyBorder="1" applyAlignment="1">
      <alignment horizontal="right"/>
    </xf>
    <xf numFmtId="2" fontId="7" fillId="7" borderId="11" xfId="1" applyNumberFormat="1" applyFont="1" applyFill="1" applyBorder="1" applyAlignment="1">
      <alignment horizontal="right" vertical="center"/>
    </xf>
    <xf numFmtId="43" fontId="7" fillId="7" borderId="11" xfId="1" applyFont="1" applyFill="1" applyBorder="1" applyAlignment="1">
      <alignment horizontal="right" vertical="center"/>
    </xf>
    <xf numFmtId="43" fontId="0" fillId="0" borderId="11" xfId="1" applyFont="1" applyBorder="1" applyAlignment="1">
      <alignment horizontal="right"/>
    </xf>
    <xf numFmtId="2" fontId="5" fillId="0" borderId="11" xfId="1" applyNumberFormat="1" applyFont="1" applyBorder="1" applyAlignment="1">
      <alignment horizontal="right"/>
    </xf>
    <xf numFmtId="43" fontId="5" fillId="0" borderId="13" xfId="1" applyFont="1" applyBorder="1" applyAlignment="1">
      <alignment horizontal="right"/>
    </xf>
    <xf numFmtId="2" fontId="5" fillId="0" borderId="13" xfId="1" applyNumberFormat="1" applyFont="1" applyBorder="1" applyAlignment="1">
      <alignment horizontal="right"/>
    </xf>
    <xf numFmtId="43" fontId="5" fillId="0" borderId="14" xfId="1" applyFont="1" applyBorder="1" applyAlignment="1">
      <alignment horizontal="right"/>
    </xf>
    <xf numFmtId="0" fontId="4" fillId="10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43" fontId="7" fillId="7" borderId="10" xfId="1" applyFont="1" applyFill="1" applyBorder="1" applyAlignment="1">
      <alignment horizontal="right" vertical="center"/>
    </xf>
    <xf numFmtId="43" fontId="5" fillId="0" borderId="10" xfId="1" applyFont="1" applyBorder="1" applyAlignment="1">
      <alignment horizontal="right"/>
    </xf>
    <xf numFmtId="0" fontId="0" fillId="0" borderId="8" xfId="0" applyBorder="1" applyAlignment="1">
      <alignment horizontal="right"/>
    </xf>
    <xf numFmtId="0" fontId="8" fillId="7" borderId="11" xfId="0" applyFont="1" applyFill="1" applyBorder="1" applyAlignment="1">
      <alignment horizontal="center" vertical="center"/>
    </xf>
    <xf numFmtId="2" fontId="5" fillId="0" borderId="14" xfId="1" applyNumberFormat="1" applyFont="1" applyBorder="1" applyAlignment="1">
      <alignment horizontal="right"/>
    </xf>
    <xf numFmtId="0" fontId="4" fillId="10" borderId="11" xfId="0" applyFont="1" applyFill="1" applyBorder="1" applyAlignment="1">
      <alignment horizontal="center" vertical="center"/>
    </xf>
    <xf numFmtId="0" fontId="16" fillId="11" borderId="8" xfId="0" applyFont="1" applyFill="1" applyBorder="1"/>
    <xf numFmtId="0" fontId="23" fillId="0" borderId="10" xfId="0" applyFont="1" applyBorder="1"/>
    <xf numFmtId="43" fontId="0" fillId="0" borderId="10" xfId="0" applyNumberFormat="1" applyBorder="1"/>
    <xf numFmtId="43" fontId="5" fillId="0" borderId="10" xfId="0" applyNumberFormat="1" applyFont="1" applyBorder="1"/>
    <xf numFmtId="0" fontId="0" fillId="0" borderId="10" xfId="0" applyBorder="1" applyAlignment="1">
      <alignment wrapText="1"/>
    </xf>
    <xf numFmtId="43" fontId="0" fillId="0" borderId="13" xfId="0" applyNumberFormat="1" applyBorder="1"/>
    <xf numFmtId="0" fontId="25" fillId="10" borderId="7" xfId="0" applyFont="1" applyFill="1" applyBorder="1"/>
    <xf numFmtId="0" fontId="4" fillId="10" borderId="0" xfId="0" applyFont="1" applyFill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16" fillId="11" borderId="7" xfId="0" applyFont="1" applyFill="1" applyBorder="1" applyAlignment="1">
      <alignment wrapText="1"/>
    </xf>
    <xf numFmtId="0" fontId="16" fillId="11" borderId="8" xfId="0" applyFont="1" applyFill="1" applyBorder="1" applyAlignment="1">
      <alignment wrapText="1"/>
    </xf>
    <xf numFmtId="0" fontId="5" fillId="0" borderId="12" xfId="0" applyFont="1" applyBorder="1"/>
    <xf numFmtId="43" fontId="5" fillId="0" borderId="13" xfId="0" applyNumberFormat="1" applyFont="1" applyBorder="1" applyAlignment="1">
      <alignment horizontal="right"/>
    </xf>
    <xf numFmtId="43" fontId="5" fillId="0" borderId="14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24" fillId="0" borderId="10" xfId="0" applyFont="1" applyBorder="1"/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4" fillId="11" borderId="7" xfId="0" applyFont="1" applyFill="1" applyBorder="1"/>
    <xf numFmtId="0" fontId="27" fillId="11" borderId="8" xfId="0" applyFont="1" applyFill="1" applyBorder="1"/>
    <xf numFmtId="0" fontId="0" fillId="11" borderId="8" xfId="0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4" fontId="0" fillId="0" borderId="11" xfId="0" applyNumberFormat="1" applyBorder="1"/>
    <xf numFmtId="0" fontId="5" fillId="0" borderId="0" xfId="0" applyFont="1" applyAlignment="1">
      <alignment wrapText="1"/>
    </xf>
    <xf numFmtId="43" fontId="5" fillId="0" borderId="0" xfId="0" applyNumberFormat="1" applyFont="1" applyAlignment="1">
      <alignment horizontal="right"/>
    </xf>
    <xf numFmtId="43" fontId="5" fillId="0" borderId="11" xfId="0" applyNumberFormat="1" applyFont="1" applyBorder="1" applyAlignment="1">
      <alignment horizontal="right"/>
    </xf>
    <xf numFmtId="43" fontId="5" fillId="0" borderId="13" xfId="0" applyNumberFormat="1" applyFont="1" applyBorder="1"/>
    <xf numFmtId="43" fontId="5" fillId="0" borderId="14" xfId="0" applyNumberFormat="1" applyFont="1" applyBorder="1"/>
    <xf numFmtId="0" fontId="27" fillId="10" borderId="8" xfId="0" applyFont="1" applyFill="1" applyBorder="1"/>
    <xf numFmtId="43" fontId="0" fillId="0" borderId="8" xfId="0" applyNumberFormat="1" applyBorder="1"/>
    <xf numFmtId="164" fontId="0" fillId="0" borderId="11" xfId="0" applyNumberForma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11" xfId="0" applyNumberFormat="1" applyFont="1" applyBorder="1" applyAlignment="1">
      <alignment horizontal="right"/>
    </xf>
    <xf numFmtId="0" fontId="0" fillId="0" borderId="13" xfId="0" applyBorder="1"/>
    <xf numFmtId="0" fontId="5" fillId="0" borderId="13" xfId="0" applyFont="1" applyBorder="1" applyAlignment="1">
      <alignment wrapText="1"/>
    </xf>
    <xf numFmtId="0" fontId="8" fillId="0" borderId="11" xfId="0" applyFon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25" xfId="0" applyBorder="1"/>
    <xf numFmtId="0" fontId="0" fillId="10" borderId="8" xfId="0" applyFill="1" applyBorder="1"/>
    <xf numFmtId="0" fontId="18" fillId="3" borderId="10" xfId="0" applyFont="1" applyFill="1" applyBorder="1"/>
    <xf numFmtId="9" fontId="0" fillId="0" borderId="13" xfId="0" applyNumberFormat="1" applyBorder="1"/>
    <xf numFmtId="2" fontId="5" fillId="0" borderId="14" xfId="0" applyNumberFormat="1" applyFont="1" applyBorder="1"/>
    <xf numFmtId="0" fontId="5" fillId="0" borderId="24" xfId="0" applyFont="1" applyBorder="1"/>
    <xf numFmtId="0" fontId="5" fillId="0" borderId="30" xfId="0" applyFont="1" applyBorder="1"/>
    <xf numFmtId="0" fontId="0" fillId="0" borderId="27" xfId="0" applyBorder="1"/>
    <xf numFmtId="0" fontId="0" fillId="5" borderId="0" xfId="0" applyFill="1"/>
    <xf numFmtId="0" fontId="5" fillId="5" borderId="12" xfId="0" applyFont="1" applyFill="1" applyBorder="1"/>
    <xf numFmtId="0" fontId="0" fillId="5" borderId="13" xfId="0" applyFill="1" applyBorder="1"/>
    <xf numFmtId="0" fontId="5" fillId="0" borderId="3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5" fillId="11" borderId="0" xfId="0" applyFont="1" applyFill="1"/>
    <xf numFmtId="0" fontId="0" fillId="0" borderId="14" xfId="0" applyBorder="1"/>
    <xf numFmtId="43" fontId="5" fillId="0" borderId="30" xfId="0" applyNumberFormat="1" applyFont="1" applyBorder="1"/>
    <xf numFmtId="0" fontId="5" fillId="0" borderId="8" xfId="0" applyFont="1" applyBorder="1"/>
    <xf numFmtId="10" fontId="5" fillId="0" borderId="9" xfId="0" applyNumberFormat="1" applyFont="1" applyBorder="1"/>
    <xf numFmtId="0" fontId="5" fillId="0" borderId="24" xfId="0" applyFont="1" applyBorder="1" applyAlignment="1">
      <alignment horizontal="right"/>
    </xf>
    <xf numFmtId="10" fontId="5" fillId="0" borderId="27" xfId="0" applyNumberFormat="1" applyFont="1" applyBorder="1"/>
    <xf numFmtId="0" fontId="0" fillId="0" borderId="24" xfId="0" applyBorder="1"/>
    <xf numFmtId="0" fontId="5" fillId="0" borderId="27" xfId="0" applyFont="1" applyBorder="1"/>
    <xf numFmtId="43" fontId="0" fillId="0" borderId="25" xfId="0" applyNumberFormat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6" xfId="0" applyBorder="1"/>
    <xf numFmtId="0" fontId="5" fillId="0" borderId="24" xfId="0" applyFont="1" applyBorder="1" applyAlignment="1">
      <alignment horizontal="center"/>
    </xf>
    <xf numFmtId="10" fontId="0" fillId="0" borderId="25" xfId="0" applyNumberFormat="1" applyBorder="1" applyAlignment="1">
      <alignment horizontal="right"/>
    </xf>
    <xf numFmtId="10" fontId="0" fillId="0" borderId="27" xfId="0" applyNumberFormat="1" applyBorder="1" applyAlignment="1">
      <alignment horizontal="right"/>
    </xf>
    <xf numFmtId="43" fontId="0" fillId="0" borderId="27" xfId="0" applyNumberFormat="1" applyBorder="1" applyAlignment="1">
      <alignment horizontal="right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0" xfId="0" applyNumberFormat="1" applyBorder="1"/>
    <xf numFmtId="2" fontId="0" fillId="0" borderId="0" xfId="0" applyNumberFormat="1" applyAlignment="1">
      <alignment horizontal="center" wrapText="1"/>
    </xf>
    <xf numFmtId="10" fontId="0" fillId="0" borderId="12" xfId="0" applyNumberFormat="1" applyBorder="1"/>
    <xf numFmtId="0" fontId="20" fillId="0" borderId="10" xfId="0" applyFont="1" applyBorder="1" applyAlignment="1">
      <alignment readingOrder="1"/>
    </xf>
    <xf numFmtId="0" fontId="20" fillId="8" borderId="10" xfId="0" applyFont="1" applyFill="1" applyBorder="1" applyAlignment="1">
      <alignment readingOrder="1"/>
    </xf>
    <xf numFmtId="0" fontId="16" fillId="11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/>
    </xf>
    <xf numFmtId="0" fontId="27" fillId="0" borderId="0" xfId="0" applyFont="1" applyFill="1"/>
    <xf numFmtId="0" fontId="0" fillId="0" borderId="32" xfId="0" applyBorder="1"/>
    <xf numFmtId="0" fontId="29" fillId="10" borderId="7" xfId="0" applyFont="1" applyFill="1" applyBorder="1"/>
    <xf numFmtId="0" fontId="29" fillId="11" borderId="7" xfId="0" applyFont="1" applyFill="1" applyBorder="1" applyAlignment="1">
      <alignment vertical="center" wrapText="1"/>
    </xf>
    <xf numFmtId="0" fontId="4" fillId="2" borderId="24" xfId="0" applyFont="1" applyFill="1" applyBorder="1"/>
    <xf numFmtId="0" fontId="27" fillId="2" borderId="30" xfId="0" applyFont="1" applyFill="1" applyBorder="1"/>
    <xf numFmtId="0" fontId="27" fillId="2" borderId="27" xfId="0" applyFont="1" applyFill="1" applyBorder="1"/>
    <xf numFmtId="0" fontId="4" fillId="2" borderId="30" xfId="0" applyFont="1" applyFill="1" applyBorder="1"/>
    <xf numFmtId="0" fontId="4" fillId="2" borderId="3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5" fillId="5" borderId="35" xfId="0" applyFont="1" applyFill="1" applyBorder="1"/>
    <xf numFmtId="0" fontId="0" fillId="0" borderId="36" xfId="0" applyBorder="1"/>
    <xf numFmtId="0" fontId="26" fillId="2" borderId="33" xfId="0" applyFont="1" applyFill="1" applyBorder="1"/>
    <xf numFmtId="0" fontId="0" fillId="2" borderId="0" xfId="0" applyFill="1"/>
    <xf numFmtId="0" fontId="26" fillId="2" borderId="0" xfId="0" applyFont="1" applyFill="1"/>
    <xf numFmtId="0" fontId="29" fillId="11" borderId="7" xfId="0" applyFont="1" applyFill="1" applyBorder="1"/>
    <xf numFmtId="0" fontId="16" fillId="11" borderId="7" xfId="0" applyFont="1" applyFill="1" applyBorder="1" applyAlignment="1">
      <alignment horizontal="center"/>
    </xf>
    <xf numFmtId="0" fontId="16" fillId="11" borderId="8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16" fillId="11" borderId="31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7" fillId="11" borderId="8" xfId="0" applyFont="1" applyFill="1" applyBorder="1" applyAlignment="1">
      <alignment horizontal="center"/>
    </xf>
    <xf numFmtId="0" fontId="27" fillId="11" borderId="9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7" fillId="11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/>
    </xf>
    <xf numFmtId="0" fontId="4" fillId="11" borderId="30" xfId="0" applyFont="1" applyFill="1" applyBorder="1" applyAlignment="1">
      <alignment horizontal="center"/>
    </xf>
    <xf numFmtId="0" fontId="4" fillId="11" borderId="27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11" borderId="25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240F-B200-4BBE-91C6-120E52D0D1F9}">
  <dimension ref="B2:Q41"/>
  <sheetViews>
    <sheetView showGridLines="0" topLeftCell="A6" zoomScale="74" workbookViewId="0">
      <selection activeCell="B3" sqref="B3"/>
    </sheetView>
  </sheetViews>
  <sheetFormatPr defaultRowHeight="15" customHeight="1"/>
  <cols>
    <col min="2" max="2" width="25.85546875" customWidth="1"/>
    <col min="3" max="3" width="15" bestFit="1" customWidth="1"/>
    <col min="4" max="4" width="2.28515625" customWidth="1"/>
    <col min="5" max="5" width="11.7109375" bestFit="1" customWidth="1"/>
    <col min="6" max="6" width="2.42578125" customWidth="1"/>
    <col min="7" max="7" width="7.28515625" style="18" customWidth="1"/>
    <col min="8" max="8" width="11.5703125" customWidth="1"/>
    <col min="9" max="9" width="20.85546875" customWidth="1"/>
    <col min="10" max="10" width="11.5703125" bestFit="1" customWidth="1"/>
    <col min="11" max="11" width="11.5703125" customWidth="1"/>
    <col min="12" max="12" width="27.7109375" customWidth="1"/>
    <col min="15" max="15" width="11.7109375" customWidth="1"/>
    <col min="16" max="16" width="13.140625" customWidth="1"/>
  </cols>
  <sheetData>
    <row r="2" spans="2:16" ht="14.45"/>
    <row r="3" spans="2:16" ht="30.75" customHeight="1">
      <c r="B3" s="146" t="s">
        <v>0</v>
      </c>
      <c r="C3" s="102"/>
      <c r="I3" s="75" t="s">
        <v>1</v>
      </c>
      <c r="J3" s="103"/>
      <c r="K3" s="104"/>
      <c r="L3" s="76" t="s">
        <v>2</v>
      </c>
      <c r="M3" s="105"/>
      <c r="O3" s="79" t="s">
        <v>3</v>
      </c>
      <c r="P3" s="80" t="s">
        <v>4</v>
      </c>
    </row>
    <row r="4" spans="2:16" ht="14.45">
      <c r="B4" s="106" t="s">
        <v>5</v>
      </c>
      <c r="C4" s="107">
        <v>615</v>
      </c>
      <c r="D4" s="129"/>
      <c r="I4" s="108" t="s">
        <v>6</v>
      </c>
      <c r="J4" s="109"/>
      <c r="K4" s="110"/>
      <c r="L4" s="111" t="s">
        <v>7</v>
      </c>
      <c r="M4" s="32"/>
      <c r="O4" s="112">
        <f t="shared" ref="O4:O9" si="0">C20*G20</f>
        <v>7.2988894120000021</v>
      </c>
      <c r="P4" s="113">
        <f>O4/J5</f>
        <v>1.4597778824000005</v>
      </c>
    </row>
    <row r="5" spans="2:16" ht="14.45">
      <c r="B5" s="106" t="s">
        <v>8</v>
      </c>
      <c r="C5" s="114">
        <v>0.2</v>
      </c>
      <c r="D5" s="147"/>
      <c r="I5" s="115" t="s">
        <v>9</v>
      </c>
      <c r="J5" s="48">
        <v>5</v>
      </c>
      <c r="L5" s="33" t="s">
        <v>10</v>
      </c>
      <c r="M5" s="116">
        <f>AVERAGE('Common size '!D48:G48)</f>
        <v>0.14475580487556408</v>
      </c>
      <c r="O5" s="112">
        <f t="shared" si="0"/>
        <v>5.5305187787250016</v>
      </c>
      <c r="P5" s="113">
        <f>O5/J11</f>
        <v>0.6913148473406252</v>
      </c>
    </row>
    <row r="6" spans="2:16" ht="14.45">
      <c r="B6" s="106" t="s">
        <v>11</v>
      </c>
      <c r="C6" s="107">
        <f>C4*(1+C5)</f>
        <v>738</v>
      </c>
      <c r="D6" s="129"/>
      <c r="I6" s="137" t="s">
        <v>12</v>
      </c>
      <c r="J6" s="163">
        <v>0.2</v>
      </c>
      <c r="L6" s="33" t="s">
        <v>13</v>
      </c>
      <c r="M6" s="116">
        <f>AVERAGE('Common size '!C102:G102)</f>
        <v>0.60715560336849772</v>
      </c>
      <c r="O6" s="112">
        <f t="shared" si="0"/>
        <v>2.8980884430000007</v>
      </c>
      <c r="P6" s="113">
        <f>O6/J18</f>
        <v>0.36226105537500009</v>
      </c>
    </row>
    <row r="7" spans="2:16" ht="14.45">
      <c r="B7" s="106" t="s">
        <v>14</v>
      </c>
      <c r="C7" s="118">
        <v>143050000</v>
      </c>
      <c r="D7" s="5"/>
      <c r="I7" s="117" t="s">
        <v>15</v>
      </c>
      <c r="J7" s="160">
        <v>7.4999999999999997E-2</v>
      </c>
      <c r="L7" s="33" t="s">
        <v>16</v>
      </c>
      <c r="M7" s="116">
        <f>AVERAGE('Common size '!C105:G105)</f>
        <v>0.25145660384310592</v>
      </c>
      <c r="O7" s="112">
        <f t="shared" si="0"/>
        <v>1.6905515917500005</v>
      </c>
      <c r="P7" s="113">
        <f>O7/J23</f>
        <v>0.24150737025000008</v>
      </c>
    </row>
    <row r="8" spans="2:16" ht="14.45">
      <c r="B8" s="119" t="s">
        <v>17</v>
      </c>
      <c r="C8" s="4">
        <f>(C6*C7)/100000000</f>
        <v>1055.7090000000001</v>
      </c>
      <c r="D8" s="148"/>
      <c r="I8" s="120" t="s">
        <v>18</v>
      </c>
      <c r="J8" s="48">
        <v>1</v>
      </c>
      <c r="L8" s="33" t="s">
        <v>19</v>
      </c>
      <c r="M8" s="116">
        <f>('Income Statement'!H14/'Income Statement'!F14)^(1/4)-1</f>
        <v>2.1218732271338858E-2</v>
      </c>
      <c r="O8" s="112">
        <f t="shared" si="0"/>
        <v>1.4114764083500004</v>
      </c>
      <c r="P8" s="113">
        <f>O8/J28</f>
        <v>0.2352460680583334</v>
      </c>
    </row>
    <row r="9" spans="2:16" ht="14.45">
      <c r="B9" s="106"/>
      <c r="C9" s="121"/>
      <c r="I9" s="122"/>
      <c r="J9" s="48"/>
      <c r="L9" s="33" t="s">
        <v>20</v>
      </c>
      <c r="M9" s="34">
        <f>AVERAGE('Income Statement'!F39:H39)</f>
        <v>0.13736856465946812</v>
      </c>
      <c r="O9" s="112">
        <f t="shared" si="0"/>
        <v>0.30912943392000003</v>
      </c>
      <c r="P9" s="113">
        <f>O9/J34</f>
        <v>6.1825886784000007E-2</v>
      </c>
    </row>
    <row r="10" spans="2:16" ht="14.45">
      <c r="B10" s="106" t="s">
        <v>21</v>
      </c>
      <c r="C10" s="67">
        <v>7.1</v>
      </c>
      <c r="D10" s="149"/>
      <c r="I10" s="108" t="s">
        <v>22</v>
      </c>
      <c r="J10" s="48"/>
      <c r="L10" s="33"/>
      <c r="N10" s="33"/>
      <c r="O10" s="124">
        <f>SUM(O4:O9)</f>
        <v>19.138654067745005</v>
      </c>
      <c r="P10" s="125">
        <f>SUM(P4:P9)</f>
        <v>3.0519331102079583</v>
      </c>
    </row>
    <row r="11" spans="2:16" ht="14.45">
      <c r="B11" s="106" t="s">
        <v>23</v>
      </c>
      <c r="C11" s="67">
        <v>0</v>
      </c>
      <c r="D11" s="149"/>
      <c r="I11" s="115" t="s">
        <v>9</v>
      </c>
      <c r="J11" s="48">
        <v>8</v>
      </c>
      <c r="L11" s="111" t="s">
        <v>24</v>
      </c>
      <c r="M11" s="123"/>
    </row>
    <row r="12" spans="2:16" ht="13.5" customHeight="1">
      <c r="B12" s="106" t="s">
        <v>25</v>
      </c>
      <c r="C12" s="67">
        <f>C8*1%</f>
        <v>10.557090000000001</v>
      </c>
      <c r="D12" s="149"/>
      <c r="I12" s="117" t="s">
        <v>12</v>
      </c>
      <c r="J12" s="160">
        <v>0.03</v>
      </c>
      <c r="L12" s="33" t="s">
        <v>26</v>
      </c>
      <c r="M12" s="126">
        <f>AVERAGE('Common size '!C121:G121)</f>
        <v>80.900297725397166</v>
      </c>
    </row>
    <row r="13" spans="2:16" ht="12.75" customHeight="1">
      <c r="B13" s="106" t="s">
        <v>27</v>
      </c>
      <c r="C13" s="107">
        <v>19.138654067745005</v>
      </c>
      <c r="D13" s="129"/>
      <c r="I13" s="33" t="s">
        <v>28</v>
      </c>
      <c r="J13" s="135">
        <f>1-(J11-1)*J12</f>
        <v>0.79</v>
      </c>
      <c r="K13" s="33"/>
      <c r="L13" s="33" t="s">
        <v>29</v>
      </c>
      <c r="M13" s="127">
        <f>AVERAGE('Common size '!C126:G126)</f>
        <v>136.67460614807908</v>
      </c>
    </row>
    <row r="14" spans="2:16" ht="14.45">
      <c r="B14" s="128" t="s">
        <v>30</v>
      </c>
      <c r="C14" s="68">
        <f>C8+SUM(C10:C13)</f>
        <v>1092.5047440677452</v>
      </c>
      <c r="D14" s="149"/>
      <c r="I14" s="117" t="s">
        <v>15</v>
      </c>
      <c r="J14" s="160">
        <v>8.5000000000000006E-2</v>
      </c>
      <c r="L14" s="33" t="s">
        <v>31</v>
      </c>
      <c r="M14" s="116" t="s">
        <v>32</v>
      </c>
    </row>
    <row r="15" spans="2:16" ht="14.45">
      <c r="B15" s="101"/>
      <c r="C15" s="129"/>
      <c r="D15" s="129"/>
      <c r="I15" s="120" t="s">
        <v>18</v>
      </c>
      <c r="J15" s="48">
        <v>0</v>
      </c>
      <c r="L15" s="33" t="s">
        <v>33</v>
      </c>
      <c r="M15" s="116">
        <f>AVERAGE('Common size '!C136:G136)</f>
        <v>1.5889267406575459E-2</v>
      </c>
    </row>
    <row r="16" spans="2:16" ht="14.45">
      <c r="B16" s="77" t="s">
        <v>34</v>
      </c>
      <c r="C16" s="150"/>
      <c r="E16" s="78" t="s">
        <v>35</v>
      </c>
      <c r="F16" s="71"/>
      <c r="I16" s="122"/>
      <c r="J16" s="48"/>
      <c r="L16" s="33"/>
      <c r="M16" s="123"/>
    </row>
    <row r="17" spans="2:17" ht="14.45">
      <c r="B17" s="100" t="s">
        <v>36</v>
      </c>
      <c r="C17" s="151"/>
      <c r="D17" s="3"/>
      <c r="E17" s="69">
        <v>0</v>
      </c>
      <c r="F17" s="70"/>
      <c r="G17" s="72"/>
      <c r="H17" s="2"/>
      <c r="I17" s="130" t="s">
        <v>37</v>
      </c>
      <c r="J17" s="131"/>
      <c r="L17" s="33" t="s">
        <v>38</v>
      </c>
      <c r="M17" s="116">
        <f>('Balance sheet '!H20/'Balance sheet '!D20)^(1/4)-1</f>
        <v>6.2043654655056457E-2</v>
      </c>
    </row>
    <row r="18" spans="2:17" ht="14.45">
      <c r="B18" s="133" t="s">
        <v>39</v>
      </c>
      <c r="C18" s="32"/>
      <c r="E18" s="153"/>
      <c r="I18" s="117" t="s">
        <v>40</v>
      </c>
      <c r="J18" s="132">
        <v>8</v>
      </c>
      <c r="L18" s="33" t="s">
        <v>31</v>
      </c>
      <c r="M18" s="116">
        <v>3.0000000000000001E-3</v>
      </c>
    </row>
    <row r="19" spans="2:17" ht="14.45">
      <c r="B19" s="100" t="s">
        <v>41</v>
      </c>
      <c r="C19" s="113">
        <f>C11</f>
        <v>0</v>
      </c>
      <c r="D19" s="129"/>
      <c r="E19" s="134">
        <f>C11/C14</f>
        <v>0</v>
      </c>
      <c r="F19" s="135"/>
      <c r="G19" s="73" t="s">
        <v>42</v>
      </c>
      <c r="H19" s="1"/>
      <c r="I19" s="117" t="s">
        <v>15</v>
      </c>
      <c r="J19" s="164">
        <v>0.1</v>
      </c>
      <c r="L19" s="33" t="s">
        <v>43</v>
      </c>
      <c r="M19" s="116">
        <f>AVERAGE('Common size '!C139:G139)</f>
        <v>1.1985730360094735E-2</v>
      </c>
    </row>
    <row r="20" spans="2:17" ht="14.45">
      <c r="B20" s="100" t="s">
        <v>44</v>
      </c>
      <c r="C20" s="113">
        <f>($C$14-$C$13)*E20</f>
        <v>364.9444706000001</v>
      </c>
      <c r="D20" s="129"/>
      <c r="E20" s="134">
        <v>0.34</v>
      </c>
      <c r="F20" s="135"/>
      <c r="G20" s="136">
        <v>0.02</v>
      </c>
      <c r="H20" s="135"/>
      <c r="I20" s="137" t="s">
        <v>18</v>
      </c>
      <c r="J20" s="48">
        <v>0</v>
      </c>
      <c r="L20" s="33"/>
      <c r="M20" s="123"/>
    </row>
    <row r="21" spans="2:17" ht="14.45">
      <c r="B21" s="100" t="s">
        <v>45</v>
      </c>
      <c r="C21" s="113">
        <f t="shared" ref="C21:C25" si="1">($C$14-$C$13)*E21</f>
        <v>245.80083461000007</v>
      </c>
      <c r="D21" s="129"/>
      <c r="E21" s="134">
        <v>0.22900000000000001</v>
      </c>
      <c r="F21" s="135"/>
      <c r="G21" s="136">
        <v>2.2499999999999999E-2</v>
      </c>
      <c r="H21" s="135"/>
      <c r="I21" s="122"/>
      <c r="J21" s="48"/>
      <c r="L21" s="33" t="s">
        <v>46</v>
      </c>
      <c r="M21" s="127">
        <f>AVERAGE('Common size '!C131:G131)</f>
        <v>56.684813624385775</v>
      </c>
    </row>
    <row r="22" spans="2:17" ht="14.45">
      <c r="B22" s="100" t="s">
        <v>37</v>
      </c>
      <c r="C22" s="113">
        <f t="shared" si="1"/>
        <v>96.60294810000002</v>
      </c>
      <c r="D22" s="129"/>
      <c r="E22" s="134">
        <v>0.09</v>
      </c>
      <c r="F22" s="135"/>
      <c r="G22" s="136">
        <v>0.03</v>
      </c>
      <c r="H22" s="135"/>
      <c r="I22" s="138" t="s">
        <v>47</v>
      </c>
      <c r="J22" s="48"/>
      <c r="L22" s="33" t="s">
        <v>48</v>
      </c>
      <c r="M22" s="123" t="s">
        <v>32</v>
      </c>
    </row>
    <row r="23" spans="2:17" ht="14.45">
      <c r="B23" s="100" t="s">
        <v>49</v>
      </c>
      <c r="C23" s="113">
        <f t="shared" si="1"/>
        <v>48.30147405000001</v>
      </c>
      <c r="D23" s="129"/>
      <c r="E23" s="134">
        <v>4.4999999999999998E-2</v>
      </c>
      <c r="F23" s="135"/>
      <c r="G23" s="136">
        <v>3.5000000000000003E-2</v>
      </c>
      <c r="H23" s="135"/>
      <c r="I23" s="137" t="s">
        <v>40</v>
      </c>
      <c r="J23" s="48">
        <v>7</v>
      </c>
      <c r="L23" s="33" t="s">
        <v>50</v>
      </c>
      <c r="M23" s="116">
        <f>AVERAGE('Common size '!C142:G142)</f>
        <v>4.3495368518639771E-3</v>
      </c>
    </row>
    <row r="24" spans="2:17" ht="14.45">
      <c r="B24" s="100" t="s">
        <v>51</v>
      </c>
      <c r="C24" s="113">
        <f t="shared" si="1"/>
        <v>28.229528167000005</v>
      </c>
      <c r="D24" s="129"/>
      <c r="E24" s="134">
        <v>2.63E-2</v>
      </c>
      <c r="F24" s="135"/>
      <c r="G24" s="136">
        <v>0.05</v>
      </c>
      <c r="H24" s="135"/>
      <c r="I24" s="137" t="s">
        <v>15</v>
      </c>
      <c r="J24" s="160">
        <v>0.115</v>
      </c>
      <c r="L24" s="33"/>
      <c r="M24" s="123"/>
      <c r="N24" s="21"/>
      <c r="O24" s="21"/>
      <c r="P24" s="21"/>
      <c r="Q24" s="21"/>
    </row>
    <row r="25" spans="2:17" ht="14.45">
      <c r="B25" s="100" t="s">
        <v>52</v>
      </c>
      <c r="C25" s="113">
        <f t="shared" si="1"/>
        <v>20.608628928000002</v>
      </c>
      <c r="D25" s="129"/>
      <c r="E25" s="134">
        <v>1.9199999999999998E-2</v>
      </c>
      <c r="F25" s="135"/>
      <c r="G25" s="139">
        <v>1.4999999999999999E-2</v>
      </c>
      <c r="H25" s="135"/>
      <c r="I25" s="137" t="s">
        <v>18</v>
      </c>
      <c r="J25" s="48">
        <v>0</v>
      </c>
      <c r="L25" s="33" t="s">
        <v>53</v>
      </c>
      <c r="M25" s="157">
        <v>0.02</v>
      </c>
      <c r="N25" s="21"/>
      <c r="O25" s="21"/>
      <c r="P25" s="21"/>
      <c r="Q25" s="17"/>
    </row>
    <row r="26" spans="2:17" ht="14.45">
      <c r="B26" s="133" t="s">
        <v>54</v>
      </c>
      <c r="C26" s="113"/>
      <c r="D26" s="129"/>
      <c r="E26" s="154"/>
      <c r="F26" s="135"/>
      <c r="G26" s="140"/>
      <c r="H26" s="135"/>
      <c r="I26" s="122"/>
      <c r="J26" s="48"/>
      <c r="L26" s="33" t="s">
        <v>55</v>
      </c>
      <c r="M26" s="158">
        <v>0.02</v>
      </c>
    </row>
    <row r="27" spans="2:17" ht="14.45">
      <c r="B27" s="100" t="s">
        <v>56</v>
      </c>
      <c r="C27" s="113">
        <f>$C$14*E27</f>
        <v>262.20113857625881</v>
      </c>
      <c r="D27" s="129"/>
      <c r="E27" s="134">
        <v>0.24</v>
      </c>
      <c r="F27" s="135"/>
      <c r="G27" s="140"/>
      <c r="H27" s="135"/>
      <c r="I27" s="138" t="s">
        <v>57</v>
      </c>
      <c r="J27" s="48"/>
      <c r="L27" s="141" t="s">
        <v>58</v>
      </c>
      <c r="M27" s="97">
        <v>2.2499999999999999E-2</v>
      </c>
    </row>
    <row r="28" spans="2:17" ht="14.45">
      <c r="B28" s="142" t="s">
        <v>59</v>
      </c>
      <c r="C28" s="113">
        <f>C14-SUM(C20:C25,C27)</f>
        <v>25.815721036485911</v>
      </c>
      <c r="D28" s="129"/>
      <c r="E28" s="134">
        <v>0.01</v>
      </c>
      <c r="F28" s="135"/>
      <c r="G28" s="140"/>
      <c r="H28" s="135"/>
      <c r="I28" s="137" t="s">
        <v>40</v>
      </c>
      <c r="J28" s="48">
        <v>6</v>
      </c>
    </row>
    <row r="29" spans="2:17" ht="14.45">
      <c r="B29" s="143" t="s">
        <v>60</v>
      </c>
      <c r="C29" s="152">
        <f>SUM(C17:C28)</f>
        <v>1092.5047440677452</v>
      </c>
      <c r="D29" s="129"/>
      <c r="E29" s="144">
        <f>SUM(E17:E28)</f>
        <v>0.99950000000000006</v>
      </c>
      <c r="F29" s="135"/>
      <c r="G29" s="140"/>
      <c r="H29" s="135"/>
      <c r="I29" s="137" t="s">
        <v>15</v>
      </c>
      <c r="J29" s="160">
        <v>0.13</v>
      </c>
      <c r="L29" s="174" t="s">
        <v>61</v>
      </c>
      <c r="M29" s="105"/>
    </row>
    <row r="30" spans="2:17" ht="15" customHeight="1">
      <c r="F30" s="145"/>
      <c r="I30" s="137" t="s">
        <v>62</v>
      </c>
      <c r="J30" s="48">
        <v>3</v>
      </c>
      <c r="L30" s="33" t="s">
        <v>63</v>
      </c>
      <c r="M30" s="34">
        <v>0.1</v>
      </c>
    </row>
    <row r="31" spans="2:17" ht="15" customHeight="1">
      <c r="B31" s="165" t="s">
        <v>64</v>
      </c>
      <c r="C31" s="166"/>
      <c r="I31" s="137" t="s">
        <v>18</v>
      </c>
      <c r="J31" s="48">
        <v>0</v>
      </c>
      <c r="L31" s="33" t="s">
        <v>65</v>
      </c>
      <c r="M31" s="126" t="s">
        <v>66</v>
      </c>
    </row>
    <row r="32" spans="2:17" ht="15" customHeight="1">
      <c r="B32" s="33" t="s">
        <v>67</v>
      </c>
      <c r="C32" s="172">
        <f>C29</f>
        <v>1092.5047440677452</v>
      </c>
      <c r="I32" s="122"/>
      <c r="J32" s="48"/>
      <c r="L32" s="141" t="s">
        <v>68</v>
      </c>
      <c r="M32" s="175">
        <f>SUM('Balance sheet '!K34:K39)-'Balance sheet '!K7</f>
        <v>788.05788445500036</v>
      </c>
    </row>
    <row r="33" spans="2:12" ht="15" customHeight="1">
      <c r="B33" s="33" t="s">
        <v>69</v>
      </c>
      <c r="C33" s="127">
        <f>('Balance sheet '!H25-'Balance sheet '!H45)*-1</f>
        <v>-850.60000000000014</v>
      </c>
      <c r="I33" s="138" t="s">
        <v>52</v>
      </c>
      <c r="J33" s="48"/>
      <c r="L33" s="145"/>
    </row>
    <row r="34" spans="2:12" ht="15" customHeight="1">
      <c r="B34" s="33" t="s">
        <v>70</v>
      </c>
      <c r="C34" s="18">
        <v>-7.1</v>
      </c>
      <c r="D34" s="33"/>
      <c r="I34" s="137" t="s">
        <v>9</v>
      </c>
      <c r="J34" s="48">
        <v>5</v>
      </c>
    </row>
    <row r="35" spans="2:12" ht="15" customHeight="1">
      <c r="B35" s="167" t="s">
        <v>71</v>
      </c>
      <c r="C35" s="125">
        <f>SUM(C32:C34)</f>
        <v>234.80474406774502</v>
      </c>
      <c r="E35" s="74"/>
      <c r="I35" s="137" t="s">
        <v>12</v>
      </c>
      <c r="J35" s="160">
        <v>0.14499999999999999</v>
      </c>
    </row>
    <row r="36" spans="2:12" ht="15" customHeight="1">
      <c r="I36" s="137" t="s">
        <v>15</v>
      </c>
      <c r="J36" s="160">
        <v>0.06</v>
      </c>
    </row>
    <row r="37" spans="2:12" ht="15" customHeight="1">
      <c r="I37" s="168" t="s">
        <v>72</v>
      </c>
      <c r="J37" s="48">
        <v>1</v>
      </c>
    </row>
    <row r="38" spans="2:12" ht="15" customHeight="1">
      <c r="I38" s="168"/>
      <c r="J38" s="32"/>
    </row>
    <row r="39" spans="2:12" ht="15" customHeight="1">
      <c r="I39" s="168" t="s">
        <v>73</v>
      </c>
      <c r="J39" s="32">
        <v>0</v>
      </c>
    </row>
    <row r="40" spans="2:12" ht="15" customHeight="1">
      <c r="I40" s="161"/>
      <c r="J40" s="162"/>
    </row>
    <row r="41" spans="2:12" ht="15" customHeight="1">
      <c r="I41" s="47"/>
    </row>
  </sheetData>
  <dataValidations count="2">
    <dataValidation type="list" allowBlank="1" showInputMessage="1" showErrorMessage="1" sqref="J8 J15 J20 J25 J31 J37:J38" xr:uid="{3FC11043-0722-4D16-ADA6-D481B3A3EDDB}">
      <formula1>"0"</formula1>
    </dataValidation>
    <dataValidation type="list" allowBlank="1" showInputMessage="1" showErrorMessage="1" sqref="J39" xr:uid="{C1A3C22A-BCA8-4D1C-BFC2-B33C2EDC59ED}">
      <formula1>"1,0"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8836-38D5-4C3E-84C3-A2AE366DF4A7}">
  <dimension ref="A2:L43"/>
  <sheetViews>
    <sheetView showGridLines="0" workbookViewId="0">
      <selection activeCell="B3" sqref="B3"/>
    </sheetView>
  </sheetViews>
  <sheetFormatPr defaultRowHeight="14.45"/>
  <cols>
    <col min="2" max="2" width="22.5703125" customWidth="1"/>
    <col min="4" max="4" width="11.28515625" bestFit="1" customWidth="1"/>
    <col min="5" max="5" width="9.7109375" bestFit="1" customWidth="1"/>
    <col min="6" max="6" width="9.5703125" bestFit="1" customWidth="1"/>
    <col min="8" max="8" width="10" customWidth="1"/>
    <col min="11" max="11" width="9.28515625" bestFit="1" customWidth="1"/>
    <col min="13" max="13" width="9.85546875" customWidth="1"/>
  </cols>
  <sheetData>
    <row r="2" spans="1:12" ht="21">
      <c r="A2" s="179"/>
      <c r="B2" s="316" t="s">
        <v>270</v>
      </c>
      <c r="C2" s="311"/>
      <c r="D2" s="311"/>
    </row>
    <row r="3" spans="1:12">
      <c r="A3" s="315"/>
      <c r="B3" s="314" t="s">
        <v>271</v>
      </c>
      <c r="C3" s="313">
        <v>2033</v>
      </c>
      <c r="D3" s="312">
        <f>IF(C3&gt;0,HLOOKUP(C3,E16:L17,2),0)</f>
        <v>8</v>
      </c>
    </row>
    <row r="5" spans="1:12">
      <c r="B5" s="305" t="s">
        <v>272</v>
      </c>
      <c r="C5" s="308"/>
      <c r="D5" s="309" t="s">
        <v>273</v>
      </c>
      <c r="E5" s="309" t="s">
        <v>274</v>
      </c>
      <c r="F5" s="309" t="s">
        <v>275</v>
      </c>
      <c r="G5" s="309" t="s">
        <v>276</v>
      </c>
      <c r="H5" s="310" t="s">
        <v>275</v>
      </c>
      <c r="J5" s="305" t="s">
        <v>277</v>
      </c>
      <c r="K5" s="306"/>
      <c r="L5" s="307"/>
    </row>
    <row r="6" spans="1:12">
      <c r="B6" s="33"/>
      <c r="H6" s="32"/>
      <c r="J6" s="33"/>
      <c r="L6" s="32"/>
    </row>
    <row r="7" spans="1:12">
      <c r="B7" s="100" t="s">
        <v>56</v>
      </c>
      <c r="D7" s="16">
        <f>Assumptions!C27</f>
        <v>262.20113857625881</v>
      </c>
      <c r="E7" s="25">
        <f>D7/SUM($D$7:$D$8)</f>
        <v>0.91036732685997401</v>
      </c>
      <c r="F7" s="25">
        <v>0</v>
      </c>
      <c r="G7" s="25">
        <f>E7*(1-$F$12)</f>
        <v>0.82843426744257642</v>
      </c>
      <c r="H7" s="127">
        <f ca="1">G7*$L$13</f>
        <v>6974.6259284340003</v>
      </c>
      <c r="J7" s="33" t="s">
        <v>278</v>
      </c>
      <c r="L7" s="126">
        <v>14</v>
      </c>
    </row>
    <row r="8" spans="1:12">
      <c r="B8" s="100" t="s">
        <v>59</v>
      </c>
      <c r="D8" s="16">
        <f>Assumptions!C28</f>
        <v>25.815721036485911</v>
      </c>
      <c r="E8" s="25">
        <f>D8/SUM($D$7:$D$8)</f>
        <v>8.9632673140026028E-2</v>
      </c>
      <c r="F8" s="25">
        <v>0</v>
      </c>
      <c r="G8" s="25">
        <f t="shared" ref="G8" si="0">E8*(1-$F$12)</f>
        <v>8.1565732557423692E-2</v>
      </c>
      <c r="H8" s="127">
        <f ca="1">G8*$L$13</f>
        <v>686.70562713794754</v>
      </c>
      <c r="J8" s="33" t="s">
        <v>279</v>
      </c>
      <c r="L8" s="86">
        <f ca="1">IF($C$3&gt;0,OFFSET('Income Statement'!$I$36,0,'IRR Analysis '!$D$3,1,1),0)</f>
        <v>514.73048604990186</v>
      </c>
    </row>
    <row r="9" spans="1:12">
      <c r="B9" s="100" t="s">
        <v>49</v>
      </c>
      <c r="D9" s="16">
        <f>Assumptions!C23</f>
        <v>48.30147405000001</v>
      </c>
      <c r="E9" s="25">
        <v>0</v>
      </c>
      <c r="F9" s="25">
        <v>0.05</v>
      </c>
      <c r="G9" s="25">
        <f>F9</f>
        <v>0.05</v>
      </c>
      <c r="H9" s="127">
        <f ca="1">G9*$L$13</f>
        <v>420.95228327318392</v>
      </c>
      <c r="J9" s="41" t="s">
        <v>280</v>
      </c>
      <c r="K9" s="270"/>
      <c r="L9" s="88">
        <f ca="1">L7*L8</f>
        <v>7206.2268046986264</v>
      </c>
    </row>
    <row r="10" spans="1:12">
      <c r="B10" s="100" t="s">
        <v>51</v>
      </c>
      <c r="D10" s="16">
        <f>Assumptions!C24</f>
        <v>28.229528167000005</v>
      </c>
      <c r="E10" s="25">
        <v>0</v>
      </c>
      <c r="F10" s="25">
        <v>0.04</v>
      </c>
      <c r="G10" s="25">
        <f t="shared" ref="G10" si="1">F10</f>
        <v>0.04</v>
      </c>
      <c r="H10" s="127">
        <f ca="1">G10*$L$13</f>
        <v>336.76182661854716</v>
      </c>
      <c r="J10" s="33"/>
      <c r="L10" s="32"/>
    </row>
    <row r="11" spans="1:12">
      <c r="B11" s="33"/>
      <c r="G11" s="25"/>
      <c r="H11" s="123"/>
      <c r="J11" s="33" t="s">
        <v>281</v>
      </c>
      <c r="L11" s="86">
        <f ca="1">(IF($C$3&gt;0,OFFSET('Balance sheet '!$K40,0,'IRR Analysis '!$D$3,1,1),0))*-1</f>
        <v>0</v>
      </c>
    </row>
    <row r="12" spans="1:12">
      <c r="B12" s="271" t="s">
        <v>60</v>
      </c>
      <c r="C12" s="257"/>
      <c r="D12" s="250">
        <f>SUM(D7:D10)</f>
        <v>364.54786182974476</v>
      </c>
      <c r="E12" s="45">
        <f t="shared" ref="E12:F12" si="2">SUM(E7:E10)</f>
        <v>1</v>
      </c>
      <c r="F12" s="45">
        <f t="shared" si="2"/>
        <v>0.09</v>
      </c>
      <c r="G12" s="45">
        <f>SUM(G7:G10)</f>
        <v>1.0000000000000002</v>
      </c>
      <c r="H12" s="228">
        <f ca="1">SUM(H7:H10)</f>
        <v>8419.0456654636782</v>
      </c>
      <c r="J12" s="33" t="s">
        <v>282</v>
      </c>
      <c r="L12" s="86">
        <f ca="1">IF($C$3&gt;0,OFFSET('Balance sheet '!$K7,0,'IRR Analysis '!$D$3,1,1),0)</f>
        <v>1212.8188607650516</v>
      </c>
    </row>
    <row r="13" spans="1:12">
      <c r="J13" s="271" t="s">
        <v>283</v>
      </c>
      <c r="K13" s="272"/>
      <c r="L13" s="266">
        <f ca="1">SUM(L9,L11:L12)</f>
        <v>8419.0456654636782</v>
      </c>
    </row>
    <row r="16" spans="1:12">
      <c r="B16" s="65" t="s">
        <v>284</v>
      </c>
      <c r="C16" s="263"/>
      <c r="D16" s="300" t="s">
        <v>81</v>
      </c>
      <c r="E16" s="300">
        <v>2026</v>
      </c>
      <c r="F16" s="231">
        <v>2027</v>
      </c>
      <c r="G16" s="231">
        <v>2028</v>
      </c>
      <c r="H16" s="231">
        <v>2029</v>
      </c>
      <c r="I16" s="231">
        <v>2030</v>
      </c>
      <c r="J16" s="231">
        <v>2031</v>
      </c>
      <c r="K16" s="231">
        <v>2032</v>
      </c>
      <c r="L16" s="232">
        <v>2033</v>
      </c>
    </row>
    <row r="17" spans="2:12">
      <c r="B17" s="33"/>
      <c r="D17" s="235">
        <v>0</v>
      </c>
      <c r="E17" s="234">
        <v>1</v>
      </c>
      <c r="F17" s="234">
        <v>2</v>
      </c>
      <c r="G17" s="234">
        <v>3</v>
      </c>
      <c r="H17" s="234">
        <v>4</v>
      </c>
      <c r="I17" s="234">
        <v>5</v>
      </c>
      <c r="J17" s="235">
        <v>6</v>
      </c>
      <c r="K17" s="235">
        <v>7</v>
      </c>
      <c r="L17" s="235">
        <v>8</v>
      </c>
    </row>
    <row r="18" spans="2:12">
      <c r="B18" s="33"/>
      <c r="L18" s="32"/>
    </row>
    <row r="19" spans="2:12">
      <c r="B19" s="264" t="s">
        <v>47</v>
      </c>
      <c r="L19" s="32"/>
    </row>
    <row r="20" spans="2:12">
      <c r="B20" s="33" t="s">
        <v>273</v>
      </c>
      <c r="D20" s="16">
        <f>-'IRR Analysis '!D9</f>
        <v>-48.30147405000001</v>
      </c>
      <c r="L20" s="32"/>
    </row>
    <row r="21" spans="2:12">
      <c r="B21" s="33" t="s">
        <v>285</v>
      </c>
      <c r="E21" s="6">
        <f>IF($D$3&gt;=E$17,-'Income Statement'!J18,0)</f>
        <v>5.5546695157500015</v>
      </c>
      <c r="F21" s="6">
        <f>IF($D$3&gt;=F$17,-'Income Statement'!K18,0)</f>
        <v>5.5546695157500015</v>
      </c>
      <c r="G21" s="6">
        <f>IF($D$3&gt;=G$17,-'Income Statement'!L18,0)</f>
        <v>5.5546695157500015</v>
      </c>
      <c r="H21" s="6">
        <f>IF($D$3&gt;=H$17,-'Income Statement'!M18,0)</f>
        <v>5.5546695157500015</v>
      </c>
      <c r="I21" s="6">
        <f>IF($D$3&gt;=I$17,-'Income Statement'!N18,0)</f>
        <v>5.5546695157500015</v>
      </c>
      <c r="J21" s="6">
        <f>IF($D$3&gt;=J$17,-'Income Statement'!O18,0)</f>
        <v>5.5546695157500015</v>
      </c>
      <c r="K21" s="6">
        <f>IF($D$3&gt;=K$17,-'Income Statement'!P18,0)</f>
        <v>5.5546695157500015</v>
      </c>
      <c r="L21" s="86">
        <f>IF($D$3&gt;=L$17,-'Income Statement'!Q18,0)</f>
        <v>0</v>
      </c>
    </row>
    <row r="22" spans="2:12">
      <c r="B22" s="33" t="s">
        <v>286</v>
      </c>
      <c r="E22" s="16">
        <f>IF($D$3&gt;=E$17,SUM('Debt Repayment '!C18,'Debt Repayment '!C29),0)</f>
        <v>0</v>
      </c>
      <c r="F22" s="16">
        <f>IF($D$3&gt;=F$17,SUM('Debt Repayment '!D18,'Debt Repayment '!D29),0)</f>
        <v>0</v>
      </c>
      <c r="G22" s="16">
        <f>IF($D$3&gt;=G$17,SUM('Debt Repayment '!E18,'Debt Repayment '!E29),0)</f>
        <v>0</v>
      </c>
      <c r="H22" s="16">
        <f>IF($D$3&gt;=H$17,SUM('Debt Repayment '!F18,'Debt Repayment '!F29),0)</f>
        <v>0</v>
      </c>
      <c r="I22" s="16">
        <f>IF($D$3&gt;=I$17,SUM('Debt Repayment '!G18,'Debt Repayment '!G29),0)</f>
        <v>0</v>
      </c>
      <c r="J22" s="16">
        <f>IF($D$3&gt;=J$17,SUM('Debt Repayment '!H18,'Debt Repayment '!H29),0)</f>
        <v>0</v>
      </c>
      <c r="K22" s="16">
        <f>IF($D$3&gt;=K$17,SUM('Debt Repayment '!I18,'Debt Repayment '!I29),0)</f>
        <v>48.30147405000001</v>
      </c>
      <c r="L22" s="39">
        <f>IF($D$3&gt;=L$17,SUM('Debt Repayment '!J18,'Debt Repayment '!J29),0)</f>
        <v>0</v>
      </c>
    </row>
    <row r="23" spans="2:12">
      <c r="B23" s="33" t="s">
        <v>287</v>
      </c>
      <c r="E23" s="16">
        <f>IF($D$3=E$17,$H$9,0)</f>
        <v>0</v>
      </c>
      <c r="F23" s="16">
        <f>IF($D$3=F$17,$H$9,0)</f>
        <v>0</v>
      </c>
      <c r="G23" s="16">
        <f>IF($D$3=G$17,$H$9,0)</f>
        <v>0</v>
      </c>
      <c r="H23" s="16">
        <f>IF($D$3=H$17,$H$9,0)</f>
        <v>0</v>
      </c>
      <c r="I23" s="16">
        <f>IF($D$3=I$17,$H$9,0)</f>
        <v>0</v>
      </c>
      <c r="J23" s="16">
        <f>IF($D$3=J$17,$H$9,0)</f>
        <v>0</v>
      </c>
      <c r="K23" s="16">
        <f>IF($D$3=K$17,$H$9,0)</f>
        <v>0</v>
      </c>
      <c r="L23" s="39">
        <f ca="1">IF($D$3=L$17,$H$9,0)</f>
        <v>420.95228327318392</v>
      </c>
    </row>
    <row r="24" spans="2:12">
      <c r="B24" s="33" t="s">
        <v>288</v>
      </c>
      <c r="C24" s="147">
        <f ca="1">IRR(D24:L24)</f>
        <v>0.38798403828278905</v>
      </c>
      <c r="D24" s="16">
        <f>SUM(D20)</f>
        <v>-48.30147405000001</v>
      </c>
      <c r="E24" s="16">
        <f>SUM(E20:E23)</f>
        <v>5.5546695157500015</v>
      </c>
      <c r="F24" s="16">
        <f t="shared" ref="F24:L24" si="3">SUM(F20:F23)</f>
        <v>5.5546695157500015</v>
      </c>
      <c r="G24" s="16">
        <f t="shared" si="3"/>
        <v>5.5546695157500015</v>
      </c>
      <c r="H24" s="16">
        <f t="shared" si="3"/>
        <v>5.5546695157500015</v>
      </c>
      <c r="I24" s="16">
        <f t="shared" si="3"/>
        <v>5.5546695157500015</v>
      </c>
      <c r="J24" s="16">
        <f t="shared" si="3"/>
        <v>5.5546695157500015</v>
      </c>
      <c r="K24" s="16">
        <f t="shared" si="3"/>
        <v>53.85614356575001</v>
      </c>
      <c r="L24" s="39">
        <f t="shared" ca="1" si="3"/>
        <v>420.95228327318392</v>
      </c>
    </row>
    <row r="25" spans="2:12">
      <c r="B25" s="33"/>
      <c r="L25" s="32"/>
    </row>
    <row r="26" spans="2:12">
      <c r="B26" s="264" t="s">
        <v>51</v>
      </c>
      <c r="L26" s="32"/>
    </row>
    <row r="27" spans="2:12">
      <c r="B27" s="33" t="s">
        <v>273</v>
      </c>
      <c r="D27" s="16">
        <f>-D10</f>
        <v>-28.229528167000005</v>
      </c>
      <c r="L27" s="32"/>
    </row>
    <row r="28" spans="2:12">
      <c r="B28" s="33" t="s">
        <v>285</v>
      </c>
      <c r="E28" s="6">
        <f>IF($D$3&gt;=E$17,-'Income Statement'!J19,0)</f>
        <v>3.6698386617100009</v>
      </c>
      <c r="F28" s="6">
        <f>IF($D$3&gt;=F$17,-'Income Statement'!K19,0)</f>
        <v>3.6698386617100009</v>
      </c>
      <c r="G28" s="6">
        <f>IF($D$3&gt;=G$17,-'Income Statement'!L19,0)</f>
        <v>3.6698386617100009</v>
      </c>
      <c r="H28" s="6">
        <f>IF($D$3&gt;=H$17,-'Income Statement'!M19,0)</f>
        <v>3.6698386617100009</v>
      </c>
      <c r="I28" s="6">
        <f>IF($D$3&gt;=I$17,-'Income Statement'!N19,0)</f>
        <v>3.6698386617100009</v>
      </c>
      <c r="J28" s="6">
        <f>IF($D$3&gt;=J$17,-'Income Statement'!O19,0)</f>
        <v>3.6698386617100009</v>
      </c>
      <c r="K28" s="6">
        <f>IF($D$3&gt;=K$17,-'Income Statement'!P19,0)</f>
        <v>0</v>
      </c>
      <c r="L28" s="86">
        <f>IF($D$3&gt;=L$17,-'Income Statement'!Q19,0)</f>
        <v>0</v>
      </c>
    </row>
    <row r="29" spans="2:12">
      <c r="B29" s="33" t="s">
        <v>286</v>
      </c>
      <c r="E29" s="16">
        <f>IF($D$3&gt;=E$17,SUM('Debt Repayment '!C19,'Debt Repayment '!C30),0)</f>
        <v>0</v>
      </c>
      <c r="F29" s="16">
        <f>IF($D$3&gt;=F$17,SUM('Debt Repayment '!D19,'Debt Repayment '!D30),0)</f>
        <v>0</v>
      </c>
      <c r="G29" s="16">
        <f>IF($D$3&gt;=G$17,SUM('Debt Repayment '!E19,'Debt Repayment '!E30),0)</f>
        <v>0</v>
      </c>
      <c r="H29" s="16">
        <f>IF($D$3&gt;=H$17,SUM('Debt Repayment '!F19,'Debt Repayment '!F30),0)</f>
        <v>0</v>
      </c>
      <c r="I29" s="16">
        <f>IF($D$3&gt;=I$17,SUM('Debt Repayment '!G19,'Debt Repayment '!G30),0)</f>
        <v>0</v>
      </c>
      <c r="J29" s="16">
        <f>IF($D$3&gt;=J$17,SUM('Debt Repayment '!H19,'Debt Repayment '!H30),0)</f>
        <v>28.229528167000005</v>
      </c>
      <c r="K29" s="16">
        <f>IF($D$3&gt;=K$17,SUM('Debt Repayment '!I19,'Debt Repayment '!I30),0)</f>
        <v>0</v>
      </c>
      <c r="L29" s="39">
        <f>IF($D$3&gt;=L$17,SUM('Debt Repayment '!J19,'Debt Repayment '!J30),0)</f>
        <v>0</v>
      </c>
    </row>
    <row r="30" spans="2:12">
      <c r="B30" s="33" t="s">
        <v>287</v>
      </c>
      <c r="E30" s="16">
        <f>IF($D$3=E$17,$H$10,0)</f>
        <v>0</v>
      </c>
      <c r="F30" s="16">
        <f>IF($D$3=F$17,$H$10,0)</f>
        <v>0</v>
      </c>
      <c r="G30" s="16">
        <f>IF($D$3=G$17,$H$10,0)</f>
        <v>0</v>
      </c>
      <c r="H30" s="16">
        <f>IF($D$3=H$17,$H$10,0)</f>
        <v>0</v>
      </c>
      <c r="I30" s="16">
        <f>IF($D$3=I$17,$H$10,0)</f>
        <v>0</v>
      </c>
      <c r="J30" s="16">
        <f>IF($D$3=J$17,$H$10,0)</f>
        <v>0</v>
      </c>
      <c r="K30" s="16">
        <f>IF($D$3=K$17,$H$10,0)</f>
        <v>0</v>
      </c>
      <c r="L30" s="39">
        <f ca="1">IF($D$3=L$17,$H$10,0)</f>
        <v>336.76182661854716</v>
      </c>
    </row>
    <row r="31" spans="2:12">
      <c r="B31" s="33" t="s">
        <v>288</v>
      </c>
      <c r="C31" s="147">
        <f ca="1">IRR(D31:L31)</f>
        <v>0.44442656724155771</v>
      </c>
      <c r="D31" s="16">
        <f>SUM(D27)</f>
        <v>-28.229528167000005</v>
      </c>
      <c r="E31" s="16">
        <f t="shared" ref="E31:L31" si="4">SUM(E27:E30)</f>
        <v>3.6698386617100009</v>
      </c>
      <c r="F31" s="16">
        <f t="shared" si="4"/>
        <v>3.6698386617100009</v>
      </c>
      <c r="G31" s="16">
        <f t="shared" si="4"/>
        <v>3.6698386617100009</v>
      </c>
      <c r="H31" s="16">
        <f t="shared" si="4"/>
        <v>3.6698386617100009</v>
      </c>
      <c r="I31" s="16">
        <f t="shared" si="4"/>
        <v>3.6698386617100009</v>
      </c>
      <c r="J31" s="16">
        <f t="shared" si="4"/>
        <v>31.899366828710008</v>
      </c>
      <c r="K31" s="16">
        <f t="shared" si="4"/>
        <v>0</v>
      </c>
      <c r="L31" s="39">
        <f t="shared" ca="1" si="4"/>
        <v>336.76182661854716</v>
      </c>
    </row>
    <row r="32" spans="2:12">
      <c r="B32" s="33"/>
      <c r="L32" s="32"/>
    </row>
    <row r="33" spans="2:12">
      <c r="B33" s="264" t="s">
        <v>59</v>
      </c>
      <c r="L33" s="32"/>
    </row>
    <row r="34" spans="2:12">
      <c r="B34" s="33" t="s">
        <v>273</v>
      </c>
      <c r="D34" s="16">
        <f>-D8</f>
        <v>-25.815721036485911</v>
      </c>
      <c r="L34" s="32"/>
    </row>
    <row r="35" spans="2:12">
      <c r="B35" s="33" t="s">
        <v>289</v>
      </c>
      <c r="E35" s="16">
        <f>IF($D$3&gt;=E$17,('Income Statement'!J$29*'IRR Analysis '!$E$8*-1),0)</f>
        <v>0.67224504855019518</v>
      </c>
      <c r="F35" s="16">
        <f>IF($D$3&gt;=F$17,('Income Statement'!K$29*'IRR Analysis '!$E$8*-1),0)</f>
        <v>0.71706138512020823</v>
      </c>
      <c r="G35" s="16">
        <f>IF($D$3&gt;=G$17,('Income Statement'!L$29*'IRR Analysis '!$E$8*-1),0)</f>
        <v>0.76187772169022128</v>
      </c>
      <c r="H35" s="16">
        <f>IF($D$3&gt;=H$17,('Income Statement'!M$29*'IRR Analysis '!$E$8*-1),0)</f>
        <v>0.80669405826023421</v>
      </c>
      <c r="I35" s="16">
        <f>IF($D$3&gt;=I$17,('Income Statement'!N$29*'IRR Analysis '!$E$8*-1),0)</f>
        <v>0.85151039483024726</v>
      </c>
      <c r="J35" s="16">
        <f>IF($D$3&gt;=J$17,('Income Statement'!O$29*'IRR Analysis '!$E$8*-1),0)</f>
        <v>0.89632673140026031</v>
      </c>
      <c r="K35" s="16">
        <f>IF($D$3&gt;=K$17,('Income Statement'!P$29*'IRR Analysis '!$E$8*-1),0)</f>
        <v>0.94114306797027325</v>
      </c>
      <c r="L35" s="39">
        <f>IF($D$3&gt;=L$17,('Income Statement'!Q$29*'IRR Analysis '!$E$8*-1),0)</f>
        <v>0.9859594045402863</v>
      </c>
    </row>
    <row r="36" spans="2:12">
      <c r="B36" s="33" t="s">
        <v>287</v>
      </c>
      <c r="E36" s="16">
        <f>IF($D$3=E$17,$H$8,0)</f>
        <v>0</v>
      </c>
      <c r="F36" s="16">
        <f>IF($D$3=F$17,$H$8,0)</f>
        <v>0</v>
      </c>
      <c r="G36" s="16">
        <f>IF($D$3=G$17,$H$8,0)</f>
        <v>0</v>
      </c>
      <c r="H36" s="16">
        <f>IF($D$3=H$17,$H$8,0)</f>
        <v>0</v>
      </c>
      <c r="I36" s="16">
        <f>IF($D$3=I$17,$H$8,0)</f>
        <v>0</v>
      </c>
      <c r="J36" s="16">
        <f>IF($D$3=J$17,$H$8,0)</f>
        <v>0</v>
      </c>
      <c r="K36" s="16">
        <f>IF($D$3=K$17,$H$8,0)</f>
        <v>0</v>
      </c>
      <c r="L36" s="39">
        <f ca="1">IF($D$3=L$17,$H$8,0)</f>
        <v>686.70562713794754</v>
      </c>
    </row>
    <row r="37" spans="2:12">
      <c r="B37" s="33" t="s">
        <v>288</v>
      </c>
      <c r="C37" s="147">
        <f ca="1">IRR(D37:L37)</f>
        <v>0.51745131779144526</v>
      </c>
      <c r="D37" s="16">
        <f>D34</f>
        <v>-25.815721036485911</v>
      </c>
      <c r="E37" s="16">
        <f>SUM(E35:E36)</f>
        <v>0.67224504855019518</v>
      </c>
      <c r="F37" s="16">
        <f t="shared" ref="F37:L37" si="5">SUM(F35:F36)</f>
        <v>0.71706138512020823</v>
      </c>
      <c r="G37" s="16">
        <f t="shared" si="5"/>
        <v>0.76187772169022128</v>
      </c>
      <c r="H37" s="16">
        <f t="shared" si="5"/>
        <v>0.80669405826023421</v>
      </c>
      <c r="I37" s="16">
        <f t="shared" si="5"/>
        <v>0.85151039483024726</v>
      </c>
      <c r="J37" s="16">
        <f t="shared" si="5"/>
        <v>0.89632673140026031</v>
      </c>
      <c r="K37" s="16">
        <f t="shared" si="5"/>
        <v>0.94114306797027325</v>
      </c>
      <c r="L37" s="39">
        <f t="shared" ca="1" si="5"/>
        <v>687.69158654248781</v>
      </c>
    </row>
    <row r="38" spans="2:12">
      <c r="B38" s="33"/>
      <c r="L38" s="32"/>
    </row>
    <row r="39" spans="2:12">
      <c r="B39" s="264" t="s">
        <v>56</v>
      </c>
      <c r="L39" s="32"/>
    </row>
    <row r="40" spans="2:12">
      <c r="B40" s="33" t="s">
        <v>273</v>
      </c>
      <c r="D40" s="16">
        <f>-D7</f>
        <v>-262.20113857625881</v>
      </c>
      <c r="L40" s="32"/>
    </row>
    <row r="41" spans="2:12">
      <c r="B41" s="33" t="s">
        <v>289</v>
      </c>
      <c r="E41" s="16">
        <f>IF($D$3&gt;=E$17,('Income Statement'!J$29*'IRR Analysis '!$E$7*-1),0)</f>
        <v>6.8277549514498048</v>
      </c>
      <c r="F41" s="16">
        <f>IF($D$3&gt;=F$17,('Income Statement'!K$29*'IRR Analysis '!$E$7*-1),0)</f>
        <v>7.2829386148797921</v>
      </c>
      <c r="G41" s="16">
        <f>IF($D$3&gt;=G$17,('Income Statement'!L$29*'IRR Analysis '!$E$7*-1),0)</f>
        <v>7.7381222783097794</v>
      </c>
      <c r="H41" s="16">
        <f>IF($D$3&gt;=H$17,('Income Statement'!M$29*'IRR Analysis '!$E$7*-1),0)</f>
        <v>8.1933059417397658</v>
      </c>
      <c r="I41" s="16">
        <f>IF($D$3&gt;=I$17,('Income Statement'!N$29*'IRR Analysis '!$E$7*-1),0)</f>
        <v>8.648489605169754</v>
      </c>
      <c r="J41" s="16">
        <f>IF($D$3&gt;=J$17,('Income Statement'!O$29*'IRR Analysis '!$E$7*-1),0)</f>
        <v>9.1036732685997404</v>
      </c>
      <c r="K41" s="16">
        <f>IF($D$3&gt;=K$17,('Income Statement'!P$29*'IRR Analysis '!$E$7*-1),0)</f>
        <v>9.5588569320297267</v>
      </c>
      <c r="L41" s="39">
        <f>IF($D$3&gt;=L$17,('Income Statement'!Q$29*'IRR Analysis '!$E$7*-1),0)</f>
        <v>10.014040595459715</v>
      </c>
    </row>
    <row r="42" spans="2:12">
      <c r="B42" s="33" t="s">
        <v>287</v>
      </c>
      <c r="E42" s="16">
        <f>IF($D$3=E$17,$H$7,0)</f>
        <v>0</v>
      </c>
      <c r="F42" s="16">
        <f>IF($D$3=F$17,$H$7,0)</f>
        <v>0</v>
      </c>
      <c r="G42" s="16">
        <f>IF($D$3=G$17,$H$7,0)</f>
        <v>0</v>
      </c>
      <c r="H42" s="16">
        <f>IF($D$3=H$17,$H$7,0)</f>
        <v>0</v>
      </c>
      <c r="I42" s="16">
        <f>IF($D$3=I$17,$H$7,0)</f>
        <v>0</v>
      </c>
      <c r="J42" s="16">
        <f>IF($D$3=J$17,$H$7,0)</f>
        <v>0</v>
      </c>
      <c r="K42" s="16">
        <f>IF($D$3=K$17,$H$7,0)</f>
        <v>0</v>
      </c>
      <c r="L42" s="39">
        <f ca="1">IF($D$3=L$17,$H$7,0)</f>
        <v>6974.6259284340003</v>
      </c>
    </row>
    <row r="43" spans="2:12">
      <c r="B43" s="141" t="s">
        <v>288</v>
      </c>
      <c r="C43" s="265">
        <f ca="1">IRR(D43:L43)</f>
        <v>0.51745131779144526</v>
      </c>
      <c r="D43" s="220">
        <f>D40</f>
        <v>-262.20113857625881</v>
      </c>
      <c r="E43" s="220">
        <f>SUM(E41:E42)</f>
        <v>6.8277549514498048</v>
      </c>
      <c r="F43" s="220">
        <f t="shared" ref="F43:L43" si="6">SUM(F41:F42)</f>
        <v>7.2829386148797921</v>
      </c>
      <c r="G43" s="220">
        <f t="shared" si="6"/>
        <v>7.7381222783097794</v>
      </c>
      <c r="H43" s="220">
        <f t="shared" si="6"/>
        <v>8.1933059417397658</v>
      </c>
      <c r="I43" s="220">
        <f t="shared" si="6"/>
        <v>8.648489605169754</v>
      </c>
      <c r="J43" s="220">
        <f t="shared" si="6"/>
        <v>9.1036732685997404</v>
      </c>
      <c r="K43" s="220">
        <f t="shared" si="6"/>
        <v>9.5588569320297267</v>
      </c>
      <c r="L43" s="175">
        <f t="shared" ca="1" si="6"/>
        <v>6984.6399690294602</v>
      </c>
    </row>
  </sheetData>
  <dataValidations count="1">
    <dataValidation type="list" allowBlank="1" showInputMessage="1" showErrorMessage="1" sqref="C3" xr:uid="{BD8FF11A-3C88-43CF-AFE2-E6A3D6EE7869}">
      <formula1>$E$16:$L$16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769488-79F1-4BC8-B8B5-55ACCA4BF4F1}">
          <x14:formula1>
            <xm:f>'DCF Analysis '!$D$23:$F$23</xm:f>
          </x14:formula1>
          <xm:sqref>L7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47B4-A4AD-4013-9C30-195FA5EABBCC}">
  <dimension ref="B4:K33"/>
  <sheetViews>
    <sheetView showGridLines="0" workbookViewId="0">
      <selection activeCell="B4" sqref="B4"/>
    </sheetView>
  </sheetViews>
  <sheetFormatPr defaultRowHeight="14.45"/>
  <cols>
    <col min="2" max="2" width="13.85546875" bestFit="1" customWidth="1"/>
    <col min="3" max="3" width="21" customWidth="1"/>
  </cols>
  <sheetData>
    <row r="4" spans="2:11" ht="15.6">
      <c r="B4" s="319" t="s">
        <v>290</v>
      </c>
      <c r="C4" s="239"/>
      <c r="D4" s="300">
        <v>2026</v>
      </c>
      <c r="E4" s="231">
        <v>2027</v>
      </c>
      <c r="F4" s="231">
        <v>2028</v>
      </c>
      <c r="G4" s="231">
        <v>2029</v>
      </c>
      <c r="H4" s="231">
        <v>2030</v>
      </c>
      <c r="I4" s="231">
        <v>2031</v>
      </c>
      <c r="J4" s="231">
        <v>2032</v>
      </c>
      <c r="K4" s="232">
        <v>2033</v>
      </c>
    </row>
    <row r="5" spans="2:11">
      <c r="B5" s="33"/>
      <c r="K5" s="32"/>
    </row>
    <row r="6" spans="2:11">
      <c r="B6" s="33" t="s">
        <v>291</v>
      </c>
      <c r="D6" s="16">
        <f>'Balance sheet '!L25/'Balance sheet '!L45</f>
        <v>1.6266253527918613</v>
      </c>
      <c r="E6" s="16">
        <f>'Balance sheet '!M25/'Balance sheet '!M45</f>
        <v>2.220848412394834</v>
      </c>
      <c r="F6" s="16">
        <f>'Balance sheet '!N25/'Balance sheet '!N45</f>
        <v>2.6994171981909716</v>
      </c>
      <c r="G6" s="16">
        <f>'Balance sheet '!O25/'Balance sheet '!O45</f>
        <v>3.1970622565226199</v>
      </c>
      <c r="H6" s="16">
        <f>'Balance sheet '!P25/'Balance sheet '!P45</f>
        <v>3.7170985005899526</v>
      </c>
      <c r="I6" s="16">
        <f>'Balance sheet '!Q25/'Balance sheet '!Q45</f>
        <v>4.3845289737490729</v>
      </c>
      <c r="J6" s="16">
        <f>'Balance sheet '!R25/'Balance sheet '!R45</f>
        <v>5.2379101965911561</v>
      </c>
      <c r="K6" s="39">
        <f>'Balance sheet '!S25/'Balance sheet '!S45</f>
        <v>9.002707435892928</v>
      </c>
    </row>
    <row r="7" spans="2:11">
      <c r="B7" s="33" t="s">
        <v>292</v>
      </c>
      <c r="D7" s="16">
        <f>'Balance sheet '!L40/'Balance sheet '!L49</f>
        <v>1.1360180809259246</v>
      </c>
      <c r="E7" s="16">
        <f>'Balance sheet '!M40/'Balance sheet '!M49</f>
        <v>0.50265147328594828</v>
      </c>
      <c r="F7" s="16">
        <f>'Balance sheet '!N40/'Balance sheet '!N49</f>
        <v>0.34648906182906392</v>
      </c>
      <c r="G7" s="16">
        <f>'Balance sheet '!O40/'Balance sheet '!O49</f>
        <v>0.25676816039778116</v>
      </c>
      <c r="H7" s="16">
        <f>'Balance sheet '!P40/'Balance sheet '!P49</f>
        <v>0.19800293165458965</v>
      </c>
      <c r="I7" s="16">
        <f>'Balance sheet '!Q40/'Balance sheet '!Q49</f>
        <v>0.14506067098648759</v>
      </c>
      <c r="J7" s="16">
        <f>'Balance sheet '!R40/'Balance sheet '!R49</f>
        <v>0.10008273976375563</v>
      </c>
      <c r="K7" s="39">
        <f>'Balance sheet '!S40/'Balance sheet '!S49</f>
        <v>0</v>
      </c>
    </row>
    <row r="8" spans="2:11">
      <c r="B8" s="33"/>
      <c r="D8" s="16"/>
      <c r="E8" s="16"/>
      <c r="F8" s="16"/>
      <c r="G8" s="16"/>
      <c r="H8" s="16"/>
      <c r="I8" s="16"/>
      <c r="J8" s="16"/>
      <c r="K8" s="39"/>
    </row>
    <row r="9" spans="2:11">
      <c r="B9" s="33" t="s">
        <v>293</v>
      </c>
      <c r="D9" s="16">
        <f>'Balance sheet '!L40/'Income Statement'!J36</f>
        <v>2.8597456004497359</v>
      </c>
      <c r="E9" s="16">
        <f>'Balance sheet '!M40/'Income Statement'!K36</f>
        <v>1.7085611741131748</v>
      </c>
      <c r="F9" s="16">
        <f>'Balance sheet '!N40/'Income Statement'!L36</f>
        <v>1.5002570408134681</v>
      </c>
      <c r="G9" s="16">
        <f>'Balance sheet '!O40/'Income Statement'!M36</f>
        <v>1.2904051998073038</v>
      </c>
      <c r="H9" s="16">
        <f>'Balance sheet '!P40/'Income Statement'!N36</f>
        <v>1.1110024666914153</v>
      </c>
      <c r="I9" s="16">
        <f>'Balance sheet '!Q40/'Income Statement'!O36</f>
        <v>0.87705122157054449</v>
      </c>
      <c r="J9" s="16">
        <f>'Balance sheet '!R40/'Income Statement'!P36</f>
        <v>0.64708641935914768</v>
      </c>
      <c r="K9" s="39">
        <f>'Balance sheet '!S40/'Income Statement'!Q36</f>
        <v>0</v>
      </c>
    </row>
    <row r="10" spans="2:11">
      <c r="B10" s="33" t="s">
        <v>294</v>
      </c>
      <c r="D10" s="16">
        <f>'Balance sheet '!L40/('Income Statement'!J34+'Income Statement'!J36)</f>
        <v>3.3190952700677094</v>
      </c>
      <c r="E10" s="16">
        <f>'Balance sheet '!M40/('Income Statement'!K34+'Income Statement'!K36)</f>
        <v>1.9792286723432444</v>
      </c>
      <c r="F10" s="16">
        <f>'Balance sheet '!N40/('Income Statement'!L34+'Income Statement'!L36)</f>
        <v>1.7465398493091604</v>
      </c>
      <c r="G10" s="16">
        <f>'Balance sheet '!O40/('Income Statement'!M34+'Income Statement'!M36)</f>
        <v>1.5030465943406057</v>
      </c>
      <c r="H10" s="16">
        <f>'Balance sheet '!P40/('Income Statement'!N34+'Income Statement'!N36)</f>
        <v>1.2950677341023498</v>
      </c>
      <c r="I10" s="16">
        <f>'Balance sheet '!Q40/('Income Statement'!O34+'Income Statement'!O36)</f>
        <v>1.0217749657833866</v>
      </c>
      <c r="J10" s="16">
        <f>'Balance sheet '!R40/('Income Statement'!P34+'Income Statement'!P36)</f>
        <v>0.75464902378607301</v>
      </c>
      <c r="K10" s="39">
        <f>'Balance sheet '!S40/('Income Statement'!Q34+'Income Statement'!Q36)</f>
        <v>0</v>
      </c>
    </row>
    <row r="11" spans="2:11">
      <c r="B11" s="33" t="s">
        <v>295</v>
      </c>
      <c r="D11" s="16">
        <f>IF('Balance sheet '!L40=0,0,('Balance sheet '!L40-'Balance sheet '!L7)/'Income Statement'!J36)</f>
        <v>2.8111190009584788</v>
      </c>
      <c r="E11" s="16">
        <f>IF('Balance sheet '!M40=0,0,('Balance sheet '!M40-'Balance sheet '!M7)/'Income Statement'!K36)</f>
        <v>1.6665874512618721</v>
      </c>
      <c r="F11" s="16">
        <f>IF('Balance sheet '!N40=0,0,('Balance sheet '!N40-'Balance sheet '!N7)/'Income Statement'!L36)</f>
        <v>0.71130450564856595</v>
      </c>
      <c r="G11" s="16">
        <f>IF('Balance sheet '!O40=0,0,('Balance sheet '!O40-'Balance sheet '!O7)/'Income Statement'!M36)</f>
        <v>-0.13398739301473472</v>
      </c>
      <c r="H11" s="16">
        <f>IF('Balance sheet '!P40=0,0,('Balance sheet '!P40-'Balance sheet '!P7)/'Income Statement'!N36)</f>
        <v>-0.84349301038708169</v>
      </c>
      <c r="I11" s="16">
        <f>IF('Balance sheet '!Q40=0,0,('Balance sheet '!Q40-'Balance sheet '!Q7)/'Income Statement'!O36)</f>
        <v>-1.4330653919273182</v>
      </c>
      <c r="J11" s="16">
        <f>IF('Balance sheet '!R40=0,0,('Balance sheet '!R40-'Balance sheet '!R7)/'Income Statement'!P36)</f>
        <v>-1.9387964321397748</v>
      </c>
      <c r="K11" s="39">
        <f>IF('Balance sheet '!S40=0,0,('Balance sheet '!S40-'Balance sheet '!S7)/'Income Statement'!Q36)</f>
        <v>0</v>
      </c>
    </row>
    <row r="12" spans="2:11">
      <c r="B12" s="33"/>
      <c r="K12" s="32"/>
    </row>
    <row r="13" spans="2:11">
      <c r="B13" s="297" t="s">
        <v>296</v>
      </c>
      <c r="D13" s="16">
        <f>'Income Statement'!J36/-'Income Statement'!J21</f>
        <v>3.0072103499120932</v>
      </c>
      <c r="E13" s="16">
        <f>'Income Statement'!K36/-'Income Statement'!K21</f>
        <v>4.5704187037130071</v>
      </c>
      <c r="F13" s="16">
        <f>'Income Statement'!L36/-'Income Statement'!L21</f>
        <v>6.8351733109780968</v>
      </c>
      <c r="G13" s="16">
        <f>'Income Statement'!M36/-'Income Statement'!M21</f>
        <v>7.9634718998039702</v>
      </c>
      <c r="H13" s="16">
        <f>'Income Statement'!N36/-'Income Statement'!N21</f>
        <v>9.2268663996392544</v>
      </c>
      <c r="I13" s="16">
        <f>'Income Statement'!O36/-'Income Statement'!O21</f>
        <v>10.780221479997516</v>
      </c>
      <c r="J13" s="16">
        <f>'Income Statement'!P36/-'Income Statement'!P21</f>
        <v>13.892257370766501</v>
      </c>
      <c r="K13" s="39">
        <f>'Income Statement'!Q36/-'Income Statement'!Q21</f>
        <v>19.671864640547074</v>
      </c>
    </row>
    <row r="14" spans="2:11">
      <c r="B14" s="297" t="s">
        <v>297</v>
      </c>
      <c r="D14" s="16">
        <f>'Income Statement'!J36/-SUM('Income Statement'!J15:J17)</f>
        <v>3.5503081368155165</v>
      </c>
      <c r="E14" s="16">
        <f>'Income Statement'!K36/-SUM('Income Statement'!K15:K17)</f>
        <v>5.6933964038077098</v>
      </c>
      <c r="F14" s="16">
        <f>'Income Statement'!L36/-SUM('Income Statement'!L15:L17)</f>
        <v>9.0272510162860016</v>
      </c>
      <c r="G14" s="16">
        <f>'Income Statement'!M36/-SUM('Income Statement'!M15:M17)</f>
        <v>10.52543398615153</v>
      </c>
      <c r="H14" s="16">
        <f>'Income Statement'!N36/-SUM('Income Statement'!N15:N17)</f>
        <v>12.261620232075753</v>
      </c>
      <c r="I14" s="16">
        <f>'Income Statement'!O36/-SUM('Income Statement'!O15:O17)</f>
        <v>14.406931862518677</v>
      </c>
      <c r="J14" s="16">
        <f>'Income Statement'!P36/-SUM('Income Statement'!P15:P17)</f>
        <v>16.772413127626788</v>
      </c>
      <c r="K14" s="39">
        <f>'Income Statement'!Q36/-SUM('Income Statement'!Q15:Q17)</f>
        <v>19.671864640547074</v>
      </c>
    </row>
    <row r="15" spans="2:11">
      <c r="B15" s="297" t="s">
        <v>298</v>
      </c>
      <c r="D15" s="16">
        <f>('Income Statement'!J36+'Income Statement'!J34)/-'Income Statement'!J21</f>
        <v>2.5910243207970898</v>
      </c>
      <c r="E15" s="16">
        <f>('Income Statement'!K36+'Income Statement'!K34)/-'Income Statement'!K21</f>
        <v>3.9453955248938888</v>
      </c>
      <c r="F15" s="16">
        <f>('Income Statement'!L36+'Income Statement'!L34)/-'Income Statement'!L21</f>
        <v>5.8713329037590203</v>
      </c>
      <c r="G15" s="16">
        <f>('Income Statement'!M36+'Income Statement'!M34)/-'Income Statement'!M21</f>
        <v>6.836850957727342</v>
      </c>
      <c r="H15" s="16">
        <f>('Income Statement'!N36+'Income Statement'!N34)/-'Income Statement'!N21</f>
        <v>7.9154711833946481</v>
      </c>
      <c r="I15" s="16">
        <f>('Income Statement'!O36+'Income Statement'!O34)/-'Income Statement'!O21</f>
        <v>9.2533157832692865</v>
      </c>
      <c r="J15" s="16">
        <f>('Income Statement'!P36+'Income Statement'!P34)/-'Income Statement'!P21</f>
        <v>11.912148290823673</v>
      </c>
      <c r="K15" s="39">
        <f>('Income Statement'!Q36+'Income Statement'!Q34)/-'Income Statement'!Q21</f>
        <v>16.869624128170095</v>
      </c>
    </row>
    <row r="16" spans="2:11">
      <c r="B16" s="297" t="s">
        <v>299</v>
      </c>
      <c r="D16" s="16">
        <f>('Income Statement'!J36+'Income Statement'!J34)/-SUM('Income Statement'!J15:J17)</f>
        <v>3.0589595201019804</v>
      </c>
      <c r="E16" s="16">
        <f>('Income Statement'!K36+'Income Statement'!K34)/-SUM('Income Statement'!K15:K17)</f>
        <v>4.9148014983356347</v>
      </c>
      <c r="F16" s="16">
        <f>('Income Statement'!L36+'Income Statement'!L34)/-SUM('Income Statement'!L15:L17)</f>
        <v>7.7543016849747728</v>
      </c>
      <c r="G16" s="16">
        <f>('Income Statement'!M36+'Income Statement'!M34)/-SUM('Income Statement'!M15:M17)</f>
        <v>9.0363630755685094</v>
      </c>
      <c r="H16" s="16">
        <f>('Income Statement'!N36+'Income Statement'!N34)/-SUM('Income Statement'!N15:N17)</f>
        <v>10.518901803164622</v>
      </c>
      <c r="I16" s="16">
        <f>('Income Statement'!O36+'Income Statement'!O34)/-SUM('Income Statement'!O15:O17)</f>
        <v>12.366340546832621</v>
      </c>
      <c r="J16" s="16">
        <f>('Income Statement'!P36+'Income Statement'!P34)/-SUM('Income Statement'!P15:P17)</f>
        <v>14.381785986176581</v>
      </c>
      <c r="K16" s="39">
        <f>('Income Statement'!Q36+'Income Statement'!Q34)/-SUM('Income Statement'!Q15:Q17)</f>
        <v>16.869624128170095</v>
      </c>
    </row>
    <row r="17" spans="2:11">
      <c r="B17" s="298" t="s">
        <v>300</v>
      </c>
      <c r="D17" s="16">
        <f>'Income Statement'!J11/-SUM('Income Statement'!J15:J17)</f>
        <v>3.0875865069670514</v>
      </c>
      <c r="E17" s="16">
        <f>'Income Statement'!K11/-SUM('Income Statement'!K15:K17)</f>
        <v>4.8926140071549682</v>
      </c>
      <c r="F17" s="16">
        <f>'Income Statement'!L11/-SUM('Income Statement'!L15:L17)</f>
        <v>7.9990887238026493</v>
      </c>
      <c r="G17" s="16">
        <f>'Income Statement'!M11/-SUM('Income Statement'!M15:M17)</f>
        <v>9.3571755267884811</v>
      </c>
      <c r="H17" s="16">
        <f>'Income Statement'!N11/-SUM('Income Statement'!N15:N17)</f>
        <v>10.951071649573635</v>
      </c>
      <c r="I17" s="16">
        <f>'Income Statement'!O11/-SUM('Income Statement'!O15:O17)</f>
        <v>12.822875649245384</v>
      </c>
      <c r="J17" s="16">
        <f>'Income Statement'!P11/-SUM('Income Statement'!P15:P17)</f>
        <v>15.02246644043014</v>
      </c>
      <c r="K17" s="39">
        <f>'Income Statement'!Q11/-SUM('Income Statement'!Q15:Q17)</f>
        <v>17.609004484764721</v>
      </c>
    </row>
    <row r="18" spans="2:11">
      <c r="B18" s="298" t="s">
        <v>301</v>
      </c>
      <c r="D18" s="16">
        <f>'Income Statement'!J11/-SUM('Income Statement'!J21)</f>
        <v>2.6152721798194496</v>
      </c>
      <c r="E18" s="16">
        <f>'Income Statement'!K11/-SUM('Income Statement'!K21)</f>
        <v>3.9275843419921035</v>
      </c>
      <c r="F18" s="16">
        <f>'Income Statement'!L11/-SUM('Income Statement'!L21)</f>
        <v>6.0566785678655268</v>
      </c>
      <c r="G18" s="16">
        <f>'Income Statement'!M11/-SUM('Income Statement'!M21)</f>
        <v>7.0795754804176978</v>
      </c>
      <c r="H18" s="16">
        <f>'Income Statement'!N11/-SUM('Income Statement'!N21)</f>
        <v>8.2406788932483011</v>
      </c>
      <c r="I18" s="16">
        <f>'Income Statement'!O11/-SUM('Income Statement'!O21)</f>
        <v>9.5949256113970165</v>
      </c>
      <c r="J18" s="16">
        <f>'Income Statement'!P11/-SUM('Income Statement'!P21)</f>
        <v>12.442811213039054</v>
      </c>
      <c r="K18" s="39">
        <f>'Income Statement'!Q11/-SUM('Income Statement'!Q21)</f>
        <v>17.609004484764721</v>
      </c>
    </row>
    <row r="19" spans="2:11">
      <c r="B19" s="33"/>
      <c r="K19" s="32"/>
    </row>
    <row r="20" spans="2:11">
      <c r="B20" s="33" t="s">
        <v>302</v>
      </c>
      <c r="D20" s="16">
        <f>'Balance sheet '!L12/'Balance sheet '!L32</f>
        <v>3.2151241151806125</v>
      </c>
      <c r="E20" s="16">
        <f>'Balance sheet '!M12/'Balance sheet '!M32</f>
        <v>3.3235948851921866</v>
      </c>
      <c r="F20" s="16">
        <f>'Balance sheet '!N12/'Balance sheet '!N32</f>
        <v>4.185730419565818</v>
      </c>
      <c r="G20" s="16">
        <f>'Balance sheet '!O12/'Balance sheet '!O32</f>
        <v>4.9989527511667839</v>
      </c>
      <c r="H20" s="16">
        <f>'Balance sheet '!P12/'Balance sheet '!P32</f>
        <v>5.7449414976990898</v>
      </c>
      <c r="I20" s="16">
        <f>'Balance sheet '!Q12/'Balance sheet '!Q32</f>
        <v>6.3482977461300196</v>
      </c>
      <c r="J20" s="16">
        <f>'Balance sheet '!R12/'Balance sheet '!R32</f>
        <v>6.8506902072796576</v>
      </c>
      <c r="K20" s="39">
        <f>'Balance sheet '!S12/'Balance sheet '!S32</f>
        <v>6.7626482950310818</v>
      </c>
    </row>
    <row r="21" spans="2:11">
      <c r="B21" s="33" t="s">
        <v>303</v>
      </c>
      <c r="D21" s="16">
        <f>SUM('Balance sheet '!L7:L8)/'Balance sheet '!L32</f>
        <v>1.2948483813798133</v>
      </c>
      <c r="E21" s="16">
        <f>SUM('Balance sheet '!M7:M8)/'Balance sheet '!M32</f>
        <v>1.3664556233159957</v>
      </c>
      <c r="F21" s="16">
        <f>SUM('Balance sheet '!N7:N8)/'Balance sheet '!N32</f>
        <v>2.1925744567331318</v>
      </c>
      <c r="G21" s="16">
        <f>SUM('Balance sheet '!O7:O8)/'Balance sheet '!O32</f>
        <v>2.9709137002409283</v>
      </c>
      <c r="H21" s="16">
        <f>SUM('Balance sheet '!P7:P8)/'Balance sheet '!P32</f>
        <v>3.6834021344117951</v>
      </c>
      <c r="I21" s="16">
        <f>SUM('Balance sheet '!Q7:Q8)/'Balance sheet '!Q32</f>
        <v>4.2548466127826376</v>
      </c>
      <c r="J21" s="16">
        <f>SUM('Balance sheet '!R7:R8)/'Balance sheet '!R32</f>
        <v>4.7270751478307584</v>
      </c>
      <c r="K21" s="39">
        <f>SUM('Balance sheet '!S7:S8)/'Balance sheet '!S32</f>
        <v>4.6107295224515461</v>
      </c>
    </row>
    <row r="22" spans="2:11">
      <c r="B22" s="33" t="s">
        <v>304</v>
      </c>
      <c r="D22" s="16">
        <f>'Balance sheet '!L7/'Balance sheet '!L32</f>
        <v>4.4593745034599674E-2</v>
      </c>
      <c r="E22" s="16">
        <f>'Balance sheet '!M7/'Balance sheet '!M32</f>
        <v>4.1288884063783907E-2</v>
      </c>
      <c r="F22" s="16">
        <f>'Balance sheet '!N7/'Balance sheet '!N32</f>
        <v>0.79421649164639119</v>
      </c>
      <c r="G22" s="16">
        <f>'Balance sheet '!O7/'Balance sheet '!O32</f>
        <v>1.5016681771427836</v>
      </c>
      <c r="H22" s="16">
        <f>'Balance sheet '!P7/'Balance sheet '!P32</f>
        <v>2.1460790566665695</v>
      </c>
      <c r="I22" s="16">
        <f>'Balance sheet '!Q7/'Balance sheet '!Q32</f>
        <v>2.6526741316434497</v>
      </c>
      <c r="J22" s="16">
        <f>'Balance sheet '!R7/'Balance sheet '!R32</f>
        <v>3.0636051389135841</v>
      </c>
      <c r="K22" s="39">
        <f>'Balance sheet '!S7/'Balance sheet '!S32</f>
        <v>2.8897422117081337</v>
      </c>
    </row>
    <row r="23" spans="2:11">
      <c r="B23" s="33"/>
      <c r="K23" s="32"/>
    </row>
    <row r="24" spans="2:11">
      <c r="B24" s="33" t="s">
        <v>305</v>
      </c>
      <c r="D24" s="16">
        <f>-'Income Statement'!J7/AVERAGE('Balance sheet '!K9:L9)</f>
        <v>2.719380723800497</v>
      </c>
      <c r="E24" s="16">
        <f>-'Income Statement'!K7/AVERAGE('Balance sheet '!L9:M9)</f>
        <v>2.8508215400957129</v>
      </c>
      <c r="F24" s="16">
        <f>-'Income Statement'!L7/AVERAGE('Balance sheet '!M9:N9)</f>
        <v>2.8508215400957133</v>
      </c>
      <c r="G24" s="16">
        <f>-'Income Statement'!M7/AVERAGE('Balance sheet '!N9:O9)</f>
        <v>2.8508215400957129</v>
      </c>
      <c r="H24" s="16">
        <f>-'Income Statement'!N7/AVERAGE('Balance sheet '!O9:P9)</f>
        <v>2.8508215400957129</v>
      </c>
      <c r="I24" s="16">
        <f>-'Income Statement'!O7/AVERAGE('Balance sheet '!P9:Q9)</f>
        <v>2.8508215400957129</v>
      </c>
      <c r="J24" s="16">
        <f>-'Income Statement'!P7/AVERAGE('Balance sheet '!Q9:R9)</f>
        <v>2.8508215400957133</v>
      </c>
      <c r="K24" s="39">
        <f>-'Income Statement'!Q7/AVERAGE('Balance sheet '!R9:S9)</f>
        <v>2.8508215400957129</v>
      </c>
    </row>
    <row r="25" spans="2:11">
      <c r="B25" s="33" t="s">
        <v>306</v>
      </c>
      <c r="D25" s="16">
        <f>'Income Statement'!J6/AVERAGE('Balance sheet '!K8:L8)</f>
        <v>4.6049826915501608</v>
      </c>
      <c r="E25" s="16">
        <f>'Income Statement'!K6/AVERAGE('Balance sheet '!L8:M8)</f>
        <v>4.8162358130447656</v>
      </c>
      <c r="F25" s="16">
        <f>'Income Statement'!L6/AVERAGE('Balance sheet '!M8:N8)</f>
        <v>4.8162358130447656</v>
      </c>
      <c r="G25" s="16">
        <f>'Income Statement'!M6/AVERAGE('Balance sheet '!N8:O8)</f>
        <v>4.8162358130447656</v>
      </c>
      <c r="H25" s="16">
        <f>'Income Statement'!N6/AVERAGE('Balance sheet '!O8:P8)</f>
        <v>4.8162358130447656</v>
      </c>
      <c r="I25" s="16">
        <f>'Income Statement'!O6/AVERAGE('Balance sheet '!P8:Q8)</f>
        <v>4.8162358130447664</v>
      </c>
      <c r="J25" s="16">
        <f>'Income Statement'!P6/AVERAGE('Balance sheet '!Q8:R8)</f>
        <v>4.8162358130447656</v>
      </c>
      <c r="K25" s="39">
        <f>'Income Statement'!Q6/AVERAGE('Balance sheet '!R8:S8)</f>
        <v>4.8162358130447656</v>
      </c>
    </row>
    <row r="26" spans="2:11">
      <c r="B26" s="33" t="s">
        <v>307</v>
      </c>
      <c r="D26" s="16">
        <f>-'Income Statement'!J7/AVERAGE('Balance sheet '!K28:L28)</f>
        <v>6.9433257250375187</v>
      </c>
      <c r="E26" s="16">
        <f>-'Income Statement'!K7/AVERAGE('Balance sheet '!L28:M28)</f>
        <v>6.8737089579742587</v>
      </c>
      <c r="F26" s="16">
        <f>-'Income Statement'!L7/AVERAGE('Balance sheet '!M28:N28)</f>
        <v>6.8737089579742596</v>
      </c>
      <c r="G26" s="16">
        <f>-'Income Statement'!M7/AVERAGE('Balance sheet '!N28:O28)</f>
        <v>6.8737089579742587</v>
      </c>
      <c r="H26" s="16">
        <f>-'Income Statement'!N7/AVERAGE('Balance sheet '!O28:P28)</f>
        <v>6.8737089579742578</v>
      </c>
      <c r="I26" s="16">
        <f>-'Income Statement'!O7/AVERAGE('Balance sheet '!P28:Q28)</f>
        <v>6.8737089579742587</v>
      </c>
      <c r="J26" s="16">
        <f>-'Income Statement'!P7/AVERAGE('Balance sheet '!Q28:R28)</f>
        <v>6.8737089579742578</v>
      </c>
      <c r="K26" s="39">
        <f>-'Income Statement'!Q7/AVERAGE('Balance sheet '!R28:S28)</f>
        <v>6.873708957974257</v>
      </c>
    </row>
    <row r="27" spans="2:11">
      <c r="B27" s="297" t="s">
        <v>308</v>
      </c>
      <c r="D27" s="16">
        <f>365/D24</f>
        <v>134.22173541404334</v>
      </c>
      <c r="E27" s="16">
        <f t="shared" ref="E27:K27" si="0">365/E24</f>
        <v>128.03326860921135</v>
      </c>
      <c r="F27" s="16">
        <f t="shared" si="0"/>
        <v>128.03326860921132</v>
      </c>
      <c r="G27" s="16">
        <f t="shared" si="0"/>
        <v>128.03326860921135</v>
      </c>
      <c r="H27" s="16">
        <f t="shared" si="0"/>
        <v>128.03326860921135</v>
      </c>
      <c r="I27" s="16">
        <f t="shared" si="0"/>
        <v>128.03326860921135</v>
      </c>
      <c r="J27" s="16">
        <f t="shared" si="0"/>
        <v>128.03326860921132</v>
      </c>
      <c r="K27" s="39">
        <f t="shared" si="0"/>
        <v>128.03326860921135</v>
      </c>
    </row>
    <row r="28" spans="2:11">
      <c r="B28" s="297" t="s">
        <v>309</v>
      </c>
      <c r="D28" s="16">
        <f t="shared" ref="D28:K28" si="1">365/D25</f>
        <v>79.261970011255613</v>
      </c>
      <c r="E28" s="16">
        <f t="shared" si="1"/>
        <v>75.785325754066733</v>
      </c>
      <c r="F28" s="16">
        <f t="shared" si="1"/>
        <v>75.785325754066733</v>
      </c>
      <c r="G28" s="16">
        <f t="shared" si="1"/>
        <v>75.785325754066733</v>
      </c>
      <c r="H28" s="16">
        <f t="shared" si="1"/>
        <v>75.785325754066733</v>
      </c>
      <c r="I28" s="16">
        <f t="shared" si="1"/>
        <v>75.785325754066719</v>
      </c>
      <c r="J28" s="16">
        <f t="shared" si="1"/>
        <v>75.785325754066733</v>
      </c>
      <c r="K28" s="39">
        <f t="shared" si="1"/>
        <v>75.785325754066733</v>
      </c>
    </row>
    <row r="29" spans="2:11">
      <c r="B29" s="297" t="s">
        <v>310</v>
      </c>
      <c r="D29" s="16">
        <f t="shared" ref="D29:K29" si="2">365/D26</f>
        <v>52.568468548697922</v>
      </c>
      <c r="E29" s="16">
        <f t="shared" si="2"/>
        <v>53.100880795448845</v>
      </c>
      <c r="F29" s="16">
        <f t="shared" si="2"/>
        <v>53.100880795448838</v>
      </c>
      <c r="G29" s="16">
        <f t="shared" si="2"/>
        <v>53.100880795448845</v>
      </c>
      <c r="H29" s="16">
        <f t="shared" si="2"/>
        <v>53.100880795448852</v>
      </c>
      <c r="I29" s="16">
        <f t="shared" si="2"/>
        <v>53.100880795448845</v>
      </c>
      <c r="J29" s="16">
        <f t="shared" si="2"/>
        <v>53.100880795448852</v>
      </c>
      <c r="K29" s="39">
        <f t="shared" si="2"/>
        <v>53.100880795448859</v>
      </c>
    </row>
    <row r="30" spans="2:11">
      <c r="B30" s="33"/>
      <c r="K30" s="32"/>
    </row>
    <row r="31" spans="2:11">
      <c r="B31" s="33" t="s">
        <v>311</v>
      </c>
      <c r="D31" s="25">
        <f>('Income Statement'!J11+'Income Statement'!J33)/'Income Statement'!J6</f>
        <v>0.16257689624253388</v>
      </c>
      <c r="E31" s="25">
        <f>('Income Statement'!K11+'Income Statement'!K33)/'Income Statement'!K6</f>
        <v>0.16452897159403254</v>
      </c>
      <c r="F31" s="25">
        <f>('Income Statement'!L11+'Income Statement'!L33)/'Income Statement'!L6</f>
        <v>0.15956106254222549</v>
      </c>
      <c r="G31" s="25">
        <f>('Income Statement'!M11+'Income Statement'!M33)/'Income Statement'!M6</f>
        <v>0.15904028680251739</v>
      </c>
      <c r="H31" s="25">
        <f>('Income Statement'!N11+'Income Statement'!N33)/'Income Statement'!N6</f>
        <v>0.15830810683173938</v>
      </c>
      <c r="I31" s="25">
        <f>('Income Statement'!O11+'Income Statement'!O33)/'Income Statement'!O6</f>
        <v>0.15885393827508648</v>
      </c>
      <c r="J31" s="25">
        <f>('Income Statement'!P11+'Income Statement'!P33)/'Income Statement'!P6</f>
        <v>0.15785786450273304</v>
      </c>
      <c r="K31" s="34">
        <f>('Income Statement'!Q11+'Income Statement'!Q33)/'Income Statement'!Q6</f>
        <v>0.15795109393977841</v>
      </c>
    </row>
    <row r="32" spans="2:11">
      <c r="B32" s="33" t="s">
        <v>312</v>
      </c>
      <c r="D32" s="25">
        <f>'Income Statement'!J11/'Income Statement'!J6</f>
        <v>0.14138779278839639</v>
      </c>
      <c r="E32" s="25">
        <f>'Income Statement'!K11/'Income Statement'!K6</f>
        <v>0.14138779278839636</v>
      </c>
      <c r="F32" s="25">
        <f>'Income Statement'!L11/'Income Statement'!L6</f>
        <v>0.14138779278839633</v>
      </c>
      <c r="G32" s="25">
        <f>'Income Statement'!M11/'Income Statement'!M6</f>
        <v>0.1413877927883963</v>
      </c>
      <c r="H32" s="25">
        <f>'Income Statement'!N11/'Income Statement'!N6</f>
        <v>0.14138779278839639</v>
      </c>
      <c r="I32" s="25">
        <f>'Income Statement'!O11/'Income Statement'!O6</f>
        <v>0.14138779278839636</v>
      </c>
      <c r="J32" s="25">
        <f>'Income Statement'!P11/'Income Statement'!P6</f>
        <v>0.14138779278839636</v>
      </c>
      <c r="K32" s="34">
        <f>'Income Statement'!Q11/'Income Statement'!Q6</f>
        <v>0.14138779278839639</v>
      </c>
    </row>
    <row r="33" spans="2:11">
      <c r="B33" s="141" t="s">
        <v>313</v>
      </c>
      <c r="C33" s="257"/>
      <c r="D33" s="96">
        <f>'Income Statement'!J26/'Income Statement'!J6</f>
        <v>0.17588225064830854</v>
      </c>
      <c r="E33" s="96">
        <f>'Income Statement'!K26/'Income Statement'!K6</f>
        <v>0.1806457311591671</v>
      </c>
      <c r="F33" s="96">
        <f>'Income Statement'!L26/'Income Statement'!L6</f>
        <v>0.18212208367812047</v>
      </c>
      <c r="G33" s="96">
        <f>'Income Statement'!M26/'Income Statement'!M6</f>
        <v>0.17645119029326334</v>
      </c>
      <c r="H33" s="96">
        <f>'Income Statement'!N26/'Income Statement'!N6</f>
        <v>0.17117469549309189</v>
      </c>
      <c r="I33" s="96">
        <f>'Income Statement'!O26/'Income Statement'!O6</f>
        <v>0.16627241740229204</v>
      </c>
      <c r="J33" s="96">
        <f>'Income Statement'!P26/'Income Statement'!P6</f>
        <v>0.16296618369929702</v>
      </c>
      <c r="K33" s="97">
        <f>'Income Statement'!Q26/'Income Statement'!Q6</f>
        <v>0.16005015944715487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7620-72EA-46F9-BC78-E2846D55948F}">
  <dimension ref="B3:H142"/>
  <sheetViews>
    <sheetView showGridLines="0" tabSelected="1" workbookViewId="0">
      <pane ySplit="5" topLeftCell="A6" activePane="bottomLeft" state="frozen"/>
      <selection pane="bottomLeft" activeCell="A24" sqref="A24"/>
    </sheetView>
  </sheetViews>
  <sheetFormatPr defaultRowHeight="14.45"/>
  <cols>
    <col min="2" max="2" width="36.42578125" customWidth="1"/>
    <col min="3" max="3" width="10.140625" customWidth="1"/>
    <col min="8" max="8" width="8.85546875" customWidth="1"/>
  </cols>
  <sheetData>
    <row r="3" spans="2:7">
      <c r="B3" s="14" t="s">
        <v>314</v>
      </c>
      <c r="C3" s="10" t="s">
        <v>315</v>
      </c>
      <c r="D3" s="10" t="s">
        <v>315</v>
      </c>
      <c r="E3" s="10" t="s">
        <v>315</v>
      </c>
      <c r="F3" s="10" t="s">
        <v>315</v>
      </c>
      <c r="G3" s="10" t="s">
        <v>315</v>
      </c>
    </row>
    <row r="4" spans="2:7">
      <c r="B4" s="13" t="s">
        <v>316</v>
      </c>
      <c r="C4" s="11">
        <v>2021</v>
      </c>
      <c r="D4" s="11">
        <v>2022</v>
      </c>
      <c r="E4" s="11">
        <v>2023</v>
      </c>
      <c r="F4" s="11">
        <v>2024</v>
      </c>
      <c r="G4" s="12">
        <v>2025</v>
      </c>
    </row>
    <row r="6" spans="2:7">
      <c r="B6" s="348" t="s">
        <v>317</v>
      </c>
      <c r="C6" s="349"/>
      <c r="D6" s="349"/>
      <c r="E6" s="349"/>
      <c r="F6" s="349"/>
      <c r="G6" s="350"/>
    </row>
    <row r="7" spans="2:7">
      <c r="B7" s="351"/>
      <c r="C7" s="352"/>
      <c r="D7" s="352"/>
      <c r="E7" s="352"/>
      <c r="F7" s="352"/>
      <c r="G7" s="353"/>
    </row>
    <row r="8" spans="2:7">
      <c r="B8" s="28"/>
      <c r="C8" s="29"/>
      <c r="D8" s="29"/>
      <c r="E8" s="29"/>
      <c r="F8" s="29"/>
      <c r="G8" s="30"/>
    </row>
    <row r="9" spans="2:7">
      <c r="B9" s="43" t="s">
        <v>78</v>
      </c>
      <c r="C9" s="29"/>
      <c r="D9" s="29"/>
      <c r="E9" s="29"/>
      <c r="F9" s="29"/>
      <c r="G9" s="30"/>
    </row>
    <row r="10" spans="2:7">
      <c r="B10" s="28"/>
      <c r="C10" s="29"/>
      <c r="D10" s="29"/>
      <c r="E10" s="29"/>
      <c r="F10" s="29"/>
      <c r="G10" s="30"/>
    </row>
    <row r="11" spans="2:7">
      <c r="B11" s="31" t="s">
        <v>82</v>
      </c>
      <c r="G11" s="32"/>
    </row>
    <row r="12" spans="2:7">
      <c r="B12" s="33" t="s">
        <v>83</v>
      </c>
      <c r="D12" s="25">
        <f>('Balance sheet '!E7-'Balance sheet '!D7)/'Balance sheet '!D7</f>
        <v>-0.83519271937596329</v>
      </c>
      <c r="E12" s="25">
        <f>('Balance sheet '!F7-'Balance sheet '!E7)/'Balance sheet '!E7</f>
        <v>-0.4881160402253763</v>
      </c>
      <c r="F12" s="25">
        <f>('Balance sheet '!G7-'Balance sheet '!F7)/'Balance sheet '!F7</f>
        <v>1.2037549854572689</v>
      </c>
      <c r="G12" s="34">
        <f>('Balance sheet '!H7-'Balance sheet '!G7)/'Balance sheet '!G7</f>
        <v>0.29847549651079164</v>
      </c>
    </row>
    <row r="13" spans="2:7">
      <c r="B13" s="33" t="s">
        <v>26</v>
      </c>
      <c r="D13" s="25">
        <f>('Balance sheet '!E8-'Balance sheet '!D8)/'Balance sheet '!D8</f>
        <v>0.15224805097718144</v>
      </c>
      <c r="E13" s="25">
        <f>('Balance sheet '!F8-'Balance sheet '!E8)/'Balance sheet '!E8</f>
        <v>0.191454161234313</v>
      </c>
      <c r="F13" s="25">
        <f>('Balance sheet '!G8-'Balance sheet '!F8)/'Balance sheet '!F8</f>
        <v>-0.12859454985878729</v>
      </c>
      <c r="G13" s="34">
        <f>('Balance sheet '!H8-'Balance sheet '!G8)/'Balance sheet '!G8</f>
        <v>0.33415528791885468</v>
      </c>
    </row>
    <row r="14" spans="2:7">
      <c r="B14" s="33" t="s">
        <v>29</v>
      </c>
      <c r="D14" s="25">
        <f>('Balance sheet '!E9-'Balance sheet '!D9)/'Balance sheet '!D9</f>
        <v>0.26080372683262931</v>
      </c>
      <c r="E14" s="25">
        <f>('Balance sheet '!F9-'Balance sheet '!E9)/'Balance sheet '!E9</f>
        <v>0.2678673384909645</v>
      </c>
      <c r="F14" s="25">
        <f>('Balance sheet '!G9-'Balance sheet '!F9)/'Balance sheet '!F9</f>
        <v>5.0554887882532047E-2</v>
      </c>
      <c r="G14" s="34">
        <f>('Balance sheet '!H9-'Balance sheet '!G9)/'Balance sheet '!G9</f>
        <v>6.1155161123279789E-2</v>
      </c>
    </row>
    <row r="15" spans="2:7">
      <c r="B15" s="33" t="s">
        <v>31</v>
      </c>
      <c r="D15" s="25">
        <f>('Balance sheet '!E10-'Balance sheet '!D10)/'Balance sheet '!D10</f>
        <v>0.3505697449624508</v>
      </c>
      <c r="E15" s="25">
        <f>('Balance sheet '!F10-'Balance sheet '!E10)/'Balance sheet '!E10</f>
        <v>-0.81382625481296955</v>
      </c>
      <c r="F15" s="25">
        <f>('Balance sheet '!G10-'Balance sheet '!F10)/'Balance sheet '!F10</f>
        <v>1.5971056814401363</v>
      </c>
      <c r="G15" s="34">
        <f>('Balance sheet '!H10-'Balance sheet '!G10)/'Balance sheet '!G10</f>
        <v>3.6552423515681154</v>
      </c>
    </row>
    <row r="16" spans="2:7">
      <c r="B16" s="33" t="s">
        <v>33</v>
      </c>
      <c r="D16" s="25">
        <f>('Balance sheet '!E11-'Balance sheet '!D11)/'Balance sheet '!D11</f>
        <v>0.15105755041810143</v>
      </c>
      <c r="E16" s="25">
        <f>('Balance sheet '!F11-'Balance sheet '!E11)/'Balance sheet '!E11</f>
        <v>-1.7819751292679716E-2</v>
      </c>
      <c r="F16" s="25">
        <f>('Balance sheet '!G11-'Balance sheet '!F11)/'Balance sheet '!F11</f>
        <v>8.2683605986773295E-2</v>
      </c>
      <c r="G16" s="34">
        <f>('Balance sheet '!H11-'Balance sheet '!G11)/'Balance sheet '!G11</f>
        <v>0.26344215653180314</v>
      </c>
    </row>
    <row r="17" spans="2:8">
      <c r="B17" s="35" t="s">
        <v>84</v>
      </c>
      <c r="C17" s="7"/>
      <c r="D17" s="26">
        <f>('Balance sheet '!E12-'Balance sheet '!D12)/'Balance sheet '!D12</f>
        <v>5.8414914824679365E-2</v>
      </c>
      <c r="E17" s="26">
        <f>('Balance sheet '!F12-'Balance sheet '!E12)/'Balance sheet '!E12</f>
        <v>7.7937560602676245E-2</v>
      </c>
      <c r="F17" s="26">
        <f>('Balance sheet '!G12-'Balance sheet '!F12)/'Balance sheet '!F12</f>
        <v>1.5669545664844263E-2</v>
      </c>
      <c r="G17" s="36">
        <f>('Balance sheet '!H12-'Balance sheet '!G12)/'Balance sheet '!G12</f>
        <v>0.37421243144438332</v>
      </c>
    </row>
    <row r="18" spans="2:8">
      <c r="B18" s="33"/>
      <c r="G18" s="32"/>
    </row>
    <row r="19" spans="2:8">
      <c r="B19" s="33" t="s">
        <v>318</v>
      </c>
      <c r="D19" s="25">
        <f>(SUM('Balance sheet '!E14:E17)-SUM('Balance sheet '!D14:D17))/SUM('Balance sheet '!D14:D17)</f>
        <v>0.10854635378334947</v>
      </c>
      <c r="E19" s="25">
        <f>(SUM('Balance sheet '!F14:F17)-SUM('Balance sheet '!E14:E17))/SUM('Balance sheet '!E14:E17)</f>
        <v>8.7105167809264278E-2</v>
      </c>
      <c r="F19" s="25">
        <f>(SUM('Balance sheet '!G14:G17)-SUM('Balance sheet '!F14:F17))/SUM('Balance sheet '!F14:F17)</f>
        <v>5.8785169174254435E-2</v>
      </c>
      <c r="G19" s="34">
        <f>(SUM('Balance sheet '!H14:H17)-SUM('Balance sheet '!G14:G17))/SUM('Balance sheet '!G14:G17)</f>
        <v>2.9674544860754336E-2</v>
      </c>
    </row>
    <row r="20" spans="2:8">
      <c r="B20" s="33" t="s">
        <v>38</v>
      </c>
      <c r="D20" s="25">
        <f>('Balance sheet '!E20-'Balance sheet '!D20)/'Balance sheet '!D20</f>
        <v>2.9943094509933658E-2</v>
      </c>
      <c r="E20" s="25">
        <f>('Balance sheet '!F20-'Balance sheet '!E20)/'Balance sheet '!E20</f>
        <v>2.6429610678619896E-2</v>
      </c>
      <c r="F20" s="25">
        <f>('Balance sheet '!G20-'Balance sheet '!F20)/'Balance sheet '!F20</f>
        <v>3.2186340889398715E-2</v>
      </c>
      <c r="G20" s="34">
        <f>('Balance sheet '!H20-'Balance sheet '!G20)/'Balance sheet '!G20</f>
        <v>0.1659205689717321</v>
      </c>
      <c r="H20" s="25"/>
    </row>
    <row r="21" spans="2:8">
      <c r="B21" s="33" t="s">
        <v>31</v>
      </c>
      <c r="D21" s="25">
        <f>('Balance sheet '!E21-'Balance sheet '!D21)/'Balance sheet '!D21</f>
        <v>3.0083989626210474</v>
      </c>
      <c r="E21" s="25">
        <f>('Balance sheet '!F21-'Balance sheet '!E21)/'Balance sheet '!E21</f>
        <v>5.6586078150876337E-2</v>
      </c>
      <c r="F21" s="25">
        <f>('Balance sheet '!G21-'Balance sheet '!F21)/'Balance sheet '!F21</f>
        <v>-0.87295648363501532</v>
      </c>
      <c r="G21" s="34">
        <f>('Balance sheet '!H21-'Balance sheet '!G21)/'Balance sheet '!G21</f>
        <v>2.5913151145308112E-2</v>
      </c>
    </row>
    <row r="22" spans="2:8">
      <c r="B22" s="33" t="s">
        <v>43</v>
      </c>
      <c r="D22" s="25">
        <f>('Balance sheet '!E22-'Balance sheet '!D22)/'Balance sheet '!D22</f>
        <v>-0.53161002910649602</v>
      </c>
      <c r="E22" s="25">
        <f>('Balance sheet '!F22-'Balance sheet '!E22)/'Balance sheet '!E22</f>
        <v>1.0301316762243489</v>
      </c>
      <c r="F22" s="25">
        <f>('Balance sheet '!G22-'Balance sheet '!F22)/'Balance sheet '!F22</f>
        <v>0.50795259935828052</v>
      </c>
      <c r="G22" s="34">
        <f>('Balance sheet '!H22-'Balance sheet '!G22)/'Balance sheet '!G22</f>
        <v>-0.13322150498332377</v>
      </c>
      <c r="H22" s="25"/>
    </row>
    <row r="23" spans="2:8">
      <c r="B23" s="35" t="s">
        <v>91</v>
      </c>
      <c r="C23" s="7"/>
      <c r="D23" s="26">
        <f>('Balance sheet '!E23-'Balance sheet '!D23)/'Balance sheet '!D23</f>
        <v>8.7014118175541139E-2</v>
      </c>
      <c r="E23" s="26">
        <f>('Balance sheet '!F23-'Balance sheet '!E23)/'Balance sheet '!E23</f>
        <v>7.1208874873972677E-2</v>
      </c>
      <c r="F23" s="26">
        <f>('Balance sheet '!G23-'Balance sheet '!F23)/'Balance sheet '!F23</f>
        <v>1.0626547108570843E-2</v>
      </c>
      <c r="G23" s="36">
        <f>('Balance sheet '!H23-'Balance sheet '!G23)/'Balance sheet '!G23</f>
        <v>8.6733030766530259E-2</v>
      </c>
    </row>
    <row r="24" spans="2:8">
      <c r="B24" s="33"/>
      <c r="G24" s="32"/>
    </row>
    <row r="25" spans="2:8">
      <c r="B25" s="35" t="s">
        <v>92</v>
      </c>
      <c r="C25" s="7"/>
      <c r="D25" s="26">
        <f>('Balance sheet '!E25-'Balance sheet '!D25)/'Balance sheet '!D25</f>
        <v>6.9647138254266189E-2</v>
      </c>
      <c r="E25" s="26">
        <f>('Balance sheet '!F25-'Balance sheet '!E25)/'Balance sheet '!E25</f>
        <v>7.5251989261442498E-2</v>
      </c>
      <c r="F25" s="26">
        <f>('Balance sheet '!G25-'Balance sheet '!F25)/'Balance sheet '!F25</f>
        <v>1.3664338718269961E-2</v>
      </c>
      <c r="G25" s="36">
        <f>('Balance sheet '!H25-'Balance sheet '!G25)/'Balance sheet '!G25</f>
        <v>0.26024687338579267</v>
      </c>
    </row>
    <row r="26" spans="2:8">
      <c r="B26" s="33"/>
      <c r="G26" s="32"/>
    </row>
    <row r="27" spans="2:8">
      <c r="B27" s="31" t="s">
        <v>319</v>
      </c>
      <c r="G27" s="32"/>
    </row>
    <row r="28" spans="2:8">
      <c r="B28" s="33" t="s">
        <v>46</v>
      </c>
      <c r="D28" s="25">
        <f>('Balance sheet '!E28-'Balance sheet '!D28)/'Balance sheet '!D28</f>
        <v>-0.19329616889040907</v>
      </c>
      <c r="E28" s="25">
        <f>('Balance sheet '!F28-'Balance sheet '!E28)/'Balance sheet '!E28</f>
        <v>0.12616759064584648</v>
      </c>
      <c r="F28" s="25">
        <f>('Balance sheet '!G28-'Balance sheet '!F28)/'Balance sheet '!F28</f>
        <v>-2.5691743501077231E-2</v>
      </c>
      <c r="G28" s="34">
        <f>('Balance sheet '!H28-'Balance sheet '!G28)/'Balance sheet '!G28</f>
        <v>0.22325223113047943</v>
      </c>
    </row>
    <row r="29" spans="2:8">
      <c r="B29" s="33" t="s">
        <v>93</v>
      </c>
      <c r="D29" s="25">
        <f>('Balance sheet '!E29-'Balance sheet '!D29)/'Balance sheet '!D29</f>
        <v>-0.98438266249198392</v>
      </c>
      <c r="E29" s="25">
        <f>('Balance sheet '!F29-'Balance sheet '!E29)/'Balance sheet '!E29</f>
        <v>4.6062801932367154</v>
      </c>
      <c r="F29" s="25">
        <f>('Balance sheet '!G29-'Balance sheet '!F29)/'Balance sheet '!F29</f>
        <v>18.975872468763466</v>
      </c>
      <c r="G29" s="34">
        <f>('Balance sheet '!H29-'Balance sheet '!G29)/'Balance sheet '!G29</f>
        <v>0.53136053834871877</v>
      </c>
    </row>
    <row r="30" spans="2:8">
      <c r="B30" s="33" t="s">
        <v>48</v>
      </c>
      <c r="D30" s="25">
        <f>('Balance sheet '!E30-'Balance sheet '!D30)/'Balance sheet '!D30</f>
        <v>-0.22133261566754131</v>
      </c>
      <c r="E30" s="25">
        <f>('Balance sheet '!F30-'Balance sheet '!E30)/'Balance sheet '!E30</f>
        <v>1.3328629032258068</v>
      </c>
      <c r="F30" s="25">
        <f>('Balance sheet '!G30-'Balance sheet '!F30)/'Balance sheet '!F30</f>
        <v>6.1730681383261106E-2</v>
      </c>
      <c r="G30" s="34">
        <f>('Balance sheet '!H30-'Balance sheet '!G30)/'Balance sheet '!G30</f>
        <v>10.657383397095247</v>
      </c>
    </row>
    <row r="31" spans="2:8">
      <c r="B31" s="33" t="s">
        <v>50</v>
      </c>
      <c r="D31" s="25">
        <f>('Balance sheet '!E31-'Balance sheet '!D31)/'Balance sheet '!D31</f>
        <v>0.26197143657238875</v>
      </c>
      <c r="E31" s="25">
        <f>('Balance sheet '!F31-'Balance sheet '!E31)/'Balance sheet '!E31</f>
        <v>0.90620954916971763</v>
      </c>
      <c r="F31" s="25">
        <f>('Balance sheet '!G31-'Balance sheet '!F31)/'Balance sheet '!F31</f>
        <v>-0.40398121919987573</v>
      </c>
      <c r="G31" s="34">
        <f>('Balance sheet '!H31-'Balance sheet '!G31)/'Balance sheet '!G31</f>
        <v>0.36718750000000006</v>
      </c>
    </row>
    <row r="32" spans="2:8">
      <c r="B32" s="35" t="s">
        <v>94</v>
      </c>
      <c r="C32" s="7"/>
      <c r="D32" s="26">
        <f>('Balance sheet '!E32-'Balance sheet '!D32)/'Balance sheet '!D32</f>
        <v>-0.20535148751819232</v>
      </c>
      <c r="E32" s="26">
        <f>('Balance sheet '!F32-'Balance sheet '!E32)/'Balance sheet '!E32</f>
        <v>0.2050757529662309</v>
      </c>
      <c r="F32" s="26">
        <f>('Balance sheet '!G32-'Balance sheet '!F32)/'Balance sheet '!F32</f>
        <v>6.3053446985723528E-3</v>
      </c>
      <c r="G32" s="36">
        <f>('Balance sheet '!H32-'Balance sheet '!G32)/'Balance sheet '!G32</f>
        <v>1.1424664957376458</v>
      </c>
    </row>
    <row r="33" spans="2:7">
      <c r="B33" s="33"/>
      <c r="G33" s="32"/>
    </row>
    <row r="34" spans="2:7">
      <c r="B34" s="33" t="s">
        <v>53</v>
      </c>
      <c r="D34" s="25">
        <f>('Balance sheet '!E41-'Balance sheet '!D41)/'Balance sheet '!D41</f>
        <v>0.14346656076033457</v>
      </c>
      <c r="E34" s="25">
        <f>('Balance sheet '!F41-'Balance sheet '!E41)/'Balance sheet '!E41</f>
        <v>-0.18424724389645075</v>
      </c>
      <c r="F34" s="25">
        <f>('Balance sheet '!G41-'Balance sheet '!F41)/'Balance sheet '!F41</f>
        <v>-4.4844925674435612E-2</v>
      </c>
      <c r="G34" s="34">
        <f>('Balance sheet '!H41-'Balance sheet '!G41)/'Balance sheet '!G41</f>
        <v>2.5239017492083866E-2</v>
      </c>
    </row>
    <row r="35" spans="2:7">
      <c r="B35" s="33" t="s">
        <v>55</v>
      </c>
      <c r="D35" s="25">
        <f>('Balance sheet '!E42-'Balance sheet '!D42)/'Balance sheet '!D42</f>
        <v>-4.180887372013653E-2</v>
      </c>
      <c r="E35" s="25">
        <f>('Balance sheet '!F42-'Balance sheet '!E42)/'Balance sheet '!E42</f>
        <v>-4.3187889581478366E-2</v>
      </c>
      <c r="F35" s="25">
        <f>('Balance sheet '!G42-'Balance sheet '!F42)/'Balance sheet '!F42</f>
        <v>-4.5602605863192071E-2</v>
      </c>
      <c r="G35" s="34">
        <f>('Balance sheet '!H42-'Balance sheet '!G42)/'Balance sheet '!G42</f>
        <v>-2.4865919063871249E-2</v>
      </c>
    </row>
    <row r="36" spans="2:7">
      <c r="B36" s="35" t="s">
        <v>96</v>
      </c>
      <c r="C36" s="7"/>
      <c r="D36" s="26">
        <f>('Balance sheet '!E43-'Balance sheet '!D43)/'Balance sheet '!D43</f>
        <v>0.140539811975604</v>
      </c>
      <c r="E36" s="26">
        <f>('Balance sheet '!F43-'Balance sheet '!E43)/'Balance sheet '!E43</f>
        <v>-0.18237522084153174</v>
      </c>
      <c r="F36" s="26">
        <f>('Balance sheet '!G43-'Balance sheet '!F43)/'Balance sheet '!F43</f>
        <v>-4.4856692731293404E-2</v>
      </c>
      <c r="G36" s="36">
        <f>('Balance sheet '!H43-'Balance sheet '!G43)/'Balance sheet '!G43</f>
        <v>2.4461476768028168E-2</v>
      </c>
    </row>
    <row r="37" spans="2:7">
      <c r="B37" s="33"/>
      <c r="G37" s="32"/>
    </row>
    <row r="38" spans="2:7">
      <c r="B38" s="35" t="s">
        <v>97</v>
      </c>
      <c r="C38" s="7"/>
      <c r="D38" s="26">
        <f>('Balance sheet '!E45-'Balance sheet '!D45)/'Balance sheet '!D45</f>
        <v>-0.16194724691117915</v>
      </c>
      <c r="E38" s="26">
        <f>('Balance sheet '!F45-'Balance sheet '!E45)/'Balance sheet '!E45</f>
        <v>0.13890769726001018</v>
      </c>
      <c r="F38" s="26">
        <f>('Balance sheet '!G45-'Balance sheet '!F45)/'Balance sheet '!F45</f>
        <v>3.2782673028232347E-5</v>
      </c>
      <c r="G38" s="36">
        <f>('Balance sheet '!H45-'Balance sheet '!G45)/'Balance sheet '!G45</f>
        <v>1.0115497544924079</v>
      </c>
    </row>
    <row r="39" spans="2:7">
      <c r="B39" s="33"/>
      <c r="G39" s="32"/>
    </row>
    <row r="40" spans="2:7">
      <c r="B40" s="33" t="s">
        <v>98</v>
      </c>
      <c r="D40" s="25">
        <f>('Balance sheet '!E47-'Balance sheet '!D47)/'Balance sheet '!D47</f>
        <v>0</v>
      </c>
      <c r="E40" s="25">
        <f>('Balance sheet '!F47-'Balance sheet '!E47)/'Balance sheet '!E47</f>
        <v>0</v>
      </c>
      <c r="F40" s="25">
        <f>('Balance sheet '!G47-'Balance sheet '!F47)/'Balance sheet '!F47</f>
        <v>0</v>
      </c>
      <c r="G40" s="34">
        <f>('Balance sheet '!H47-'Balance sheet '!G47)/'Balance sheet '!G47</f>
        <v>1.000181771150122</v>
      </c>
    </row>
    <row r="41" spans="2:7">
      <c r="B41" s="33" t="s">
        <v>99</v>
      </c>
      <c r="D41" s="25">
        <f>('Balance sheet '!E48-'Balance sheet '!D48)/'Balance sheet '!D48</f>
        <v>0.11687951623368668</v>
      </c>
      <c r="E41" s="25">
        <f>('Balance sheet '!F48-'Balance sheet '!E48)/'Balance sheet '!E48</f>
        <v>6.7456493091998901E-2</v>
      </c>
      <c r="F41" s="25">
        <f>('Balance sheet '!G48-'Balance sheet '!F48)/'Balance sheet '!F48</f>
        <v>1.6084707133038272E-2</v>
      </c>
      <c r="G41" s="34">
        <f>('Balance sheet '!H48-'Balance sheet '!G48)/'Balance sheet '!G48</f>
        <v>0.12921510078436077</v>
      </c>
    </row>
    <row r="42" spans="2:7">
      <c r="B42" s="35" t="s">
        <v>100</v>
      </c>
      <c r="C42" s="7"/>
      <c r="D42" s="25">
        <f>('Balance sheet '!E49-'Balance sheet '!D49)/'Balance sheet '!D49</f>
        <v>0.11416203433845008</v>
      </c>
      <c r="E42" s="25">
        <f>('Balance sheet '!F49-'Balance sheet '!E49)/'Balance sheet '!E49</f>
        <v>6.6048814007383688E-2</v>
      </c>
      <c r="F42" s="25">
        <f>('Balance sheet '!G49-'Balance sheet '!F49)/'Balance sheet '!F49</f>
        <v>1.5769848239570498E-2</v>
      </c>
      <c r="G42" s="34">
        <f>('Balance sheet '!H49-'Balance sheet '!G49)/'Balance sheet '!G49</f>
        <v>0.14599962464672536</v>
      </c>
    </row>
    <row r="43" spans="2:7">
      <c r="B43" s="33"/>
      <c r="G43" s="32"/>
    </row>
    <row r="44" spans="2:7">
      <c r="B44" s="35" t="s">
        <v>101</v>
      </c>
      <c r="C44" s="7"/>
      <c r="D44" s="26">
        <f>('Balance sheet '!E51-'Balance sheet '!D51)/'Balance sheet '!D51</f>
        <v>6.9647138254266189E-2</v>
      </c>
      <c r="E44" s="26">
        <f>('Balance sheet '!F51-'Balance sheet '!E51)/'Balance sheet '!E51</f>
        <v>7.5251989261442637E-2</v>
      </c>
      <c r="F44" s="26">
        <f>('Balance sheet '!G51-'Balance sheet '!F51)/'Balance sheet '!F51</f>
        <v>1.3664338718269824E-2</v>
      </c>
      <c r="G44" s="36">
        <f>('Balance sheet '!H51-'Balance sheet '!G51)/'Balance sheet '!G51</f>
        <v>0.26024687338579267</v>
      </c>
    </row>
    <row r="45" spans="2:7">
      <c r="B45" s="33"/>
      <c r="G45" s="32"/>
    </row>
    <row r="46" spans="2:7">
      <c r="B46" s="41" t="s">
        <v>110</v>
      </c>
      <c r="G46" s="32"/>
    </row>
    <row r="47" spans="2:7">
      <c r="B47" s="42"/>
      <c r="G47" s="32"/>
    </row>
    <row r="48" spans="2:7">
      <c r="B48" s="37" t="s">
        <v>111</v>
      </c>
      <c r="D48" s="25">
        <f>('Income Statement'!E6-'Income Statement'!D6)/'Income Statement'!D6</f>
        <v>0.21687546060862081</v>
      </c>
      <c r="E48" s="25">
        <f>('Income Statement'!F6-'Income Statement'!E6)/'Income Statement'!E6</f>
        <v>0.26204202607884003</v>
      </c>
      <c r="F48" s="25">
        <f>('Income Statement'!G6-'Income Statement'!F6)/'Income Statement'!F6</f>
        <v>7.5397947726121833E-3</v>
      </c>
      <c r="G48" s="34">
        <f>('Income Statement'!H6-'Income Statement'!G6)/'Income Statement'!G6</f>
        <v>9.2565938042183313E-2</v>
      </c>
    </row>
    <row r="49" spans="2:7">
      <c r="B49" s="37" t="s">
        <v>13</v>
      </c>
      <c r="D49" s="25">
        <f>('Income Statement'!E7-'Income Statement'!D7)/'Income Statement'!D7</f>
        <v>0.31929740423862396</v>
      </c>
      <c r="E49" s="25">
        <f>('Income Statement'!F7-'Income Statement'!E7)/'Income Statement'!E7</f>
        <v>0.23029328665984256</v>
      </c>
      <c r="F49" s="25">
        <f>('Income Statement'!G7-'Income Statement'!F7)/'Income Statement'!F7</f>
        <v>-2.3596879863144123E-2</v>
      </c>
      <c r="G49" s="34">
        <f>('Income Statement'!H7-'Income Statement'!G7)/'Income Statement'!G7</f>
        <v>8.567325009563731E-2</v>
      </c>
    </row>
    <row r="50" spans="2:7">
      <c r="B50" s="37" t="s">
        <v>16</v>
      </c>
      <c r="D50" s="25">
        <f>('Income Statement'!E10-'Income Statement'!D10)/'Income Statement'!D10</f>
        <v>0.20157625543893229</v>
      </c>
      <c r="E50" s="25">
        <f>('Income Statement'!F10-'Income Statement'!E10)/'Income Statement'!E10</f>
        <v>0.1175090290710249</v>
      </c>
      <c r="F50" s="25">
        <f>('Income Statement'!G10-'Income Statement'!F10)/'Income Statement'!F10</f>
        <v>6.3474630700064219E-2</v>
      </c>
      <c r="G50" s="34">
        <f>('Income Statement'!H10-'Income Statement'!G10)/'Income Statement'!G10</f>
        <v>0.11295644279102723</v>
      </c>
    </row>
    <row r="51" spans="2:7">
      <c r="B51" s="38" t="s">
        <v>113</v>
      </c>
      <c r="C51" s="7"/>
      <c r="D51" s="26">
        <f>('Income Statement'!E11-'Income Statement'!D11)/'Income Statement'!D11</f>
        <v>-0.16048273775784447</v>
      </c>
      <c r="E51" s="26">
        <f>('Income Statement'!F11-'Income Statement'!E11)/'Income Statement'!E11</f>
        <v>0.83073265758397918</v>
      </c>
      <c r="F51" s="26">
        <f>('Income Statement'!G11-'Income Statement'!F11)/'Income Statement'!F11</f>
        <v>4.9755174125644036E-2</v>
      </c>
      <c r="G51" s="36">
        <f>('Income Statement'!H11-'Income Statement'!G11)/'Income Statement'!G11</f>
        <v>8.6918265154302218E-2</v>
      </c>
    </row>
    <row r="52" spans="2:7">
      <c r="B52" s="37"/>
      <c r="D52" s="25"/>
      <c r="E52" s="25"/>
      <c r="F52" s="25"/>
      <c r="G52" s="34"/>
    </row>
    <row r="53" spans="2:7">
      <c r="B53" s="37" t="s">
        <v>19</v>
      </c>
      <c r="D53" s="25">
        <f>('Income Statement'!E14-'Income Statement'!D14)/'Income Statement'!D14</f>
        <v>2.6092521030330897</v>
      </c>
      <c r="E53" s="25">
        <f>('Income Statement'!F14-'Income Statement'!E14)/'Income Statement'!E14</f>
        <v>3.5594056508611933</v>
      </c>
      <c r="F53" s="25">
        <f>('Income Statement'!G14-'Income Statement'!F14)/'Income Statement'!F14</f>
        <v>7.4936233639341515E-2</v>
      </c>
      <c r="G53" s="34">
        <f>('Income Statement'!H14-'Income Statement'!G14)/'Income Statement'!G14</f>
        <v>1.1794671149170712E-2</v>
      </c>
    </row>
    <row r="54" spans="2:7">
      <c r="B54" s="37" t="s">
        <v>115</v>
      </c>
      <c r="D54" s="25">
        <f>('Income Statement'!E21-'Income Statement'!D21)/'Income Statement'!D21</f>
        <v>-0.41469348037625686</v>
      </c>
      <c r="E54" s="25">
        <f>('Income Statement'!F21-'Income Statement'!E21)/'Income Statement'!E21</f>
        <v>-4.4056525353283672E-2</v>
      </c>
      <c r="F54" s="25">
        <f>('Income Statement'!G21-'Income Statement'!F21)/'Income Statement'!F21</f>
        <v>2.7023188405797107</v>
      </c>
      <c r="G54" s="34">
        <f>('Income Statement'!H21-'Income Statement'!G21)/'Income Statement'!G21</f>
        <v>1.0981758396617864</v>
      </c>
    </row>
    <row r="55" spans="2:7">
      <c r="B55" s="37" t="s">
        <v>116</v>
      </c>
      <c r="D55" s="16">
        <v>0</v>
      </c>
      <c r="E55" s="16">
        <v>0</v>
      </c>
      <c r="F55" s="16">
        <v>0</v>
      </c>
      <c r="G55" s="39">
        <v>0</v>
      </c>
    </row>
    <row r="56" spans="2:7">
      <c r="B56" s="37" t="s">
        <v>118</v>
      </c>
      <c r="D56" s="25">
        <f>('Income Statement'!E25-'Income Statement'!D25)/'Income Statement'!D25</f>
        <v>4.0456611212378131E-3</v>
      </c>
      <c r="E56" s="25">
        <f>('Income Statement'!F25-'Income Statement'!E25)/'Income Statement'!E25</f>
        <v>0.45422096992150751</v>
      </c>
      <c r="F56" s="25">
        <f>('Income Statement'!G25-'Income Statement'!F25)/'Income Statement'!F25</f>
        <v>0.18967713508582143</v>
      </c>
      <c r="G56" s="34">
        <f>('Income Statement'!H25-'Income Statement'!G25)/'Income Statement'!G25</f>
        <v>6.7178849203711422E-2</v>
      </c>
    </row>
    <row r="57" spans="2:7">
      <c r="B57" s="40" t="s">
        <v>119</v>
      </c>
      <c r="C57" s="44"/>
      <c r="D57" s="45">
        <f>('Income Statement'!E26-'Income Statement'!D26)/'Income Statement'!D26</f>
        <v>7.0127063056759822E-2</v>
      </c>
      <c r="E57" s="45">
        <f>('Income Statement'!F26-'Income Statement'!E26)/'Income Statement'!E26</f>
        <v>1.8668085588294021</v>
      </c>
      <c r="F57" s="45">
        <f>('Income Statement'!G26-'Income Statement'!F26)/'Income Statement'!F26</f>
        <v>3.9434716527468043E-2</v>
      </c>
      <c r="G57" s="46">
        <f>('Income Statement'!H26-'Income Statement'!G26)/'Income Statement'!G26</f>
        <v>4.3213061751583758E-2</v>
      </c>
    </row>
    <row r="58" spans="2:7" ht="10.5" customHeight="1"/>
    <row r="59" spans="2:7">
      <c r="B59" s="354" t="s">
        <v>320</v>
      </c>
      <c r="C59" s="355"/>
      <c r="D59" s="355"/>
      <c r="E59" s="355"/>
      <c r="F59" s="355"/>
      <c r="G59" s="356"/>
    </row>
    <row r="60" spans="2:7">
      <c r="B60" s="357"/>
      <c r="C60" s="358"/>
      <c r="D60" s="358"/>
      <c r="E60" s="358"/>
      <c r="F60" s="358"/>
      <c r="G60" s="359"/>
    </row>
    <row r="61" spans="2:7">
      <c r="B61" s="33"/>
      <c r="G61" s="32"/>
    </row>
    <row r="62" spans="2:7">
      <c r="B62" s="43" t="s">
        <v>78</v>
      </c>
      <c r="G62" s="32"/>
    </row>
    <row r="63" spans="2:7">
      <c r="B63" s="33"/>
      <c r="G63" s="32"/>
    </row>
    <row r="64" spans="2:7">
      <c r="B64" s="31" t="s">
        <v>82</v>
      </c>
      <c r="G64" s="32"/>
    </row>
    <row r="65" spans="2:7">
      <c r="B65" s="33" t="s">
        <v>83</v>
      </c>
      <c r="C65" s="25">
        <f>'Balance sheet '!D7/'Balance sheet '!D$25</f>
        <v>9.2793907842123519E-2</v>
      </c>
      <c r="D65" s="25">
        <f>'Balance sheet '!E7/'Balance sheet '!E$25</f>
        <v>1.4297342612347099E-2</v>
      </c>
      <c r="E65" s="25">
        <f>'Balance sheet '!F7/'Balance sheet '!F$25</f>
        <v>6.8063862459716113E-3</v>
      </c>
      <c r="F65" s="25">
        <f>'Balance sheet '!G7/'Balance sheet '!G$25</f>
        <v>1.4797410789328948E-2</v>
      </c>
      <c r="G65" s="34">
        <f>'Balance sheet '!H7/'Balance sheet '!H$25</f>
        <v>1.5246278905757023E-2</v>
      </c>
    </row>
    <row r="66" spans="2:7">
      <c r="B66" s="33" t="s">
        <v>26</v>
      </c>
      <c r="C66" s="25">
        <f>'Balance sheet '!D8/'Balance sheet '!D$25</f>
        <v>0.2297975170644555</v>
      </c>
      <c r="D66" s="25">
        <f>'Balance sheet '!E8/'Balance sheet '!E$25</f>
        <v>0.24754307442831919</v>
      </c>
      <c r="E66" s="25">
        <f>'Balance sheet '!F8/'Balance sheet '!F$25</f>
        <v>0.27429498299737048</v>
      </c>
      <c r="F66" s="25">
        <f>'Balance sheet '!G8/'Balance sheet '!G$25</f>
        <v>0.23580009081954287</v>
      </c>
      <c r="G66" s="34">
        <f>'Balance sheet '!H8/'Balance sheet '!H$25</f>
        <v>0.24962881852937899</v>
      </c>
    </row>
    <row r="67" spans="2:7">
      <c r="B67" s="33" t="s">
        <v>29</v>
      </c>
      <c r="C67" s="25">
        <f>'Balance sheet '!D9/'Balance sheet '!D$25</f>
        <v>0.21212661618772755</v>
      </c>
      <c r="D67" s="25">
        <f>'Balance sheet '!E9/'Balance sheet '!E$25</f>
        <v>0.25003575355362284</v>
      </c>
      <c r="E67" s="25">
        <f>'Balance sheet '!F9/'Balance sheet '!F$25</f>
        <v>0.29482592783051759</v>
      </c>
      <c r="F67" s="25">
        <f>'Balance sheet '!G9/'Balance sheet '!G$25</f>
        <v>0.30555560428266887</v>
      </c>
      <c r="G67" s="34">
        <f>'Balance sheet '!H9/'Balance sheet '!H$25</f>
        <v>0.25728443636093684</v>
      </c>
    </row>
    <row r="68" spans="2:7">
      <c r="B68" s="33" t="s">
        <v>31</v>
      </c>
      <c r="C68" s="25">
        <f>'Balance sheet '!D10/'Balance sheet '!D$25</f>
        <v>5.867685843864321E-2</v>
      </c>
      <c r="D68" s="25">
        <f>'Balance sheet '!E10/'Balance sheet '!E$25</f>
        <v>7.4087226434329329E-2</v>
      </c>
      <c r="E68" s="25">
        <f>'Balance sheet '!F10/'Balance sheet '!F$25</f>
        <v>1.2827780421287771E-2</v>
      </c>
      <c r="F68" s="25">
        <f>'Balance sheet '!G10/'Balance sheet '!G$25</f>
        <v>3.2866009131305107E-2</v>
      </c>
      <c r="G68" s="34">
        <f>'Balance sheet '!H10/'Balance sheet '!H$25</f>
        <v>0.12140417950335919</v>
      </c>
    </row>
    <row r="69" spans="2:7">
      <c r="B69" s="33" t="s">
        <v>33</v>
      </c>
      <c r="C69" s="25">
        <f>'Balance sheet '!D11/'Balance sheet '!D$25</f>
        <v>1.3859075628968888E-2</v>
      </c>
      <c r="D69" s="25">
        <f>'Balance sheet '!E11/'Balance sheet '!E$25</f>
        <v>1.4913884283910495E-2</v>
      </c>
      <c r="E69" s="25">
        <f>'Balance sheet '!F11/'Balance sheet '!F$25</f>
        <v>1.3622967194159528E-2</v>
      </c>
      <c r="F69" s="25">
        <f>'Balance sheet '!G11/'Balance sheet '!G$25</f>
        <v>1.4550539742437835E-2</v>
      </c>
      <c r="G69" s="34">
        <f>'Balance sheet '!H11/'Balance sheet '!H$25</f>
        <v>1.4587431795404773E-2</v>
      </c>
    </row>
    <row r="70" spans="2:7">
      <c r="B70" s="35" t="s">
        <v>84</v>
      </c>
      <c r="C70" s="26">
        <f>SUM(C65:C69)</f>
        <v>0.6072539751619187</v>
      </c>
      <c r="D70" s="26">
        <f t="shared" ref="D70:G70" si="0">SUM(D65:D69)</f>
        <v>0.60087728131252893</v>
      </c>
      <c r="E70" s="26">
        <f t="shared" si="0"/>
        <v>0.602378044689307</v>
      </c>
      <c r="F70" s="26">
        <f t="shared" si="0"/>
        <v>0.60356965476528368</v>
      </c>
      <c r="G70" s="36">
        <f t="shared" si="0"/>
        <v>0.65815114509483685</v>
      </c>
    </row>
    <row r="71" spans="2:7">
      <c r="B71" s="33"/>
      <c r="C71" s="25"/>
      <c r="D71" s="25"/>
      <c r="E71" s="25"/>
      <c r="F71" s="25"/>
      <c r="G71" s="34"/>
    </row>
    <row r="72" spans="2:7">
      <c r="B72" s="33" t="s">
        <v>318</v>
      </c>
      <c r="C72" s="25">
        <f>SUM('Balance sheet '!D14:D17)/'Balance sheet '!D25</f>
        <v>0.17210081499272481</v>
      </c>
      <c r="D72" s="25">
        <f>SUM('Balance sheet '!E14:E17)/'Balance sheet '!E25</f>
        <v>0.17835950204540918</v>
      </c>
      <c r="E72" s="25">
        <f>SUM('Balance sheet '!F14:F17)/'Balance sheet '!F25</f>
        <v>0.18032567094773036</v>
      </c>
      <c r="F72" s="25">
        <f>SUM('Balance sheet '!G14:G17)/'Balance sheet '!G25</f>
        <v>0.18835243455666065</v>
      </c>
      <c r="G72" s="34">
        <f>SUM('Balance sheet '!H14:H17)/'Balance sheet '!H25</f>
        <v>0.15389183771946102</v>
      </c>
    </row>
    <row r="73" spans="2:7">
      <c r="B73" s="33" t="s">
        <v>38</v>
      </c>
      <c r="C73" s="25">
        <f>'Balance sheet '!D20/'Balance sheet '!D$25</f>
        <v>0.20034701543817857</v>
      </c>
      <c r="D73" s="25">
        <f>'Balance sheet '!E20/'Balance sheet '!E$25</f>
        <v>0.1929103698561726</v>
      </c>
      <c r="E73" s="25">
        <f>'Balance sheet '!F20/'Balance sheet '!F$25</f>
        <v>0.18415117368287415</v>
      </c>
      <c r="F73" s="25">
        <f>'Balance sheet '!G20/'Balance sheet '!G$25</f>
        <v>0.18751604340205846</v>
      </c>
      <c r="G73" s="34">
        <f>'Balance sheet '!H20/'Balance sheet '!H$25</f>
        <v>0.17348093983148358</v>
      </c>
    </row>
    <row r="74" spans="2:7">
      <c r="B74" s="33" t="s">
        <v>31</v>
      </c>
      <c r="C74" s="25">
        <f>'Balance sheet '!D21/'Balance sheet '!D$25</f>
        <v>5.7302812553854743E-3</v>
      </c>
      <c r="D74" s="25">
        <f>'Balance sheet '!E21/'Balance sheet '!E$25</f>
        <v>2.1473673530414232E-2</v>
      </c>
      <c r="E74" s="25">
        <f>'Balance sheet '!F21/'Balance sheet '!F$25</f>
        <v>2.1100899812867946E-2</v>
      </c>
      <c r="F74" s="25">
        <f>'Balance sheet '!G21/'Balance sheet '!G$25</f>
        <v>2.6445958571272702E-3</v>
      </c>
      <c r="G74" s="34">
        <f>'Balance sheet '!H21/'Balance sheet '!H$25</f>
        <v>2.1528525296017221E-3</v>
      </c>
    </row>
    <row r="75" spans="2:7">
      <c r="B75" s="33" t="s">
        <v>43</v>
      </c>
      <c r="C75" s="25">
        <f>'Balance sheet '!D22/'Balance sheet '!D$25</f>
        <v>1.4567913151792395E-2</v>
      </c>
      <c r="D75" s="25">
        <f>'Balance sheet '!E22/'Balance sheet '!E$25</f>
        <v>6.3791732554751386E-3</v>
      </c>
      <c r="E75" s="25">
        <f>'Balance sheet '!F22/'Balance sheet '!F$25</f>
        <v>1.2044210867220642E-2</v>
      </c>
      <c r="F75" s="25">
        <f>'Balance sheet '!G22/'Balance sheet '!G$25</f>
        <v>1.791727141887E-2</v>
      </c>
      <c r="G75" s="34">
        <f>'Balance sheet '!H22/'Balance sheet '!H$25</f>
        <v>1.2323224824616754E-2</v>
      </c>
    </row>
    <row r="76" spans="2:7">
      <c r="B76" s="35" t="s">
        <v>91</v>
      </c>
      <c r="C76" s="26">
        <f>SUM(C72:C75)</f>
        <v>0.39274602483808124</v>
      </c>
      <c r="D76" s="26">
        <f t="shared" ref="D76:G76" si="1">SUM(D72:D75)</f>
        <v>0.39912271868747118</v>
      </c>
      <c r="E76" s="26">
        <f t="shared" si="1"/>
        <v>0.39762195531069305</v>
      </c>
      <c r="F76" s="26">
        <f t="shared" si="1"/>
        <v>0.39643034523471643</v>
      </c>
      <c r="G76" s="36">
        <f t="shared" si="1"/>
        <v>0.34184885490516309</v>
      </c>
    </row>
    <row r="77" spans="2:7">
      <c r="B77" s="33"/>
      <c r="C77" s="25"/>
      <c r="D77" s="25"/>
      <c r="E77" s="25"/>
      <c r="F77" s="25"/>
      <c r="G77" s="34"/>
    </row>
    <row r="78" spans="2:7">
      <c r="B78" s="35" t="s">
        <v>92</v>
      </c>
      <c r="C78" s="26">
        <f>C70+C76</f>
        <v>1</v>
      </c>
      <c r="D78" s="26">
        <f t="shared" ref="D78:G78" si="2">D70+D76</f>
        <v>1</v>
      </c>
      <c r="E78" s="26">
        <f t="shared" si="2"/>
        <v>1</v>
      </c>
      <c r="F78" s="26">
        <f t="shared" si="2"/>
        <v>1</v>
      </c>
      <c r="G78" s="36">
        <f t="shared" si="2"/>
        <v>1</v>
      </c>
    </row>
    <row r="79" spans="2:7">
      <c r="B79" s="33"/>
      <c r="G79" s="32"/>
    </row>
    <row r="80" spans="2:7">
      <c r="B80" s="31" t="s">
        <v>319</v>
      </c>
      <c r="G80" s="32"/>
    </row>
    <row r="81" spans="2:7">
      <c r="B81" s="33" t="s">
        <v>46</v>
      </c>
      <c r="C81" s="25">
        <f>'Balance sheet '!D28/'Balance sheet '!D$51</f>
        <v>0.12837621534481217</v>
      </c>
      <c r="D81" s="25">
        <f>'Balance sheet '!E28/'Balance sheet '!E$51</f>
        <v>9.6818456328531935E-2</v>
      </c>
      <c r="E81" s="25">
        <f>'Balance sheet '!F28/'Balance sheet '!F$51</f>
        <v>0.10140302811106156</v>
      </c>
      <c r="F81" s="25">
        <f>'Balance sheet '!G28/'Balance sheet '!G$51</f>
        <v>9.7465999097417932E-2</v>
      </c>
      <c r="G81" s="34">
        <f>'Balance sheet '!H28/'Balance sheet '!H$51</f>
        <v>9.4604877324523953E-2</v>
      </c>
    </row>
    <row r="82" spans="2:7">
      <c r="B82" s="33" t="s">
        <v>93</v>
      </c>
      <c r="C82" s="25">
        <f>'Balance sheet '!D29/'Balance sheet '!D$51</f>
        <v>3.6142669537465441E-3</v>
      </c>
      <c r="D82" s="25">
        <f>'Balance sheet '!E29/'Balance sheet '!E$51</f>
        <v>5.2769950801580652E-5</v>
      </c>
      <c r="E82" s="25">
        <f>'Balance sheet '!F29/'Balance sheet '!F$51</f>
        <v>2.7513841679119614E-4</v>
      </c>
      <c r="F82" s="25">
        <f>'Balance sheet '!G29/'Balance sheet '!G$51</f>
        <v>5.4220413159922504E-3</v>
      </c>
      <c r="G82" s="34">
        <f>'Balance sheet '!H29/'Balance sheet '!H$51</f>
        <v>6.5884711035225111E-3</v>
      </c>
    </row>
    <row r="83" spans="2:7">
      <c r="B83" s="33" t="s">
        <v>48</v>
      </c>
      <c r="C83" s="25">
        <f>'Balance sheet '!D30/'Balance sheet '!D$51</f>
        <v>6.0793145422537503E-3</v>
      </c>
      <c r="D83" s="25">
        <f>'Balance sheet '!E30/'Balance sheet '!E$51</f>
        <v>4.4255379029731409E-3</v>
      </c>
      <c r="E83" s="25">
        <f>'Balance sheet '!F30/'Balance sheet '!F$51</f>
        <v>9.601631342023487E-3</v>
      </c>
      <c r="F83" s="25">
        <f>'Balance sheet '!G30/'Balance sheet '!G$51</f>
        <v>1.0056925352674178E-2</v>
      </c>
      <c r="G83" s="34">
        <f>'Balance sheet '!H30/'Balance sheet '!H$51</f>
        <v>9.3027356074384754E-2</v>
      </c>
    </row>
    <row r="84" spans="2:7">
      <c r="B84" s="33" t="s">
        <v>50</v>
      </c>
      <c r="C84" s="25">
        <f>'Balance sheet '!D31/'Balance sheet '!D$51</f>
        <v>2.9212450017342584E-3</v>
      </c>
      <c r="D84" s="25">
        <f>'Balance sheet '!E31/'Balance sheet '!E$51</f>
        <v>3.4464896128597569E-3</v>
      </c>
      <c r="E84" s="25">
        <f>'Balance sheet '!F31/'Balance sheet '!F$51</f>
        <v>6.1099458329391763E-3</v>
      </c>
      <c r="F84" s="25">
        <f>'Balance sheet '!G31/'Balance sheet '!G$51</f>
        <v>3.5925526103718817E-3</v>
      </c>
      <c r="G84" s="34">
        <f>'Balance sheet '!H31/'Balance sheet '!H$51</f>
        <v>3.897405441520359E-3</v>
      </c>
    </row>
    <row r="85" spans="2:7">
      <c r="B85" s="35" t="s">
        <v>94</v>
      </c>
      <c r="C85" s="26">
        <f>SUM(C81:C84)</f>
        <v>0.14099104184254671</v>
      </c>
      <c r="D85" s="26">
        <f t="shared" ref="D85:G85" si="3">SUM(D81:D84)</f>
        <v>0.10474325379516641</v>
      </c>
      <c r="E85" s="26">
        <f t="shared" si="3"/>
        <v>0.11738974370281542</v>
      </c>
      <c r="F85" s="26">
        <f t="shared" si="3"/>
        <v>0.11653751837645623</v>
      </c>
      <c r="G85" s="36">
        <f t="shared" si="3"/>
        <v>0.1981181099439516</v>
      </c>
    </row>
    <row r="86" spans="2:7">
      <c r="B86" s="33"/>
      <c r="C86" s="25"/>
      <c r="D86" s="25"/>
      <c r="E86" s="25"/>
      <c r="F86" s="25"/>
      <c r="G86" s="34"/>
    </row>
    <row r="87" spans="2:7">
      <c r="B87" s="33" t="s">
        <v>53</v>
      </c>
      <c r="C87" s="25">
        <f>'Balance sheet '!D41/'Balance sheet '!D$51</f>
        <v>1.991139462794142E-2</v>
      </c>
      <c r="D87" s="25">
        <f>'Balance sheet '!E41/'Balance sheet '!E$51</f>
        <v>2.1285537184078163E-2</v>
      </c>
      <c r="E87" s="25">
        <f>'Balance sheet '!F41/'Balance sheet '!F$51</f>
        <v>1.6148526853675439E-2</v>
      </c>
      <c r="F87" s="25">
        <f>'Balance sheet '!G41/'Balance sheet '!G$51</f>
        <v>1.5216424982133717E-2</v>
      </c>
      <c r="G87" s="34">
        <f>'Balance sheet '!H41/'Balance sheet '!H$51</f>
        <v>1.2378902045209902E-2</v>
      </c>
    </row>
    <row r="88" spans="2:7">
      <c r="B88" s="33" t="s">
        <v>55</v>
      </c>
      <c r="C88" s="25">
        <f>'Balance sheet '!D42/'Balance sheet '!D$51</f>
        <v>3.1958360328876613E-4</v>
      </c>
      <c r="D88" s="25">
        <f>'Balance sheet '!E42/'Balance sheet '!E$51</f>
        <v>2.8628335628103904E-4</v>
      </c>
      <c r="E88" s="25">
        <f>'Balance sheet '!F42/'Balance sheet '!F$51</f>
        <v>2.54749012358587E-4</v>
      </c>
      <c r="F88" s="25">
        <f>'Balance sheet '!G42/'Balance sheet '!G$51</f>
        <v>2.3985434257398208E-4</v>
      </c>
      <c r="G88" s="34">
        <f>'Balance sheet '!H42/'Balance sheet '!H$51</f>
        <v>1.8559073531049328E-4</v>
      </c>
    </row>
    <row r="89" spans="2:7">
      <c r="B89" s="35" t="s">
        <v>96</v>
      </c>
      <c r="C89" s="26">
        <f>SUM(C87:C88)</f>
        <v>2.0230978231230184E-2</v>
      </c>
      <c r="D89" s="26">
        <f t="shared" ref="D89:G89" si="4">SUM(D87:D88)</f>
        <v>2.15718205403592E-2</v>
      </c>
      <c r="E89" s="26">
        <f t="shared" si="4"/>
        <v>1.6403275866034028E-2</v>
      </c>
      <c r="F89" s="26">
        <f t="shared" si="4"/>
        <v>1.54562793247077E-2</v>
      </c>
      <c r="G89" s="36">
        <f t="shared" si="4"/>
        <v>1.2564492780520395E-2</v>
      </c>
    </row>
    <row r="90" spans="2:7">
      <c r="B90" s="33"/>
      <c r="C90" s="25"/>
      <c r="D90" s="25"/>
      <c r="E90" s="25"/>
      <c r="F90" s="25"/>
      <c r="G90" s="34"/>
    </row>
    <row r="91" spans="2:7">
      <c r="B91" s="35" t="s">
        <v>97</v>
      </c>
      <c r="C91" s="26">
        <f>C85+C89</f>
        <v>0.16122202007377689</v>
      </c>
      <c r="D91" s="26">
        <f t="shared" ref="D91:G91" si="5">D85+D89</f>
        <v>0.12631507433552561</v>
      </c>
      <c r="E91" s="26">
        <f t="shared" si="5"/>
        <v>0.13379301956884945</v>
      </c>
      <c r="F91" s="26">
        <f t="shared" si="5"/>
        <v>0.13199379770116393</v>
      </c>
      <c r="G91" s="36">
        <f t="shared" si="5"/>
        <v>0.21068260272447198</v>
      </c>
    </row>
    <row r="92" spans="2:7">
      <c r="B92" s="33"/>
      <c r="C92" s="25"/>
      <c r="D92" s="25"/>
      <c r="E92" s="25"/>
      <c r="F92" s="25"/>
      <c r="G92" s="34"/>
    </row>
    <row r="93" spans="2:7">
      <c r="B93" s="33" t="s">
        <v>98</v>
      </c>
      <c r="C93" s="25">
        <f>'Balance sheet '!D47/'Balance sheet '!D$51</f>
        <v>1.9501825880381927E-2</v>
      </c>
      <c r="D93" s="25">
        <f>'Balance sheet '!E47/'Balance sheet '!E$51</f>
        <v>1.8232018001946116E-2</v>
      </c>
      <c r="E93" s="25">
        <f>'Balance sheet '!F47/'Balance sheet '!F$51</f>
        <v>1.6956042103645978E-2</v>
      </c>
      <c r="F93" s="25">
        <f>'Balance sheet '!G47/'Balance sheet '!G$51</f>
        <v>1.6727472256828219E-2</v>
      </c>
      <c r="G93" s="34">
        <f>'Balance sheet '!H47/'Balance sheet '!H$51</f>
        <v>2.6548754686166062E-2</v>
      </c>
    </row>
    <row r="94" spans="2:7">
      <c r="B94" s="33" t="s">
        <v>99</v>
      </c>
      <c r="C94" s="25">
        <f>'Balance sheet '!D48/'Balance sheet '!D$51</f>
        <v>0.81927615404584109</v>
      </c>
      <c r="D94" s="25">
        <f>'Balance sheet '!E48/'Balance sheet '!E$51</f>
        <v>0.85545290766252824</v>
      </c>
      <c r="E94" s="25">
        <f>'Balance sheet '!F48/'Balance sheet '!F$51</f>
        <v>0.84925093832750453</v>
      </c>
      <c r="F94" s="25">
        <f>'Balance sheet '!G48/'Balance sheet '!G$51</f>
        <v>0.85127873004200783</v>
      </c>
      <c r="G94" s="34">
        <f>'Balance sheet '!H48/'Balance sheet '!H$51</f>
        <v>0.76276864258936183</v>
      </c>
    </row>
    <row r="95" spans="2:7">
      <c r="B95" s="35" t="s">
        <v>100</v>
      </c>
      <c r="C95" s="26">
        <f>C93+C94</f>
        <v>0.83877797992622305</v>
      </c>
      <c r="D95" s="26">
        <f t="shared" ref="D95:G95" si="6">D93+D94</f>
        <v>0.87368492566447431</v>
      </c>
      <c r="E95" s="26">
        <f t="shared" si="6"/>
        <v>0.86620698043115052</v>
      </c>
      <c r="F95" s="26">
        <f t="shared" si="6"/>
        <v>0.86800620229883607</v>
      </c>
      <c r="G95" s="36">
        <f t="shared" si="6"/>
        <v>0.78931739727552785</v>
      </c>
    </row>
    <row r="96" spans="2:7">
      <c r="B96" s="33"/>
      <c r="C96" s="25"/>
      <c r="D96" s="25"/>
      <c r="E96" s="25"/>
      <c r="F96" s="25"/>
      <c r="G96" s="34"/>
    </row>
    <row r="97" spans="2:7">
      <c r="B97" s="35" t="s">
        <v>101</v>
      </c>
      <c r="C97" s="27">
        <f>C91+C95</f>
        <v>1</v>
      </c>
      <c r="D97" s="27">
        <f t="shared" ref="D97:G97" si="7">D91+D95</f>
        <v>0.99999999999999989</v>
      </c>
      <c r="E97" s="27">
        <f t="shared" si="7"/>
        <v>1</v>
      </c>
      <c r="F97" s="27">
        <f t="shared" si="7"/>
        <v>1</v>
      </c>
      <c r="G97" s="81">
        <f t="shared" si="7"/>
        <v>0.99999999999999978</v>
      </c>
    </row>
    <row r="98" spans="2:7">
      <c r="B98" s="33"/>
      <c r="G98" s="32"/>
    </row>
    <row r="99" spans="2:7">
      <c r="B99" s="41" t="s">
        <v>110</v>
      </c>
      <c r="G99" s="32"/>
    </row>
    <row r="100" spans="2:7">
      <c r="B100" s="42"/>
      <c r="G100" s="32"/>
    </row>
    <row r="101" spans="2:7">
      <c r="B101" s="37" t="s">
        <v>111</v>
      </c>
      <c r="C101" s="25">
        <f>'Income Statement'!D6/'Income Statement'!D$6</f>
        <v>1</v>
      </c>
      <c r="D101" s="25">
        <f>'Income Statement'!E6/'Income Statement'!E$6</f>
        <v>1</v>
      </c>
      <c r="E101" s="25">
        <f>'Income Statement'!F6/'Income Statement'!F$6</f>
        <v>1</v>
      </c>
      <c r="F101" s="25">
        <f>'Income Statement'!G6/'Income Statement'!G$6</f>
        <v>1</v>
      </c>
      <c r="G101" s="34">
        <f>'Income Statement'!H6/'Income Statement'!H$6</f>
        <v>1</v>
      </c>
    </row>
    <row r="102" spans="2:7">
      <c r="B102" s="37" t="s">
        <v>13</v>
      </c>
      <c r="C102" s="25">
        <f>('Income Statement'!D7/'Income Statement'!D$6)*-1</f>
        <v>0.58571103130585733</v>
      </c>
      <c r="D102" s="25">
        <f>('Income Statement'!E7/'Income Statement'!E$6)*-1</f>
        <v>0.63500914288243204</v>
      </c>
      <c r="E102" s="25">
        <f>('Income Statement'!F7/'Income Statement'!F$6)*-1</f>
        <v>0.61903444521828632</v>
      </c>
      <c r="F102" s="25">
        <f>('Income Statement'!G7/'Income Statement'!G$6)*-1</f>
        <v>0.59990401065968146</v>
      </c>
      <c r="G102" s="34">
        <f>('Income Statement'!H7/'Income Statement'!H$6)*-1</f>
        <v>0.59611938677623133</v>
      </c>
    </row>
    <row r="103" spans="2:7">
      <c r="B103" s="82" t="s">
        <v>321</v>
      </c>
      <c r="C103" s="83">
        <f>'Income Statement'!D35/'Income Statement'!D6</f>
        <v>0.41428896869414267</v>
      </c>
      <c r="D103" s="83">
        <f>'Income Statement'!E35/'Income Statement'!E6</f>
        <v>0.36499085711756796</v>
      </c>
      <c r="E103" s="83">
        <f>'Income Statement'!F35/'Income Statement'!F6</f>
        <v>0.38096555478171362</v>
      </c>
      <c r="F103" s="83">
        <f>'Income Statement'!G35/'Income Statement'!G6</f>
        <v>0.40009598934031854</v>
      </c>
      <c r="G103" s="84">
        <f>'Income Statement'!H35/'Income Statement'!H6</f>
        <v>0.40388061322376873</v>
      </c>
    </row>
    <row r="104" spans="2:7">
      <c r="B104" s="37"/>
      <c r="C104" s="25"/>
      <c r="D104" s="25"/>
      <c r="E104" s="25"/>
      <c r="F104" s="25"/>
      <c r="G104" s="34"/>
    </row>
    <row r="105" spans="2:7">
      <c r="B105" s="37" t="s">
        <v>16</v>
      </c>
      <c r="C105" s="25">
        <f>('Income Statement'!D10/'Income Statement'!D$6)*-1</f>
        <v>0.26610491220495613</v>
      </c>
      <c r="D105" s="25">
        <f>('Income Statement'!E10/'Income Statement'!E$6)*-1</f>
        <v>0.2627592997899853</v>
      </c>
      <c r="E105" s="25">
        <f>('Income Statement'!F10/'Income Statement'!F$6)*-1</f>
        <v>0.23266728359277739</v>
      </c>
      <c r="F105" s="25">
        <f>('Income Statement'!G10/'Income Statement'!G$6)*-1</f>
        <v>0.24558409978303522</v>
      </c>
      <c r="G105" s="34">
        <f>('Income Statement'!H10/'Income Statement'!H$6)*-1</f>
        <v>0.25016742384477547</v>
      </c>
    </row>
    <row r="106" spans="2:7">
      <c r="B106" s="82" t="s">
        <v>322</v>
      </c>
      <c r="C106" s="83">
        <f>'Income Statement'!D11/'Income Statement'!D6</f>
        <v>0.14818405648918653</v>
      </c>
      <c r="D106" s="83">
        <f>'Income Statement'!E11/'Income Statement'!E6</f>
        <v>0.1022315573275827</v>
      </c>
      <c r="E106" s="83">
        <f>'Income Statement'!F11/'Income Statement'!F6</f>
        <v>0.14829827118893626</v>
      </c>
      <c r="F106" s="83">
        <f>'Income Statement'!G11/'Income Statement'!G6</f>
        <v>0.15451188955728332</v>
      </c>
      <c r="G106" s="84">
        <f>'Income Statement'!H11/'Income Statement'!H6</f>
        <v>0.15371318937899325</v>
      </c>
    </row>
    <row r="107" spans="2:7">
      <c r="B107" s="37"/>
      <c r="G107" s="32"/>
    </row>
    <row r="108" spans="2:7">
      <c r="B108" s="37" t="s">
        <v>323</v>
      </c>
      <c r="C108" s="25">
        <f>'Income Statement'!D33/'Income Statement'!D$6</f>
        <v>3.0573014336029759E-2</v>
      </c>
      <c r="D108" s="25">
        <f>'Income Statement'!E33/'Income Statement'!E$6</f>
        <v>2.4819430586512387E-2</v>
      </c>
      <c r="E108" s="25">
        <f>'Income Statement'!F33/'Income Statement'!F$6</f>
        <v>2.1029914606972604E-2</v>
      </c>
      <c r="F108" s="25">
        <f>'Income Statement'!G33/'Income Statement'!G$6</f>
        <v>2.4001784523706292E-2</v>
      </c>
      <c r="G108" s="34">
        <f>'Income Statement'!H33/'Income Statement'!H$6</f>
        <v>2.3728936270339732E-2</v>
      </c>
    </row>
    <row r="109" spans="2:7">
      <c r="B109" s="82" t="s">
        <v>311</v>
      </c>
      <c r="C109" s="83">
        <f>'Income Statement'!D36/'Income Statement'!D6</f>
        <v>0.17875707082521633</v>
      </c>
      <c r="D109" s="83">
        <f>'Income Statement'!E36/'Income Statement'!E6</f>
        <v>0.12705098791409508</v>
      </c>
      <c r="E109" s="83">
        <f>'Income Statement'!F36/'Income Statement'!F6</f>
        <v>0.16932818579590886</v>
      </c>
      <c r="F109" s="83">
        <f>'Income Statement'!G36/'Income Statement'!G6</f>
        <v>0.17851367408098959</v>
      </c>
      <c r="G109" s="84">
        <f>'Income Statement'!H36/'Income Statement'!H6</f>
        <v>0.17744212564933298</v>
      </c>
    </row>
    <row r="110" spans="2:7">
      <c r="B110" s="37"/>
      <c r="G110" s="32"/>
    </row>
    <row r="111" spans="2:7">
      <c r="B111" s="37" t="s">
        <v>115</v>
      </c>
      <c r="C111" s="25">
        <f>('Income Statement'!D21/'Income Statement'!D$6)*-1</f>
        <v>9.4336317386171074E-4</v>
      </c>
      <c r="D111" s="25">
        <f>('Income Statement'!E21/'Income Statement'!E$6)*-1</f>
        <v>4.5374948703299893E-4</v>
      </c>
      <c r="E111" s="25">
        <f>('Income Statement'!F21/'Income Statement'!F$6)*-1</f>
        <v>3.4369605155002434E-4</v>
      </c>
      <c r="F111" s="25">
        <f>('Income Statement'!G21/'Income Statement'!G$6)*-1</f>
        <v>1.2629499834035736E-3</v>
      </c>
      <c r="G111" s="34">
        <f>('Income Statement'!H21/'Income Statement'!H$6)*-1</f>
        <v>2.4253832648554728E-3</v>
      </c>
    </row>
    <row r="112" spans="2:7">
      <c r="B112" s="37" t="s">
        <v>118</v>
      </c>
      <c r="C112" s="25">
        <f>('Income Statement'!D25/'Income Statement'!D$6)*-1</f>
        <v>3.7098376439236996E-2</v>
      </c>
      <c r="D112" s="25">
        <f>('Income Statement'!E25/'Income Statement'!E$6)*-1</f>
        <v>3.0609922793437241E-2</v>
      </c>
      <c r="E112" s="25">
        <f>('Income Statement'!F25/'Income Statement'!F$6)*-1</f>
        <v>3.5271085030502775E-2</v>
      </c>
      <c r="F112" s="25">
        <f>('Income Statement'!G25/'Income Statement'!G$6)*-1</f>
        <v>4.1647192109098785E-2</v>
      </c>
      <c r="G112" s="34">
        <f>('Income Statement'!H25/'Income Statement'!H$6)*-1</f>
        <v>4.0679469311661755E-2</v>
      </c>
    </row>
    <row r="113" spans="2:7">
      <c r="B113" s="38" t="s">
        <v>119</v>
      </c>
      <c r="C113" s="26">
        <f>('Income Statement'!D26/'Income Statement'!D$6)</f>
        <v>0.12245514932325238</v>
      </c>
      <c r="D113" s="26">
        <f>('Income Statement'!E26/'Income Statement'!E$6)</f>
        <v>0.10768774089332694</v>
      </c>
      <c r="E113" s="26">
        <f>('Income Statement'!F26/'Income Statement'!F$6)</f>
        <v>0.24461953793502822</v>
      </c>
      <c r="F113" s="26">
        <f>('Income Statement'!G26/'Income Statement'!G$6)</f>
        <v>0.25236327278562792</v>
      </c>
      <c r="G113" s="36">
        <f>('Income Statement'!H26/'Income Statement'!H$6)</f>
        <v>0.24096363735090226</v>
      </c>
    </row>
    <row r="114" spans="2:7">
      <c r="B114" s="33"/>
      <c r="G114" s="32"/>
    </row>
    <row r="115" spans="2:7" ht="9" customHeight="1">
      <c r="B115" s="99"/>
      <c r="C115" s="99"/>
      <c r="D115" s="99"/>
      <c r="E115" s="99"/>
      <c r="F115" s="99"/>
      <c r="G115" s="99"/>
    </row>
    <row r="116" spans="2:7">
      <c r="B116" s="98" t="s">
        <v>324</v>
      </c>
      <c r="C116" s="99"/>
      <c r="D116" s="99"/>
      <c r="E116" s="99"/>
      <c r="F116" s="99"/>
      <c r="G116" s="66"/>
    </row>
    <row r="117" spans="2:7">
      <c r="B117" s="33"/>
      <c r="G117" s="32"/>
    </row>
    <row r="118" spans="2:7">
      <c r="B118" s="85" t="s">
        <v>325</v>
      </c>
      <c r="G118" s="32"/>
    </row>
    <row r="119" spans="2:7">
      <c r="B119" s="33" t="s">
        <v>326</v>
      </c>
      <c r="C119" s="16">
        <f>(146.691+'Balance sheet '!D8)/2</f>
        <v>157.61849999999998</v>
      </c>
      <c r="D119" s="16">
        <f>('Balance sheet '!D8+'Balance sheet '!E8)/2</f>
        <v>181.37639999999999</v>
      </c>
      <c r="E119" s="16">
        <f>('Balance sheet '!E8+'Balance sheet '!F8)/2</f>
        <v>212.79765</v>
      </c>
      <c r="F119" s="16">
        <f>('Balance sheet '!F8+'Balance sheet '!G8)/2</f>
        <v>216.51085</v>
      </c>
      <c r="G119" s="39">
        <f>('Balance sheet '!G8+'Balance sheet '!H8)/2</f>
        <v>235.32159999999999</v>
      </c>
    </row>
    <row r="120" spans="2:7">
      <c r="B120" s="33" t="s">
        <v>327</v>
      </c>
      <c r="C120" s="6">
        <f>'Income Statement'!D6/'Common size '!C119</f>
        <v>4.1468412654605897</v>
      </c>
      <c r="D120" s="6">
        <f>'Income Statement'!E6/'Common size '!D119</f>
        <v>4.3852055725000607</v>
      </c>
      <c r="E120" s="6">
        <f>'Income Statement'!F6/'Common size '!E119</f>
        <v>4.7171286900959668</v>
      </c>
      <c r="F120" s="6">
        <f>'Income Statement'!G6/'Common size '!F119</f>
        <v>4.671185300875222</v>
      </c>
      <c r="G120" s="86">
        <f>'Income Statement'!H6/'Common size '!G119</f>
        <v>4.6956165519867286</v>
      </c>
    </row>
    <row r="121" spans="2:7">
      <c r="B121" s="42" t="s">
        <v>328</v>
      </c>
      <c r="C121" s="87">
        <f>365/C120</f>
        <v>88.01880193488897</v>
      </c>
      <c r="D121" s="87">
        <f t="shared" ref="D121:G121" si="8">365/D120</f>
        <v>83.234410329344925</v>
      </c>
      <c r="E121" s="87">
        <f t="shared" si="8"/>
        <v>77.377579451319633</v>
      </c>
      <c r="F121" s="87">
        <f t="shared" si="8"/>
        <v>78.138625742723448</v>
      </c>
      <c r="G121" s="88">
        <f t="shared" si="8"/>
        <v>77.732071168708927</v>
      </c>
    </row>
    <row r="122" spans="2:7">
      <c r="B122" s="33"/>
      <c r="G122" s="32"/>
    </row>
    <row r="123" spans="2:7">
      <c r="B123" s="85" t="s">
        <v>329</v>
      </c>
      <c r="G123" s="32"/>
    </row>
    <row r="124" spans="2:7">
      <c r="B124" s="33" t="s">
        <v>330</v>
      </c>
      <c r="C124" s="89">
        <f>(102.4396+'Balance sheet '!D9)/2</f>
        <v>129.01240000000001</v>
      </c>
      <c r="D124" s="89">
        <f>('Balance sheet '!D9+'Balance sheet '!E9)/2</f>
        <v>175.87380000000002</v>
      </c>
      <c r="E124" s="89">
        <f>('Balance sheet '!E9+'Balance sheet '!F9)/2</f>
        <v>222.43515000000002</v>
      </c>
      <c r="F124" s="89">
        <f>('Balance sheet '!F9+'Balance sheet '!G9)/2</f>
        <v>254.99459999999999</v>
      </c>
      <c r="G124" s="90">
        <f>('Balance sheet '!G9+'Balance sheet '!H9)/2</f>
        <v>269.27064999999999</v>
      </c>
    </row>
    <row r="125" spans="2:7">
      <c r="B125" s="33" t="s">
        <v>305</v>
      </c>
      <c r="C125" s="16">
        <f>('Income Statement'!D7/'Common size '!C124)*-1</f>
        <v>2.9674031333422208</v>
      </c>
      <c r="D125" s="16">
        <f>('Income Statement'!E7/'Common size '!D124)*-1</f>
        <v>2.8717694164793164</v>
      </c>
      <c r="E125" s="16">
        <f>('Income Statement'!F7/'Common size '!E124)*-1</f>
        <v>2.7935467933013283</v>
      </c>
      <c r="F125" s="16">
        <f>('Income Statement'!G7/'Common size '!F124)*-1</f>
        <v>2.3793456802614643</v>
      </c>
      <c r="G125" s="39">
        <f>('Income Statement'!H7/'Common size '!G124)*-1</f>
        <v>2.4462376423126697</v>
      </c>
    </row>
    <row r="126" spans="2:7">
      <c r="B126" s="42" t="s">
        <v>331</v>
      </c>
      <c r="C126" s="91">
        <f>365/C125</f>
        <v>123.00317267269858</v>
      </c>
      <c r="D126" s="91">
        <f t="shared" ref="D126:G126" si="9">365/D125</f>
        <v>127.0993408821369</v>
      </c>
      <c r="E126" s="91">
        <f t="shared" si="9"/>
        <v>130.65827315842245</v>
      </c>
      <c r="F126" s="91">
        <f t="shared" si="9"/>
        <v>153.40351888670941</v>
      </c>
      <c r="G126" s="92">
        <f t="shared" si="9"/>
        <v>149.2087251404281</v>
      </c>
    </row>
    <row r="127" spans="2:7">
      <c r="B127" s="33"/>
      <c r="G127" s="32"/>
    </row>
    <row r="128" spans="2:7">
      <c r="B128" s="85" t="s">
        <v>332</v>
      </c>
      <c r="G128" s="32"/>
    </row>
    <row r="129" spans="2:7">
      <c r="B129" s="33" t="s">
        <v>333</v>
      </c>
      <c r="C129" s="93">
        <f>(57.685+'Balance sheet '!D28)/2</f>
        <v>75.921550000000011</v>
      </c>
      <c r="D129" s="93">
        <f>('Balance sheet '!D28+'Balance sheet '!E28)/2</f>
        <v>85.057900000000004</v>
      </c>
      <c r="E129" s="93">
        <f>('Balance sheet '!E28+'Balance sheet '!F28)/2</f>
        <v>80.749399999999994</v>
      </c>
      <c r="F129" s="93">
        <f>('Balance sheet '!F28+'Balance sheet '!G28)/2</f>
        <v>84.442250000000001</v>
      </c>
      <c r="G129" s="94">
        <f>('Balance sheet '!G28+'Balance sheet '!H28)/2</f>
        <v>92.64670000000001</v>
      </c>
    </row>
    <row r="130" spans="2:7">
      <c r="B130" s="33" t="s">
        <v>334</v>
      </c>
      <c r="C130" s="16">
        <f>('Income Statement'!D7/'Common size '!C129)*-1</f>
        <v>5.0424655450264115</v>
      </c>
      <c r="D130" s="16">
        <f>('Income Statement'!E7/'Common size '!D129)*-1</f>
        <v>5.9379434479337014</v>
      </c>
      <c r="E130" s="16">
        <f>('Income Statement'!F7/'Common size '!E129)*-1</f>
        <v>7.6952026888125493</v>
      </c>
      <c r="F130" s="16">
        <f>('Income Statement'!G7/'Common size '!F129)*-1</f>
        <v>7.1850323741965658</v>
      </c>
      <c r="G130" s="39">
        <f>('Income Statement'!H7/'Common size '!G129)*-1</f>
        <v>7.1098053141666133</v>
      </c>
    </row>
    <row r="131" spans="2:7">
      <c r="B131" s="42" t="s">
        <v>335</v>
      </c>
      <c r="C131" s="91">
        <f>365/C130</f>
        <v>72.3852243988091</v>
      </c>
      <c r="D131" s="91">
        <f t="shared" ref="D131:G131" si="10">365/D130</f>
        <v>61.469093331802192</v>
      </c>
      <c r="E131" s="91">
        <f t="shared" si="10"/>
        <v>47.432148932301004</v>
      </c>
      <c r="F131" s="91">
        <f t="shared" si="10"/>
        <v>50.800049462660148</v>
      </c>
      <c r="G131" s="92">
        <f t="shared" si="10"/>
        <v>51.33755199635646</v>
      </c>
    </row>
    <row r="132" spans="2:7">
      <c r="B132" s="33"/>
      <c r="G132" s="32"/>
    </row>
    <row r="133" spans="2:7">
      <c r="B133" s="41" t="s">
        <v>336</v>
      </c>
      <c r="G133" s="32"/>
    </row>
    <row r="134" spans="2:7">
      <c r="B134" s="33"/>
      <c r="G134" s="32"/>
    </row>
    <row r="135" spans="2:7">
      <c r="B135" s="33" t="s">
        <v>337</v>
      </c>
      <c r="C135" s="25">
        <f>'Balance sheet '!D10/'Income Statement'!D6</f>
        <v>6.5843873241731535E-2</v>
      </c>
      <c r="D135" s="25">
        <f>'Balance sheet '!E10/'Income Statement'!E6</f>
        <v>7.3077932763101788E-2</v>
      </c>
      <c r="E135" s="25">
        <f>'Balance sheet '!F10/'Income Statement'!F6</f>
        <v>1.0780300617487314E-2</v>
      </c>
      <c r="F135" s="25">
        <f>'Balance sheet '!G10/'Income Statement'!G6</f>
        <v>2.7788063684003248E-2</v>
      </c>
      <c r="G135" s="34">
        <f>'Balance sheet '!H10/'Income Statement'!H6</f>
        <v>0.11840033303770205</v>
      </c>
    </row>
    <row r="136" spans="2:7">
      <c r="B136" s="33" t="s">
        <v>338</v>
      </c>
      <c r="C136" s="25">
        <f>'Balance sheet '!D11/SUM('Income Statement'!D7,'Income Statement'!D10)*-1</f>
        <v>1.8257319541708054E-2</v>
      </c>
      <c r="D136" s="25">
        <f>'Balance sheet '!E11/SUM('Income Statement'!E7,'Income Statement'!E10)*-1</f>
        <v>1.6385864168951485E-2</v>
      </c>
      <c r="E136" s="25">
        <f>'Balance sheet '!F11/SUM('Income Statement'!F7,'Income Statement'!F10)*-1</f>
        <v>1.3441989021361908E-2</v>
      </c>
      <c r="F136" s="25">
        <f>'Balance sheet '!G11/SUM('Income Statement'!G7,'Income Statement'!G10)*-1</f>
        <v>1.4550667364600978E-2</v>
      </c>
      <c r="G136" s="34">
        <f>'Balance sheet '!H11/SUM('Income Statement'!H7,'Income Statement'!H10)*-1</f>
        <v>1.6810496936254853E-2</v>
      </c>
    </row>
    <row r="137" spans="2:7">
      <c r="B137" s="33"/>
      <c r="G137" s="32"/>
    </row>
    <row r="138" spans="2:7">
      <c r="B138" s="33" t="s">
        <v>339</v>
      </c>
      <c r="C138" s="25">
        <f>'Balance sheet '!D21/'Income Statement'!D6</f>
        <v>6.4301996163207654E-3</v>
      </c>
      <c r="D138" s="25">
        <f>'Balance sheet '!E21/'Income Statement'!E6</f>
        <v>2.1181136694641809E-2</v>
      </c>
      <c r="E138" s="25">
        <f>'Balance sheet '!F21/'Income Statement'!F6</f>
        <v>1.7732923063190562E-2</v>
      </c>
      <c r="F138" s="25">
        <f>'Balance sheet '!G21/'Income Statement'!G6</f>
        <v>2.2359939657628134E-3</v>
      </c>
      <c r="G138" s="34">
        <f>'Balance sheet '!H21/'Income Statement'!H6</f>
        <v>2.0995855128599613E-3</v>
      </c>
    </row>
    <row r="139" spans="2:7">
      <c r="B139" s="33" t="s">
        <v>340</v>
      </c>
      <c r="C139" s="25">
        <f>'Balance sheet '!D22/'Income Statement'!D6</f>
        <v>1.6347293506965607E-2</v>
      </c>
      <c r="D139" s="25">
        <f>'Balance sheet '!E22/'Income Statement'!E6</f>
        <v>6.292269486711138E-3</v>
      </c>
      <c r="E139" s="25">
        <f>'Balance sheet '!F22/'Income Statement'!F6</f>
        <v>1.0121798907126254E-2</v>
      </c>
      <c r="F139" s="25">
        <f>'Balance sheet '!G22/'Income Statement'!G6</f>
        <v>1.5148972826058477E-2</v>
      </c>
      <c r="G139" s="34">
        <f>'Balance sheet '!H22/'Income Statement'!H6</f>
        <v>1.2018317073612192E-2</v>
      </c>
    </row>
    <row r="140" spans="2:7">
      <c r="B140" s="33"/>
      <c r="G140" s="32"/>
    </row>
    <row r="141" spans="2:7">
      <c r="B141" s="33" t="s">
        <v>341</v>
      </c>
      <c r="C141" s="25">
        <f>('Income Statement'!D34*-1)/'Income Statement'!D6</f>
        <v>2.9397405735972448E-2</v>
      </c>
      <c r="D141" s="25">
        <f>('Income Statement'!E34*-1)/'Income Statement'!E6</f>
        <v>4.0346237638501092E-2</v>
      </c>
      <c r="E141" s="25">
        <f>('Income Statement'!F34*-1)/'Income Statement'!F6</f>
        <v>3.4041450142305106E-2</v>
      </c>
      <c r="F141" s="25">
        <f>('Income Statement'!G34*-1)/'Income Statement'!G6</f>
        <v>3.5168801526416403E-2</v>
      </c>
      <c r="G141" s="25">
        <f>('Income Statement'!H34*-1)/'Income Statement'!H6</f>
        <v>2.3819435645894043E-2</v>
      </c>
    </row>
    <row r="142" spans="2:7" ht="17.25" customHeight="1">
      <c r="B142" s="95" t="s">
        <v>342</v>
      </c>
      <c r="C142" s="96">
        <f>'Balance sheet '!D31/SUM('Income Statement'!D7,'Income Statement'!D10)*-1</f>
        <v>3.8483160698537799E-3</v>
      </c>
      <c r="D142" s="96">
        <f>'Balance sheet '!E31/SUM('Income Statement'!E7,'Income Statement'!E10)*-1</f>
        <v>3.7866534016860751E-3</v>
      </c>
      <c r="E142" s="96">
        <f>'Balance sheet '!F31/SUM('Income Statement'!F7,'Income Statement'!F10)*-1</f>
        <v>6.0287765240083138E-3</v>
      </c>
      <c r="F142" s="96">
        <f>'Balance sheet '!G31/SUM('Income Statement'!G7,'Income Statement'!G10)*-1</f>
        <v>3.5925841204975171E-3</v>
      </c>
      <c r="G142" s="97">
        <f>'Balance sheet '!H31/SUM('Income Statement'!H7,'Income Statement'!H10)*-1</f>
        <v>4.4913541432741967E-3</v>
      </c>
    </row>
  </sheetData>
  <mergeCells count="2">
    <mergeCell ref="B6:G7"/>
    <mergeCell ref="B59:G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4274-E6ED-43DD-BB37-53656FFFB106}">
  <dimension ref="C2:S77"/>
  <sheetViews>
    <sheetView showGridLines="0" zoomScale="70" zoomScaleNormal="85" workbookViewId="0">
      <selection activeCell="C4" sqref="C4"/>
    </sheetView>
  </sheetViews>
  <sheetFormatPr defaultRowHeight="15" customHeight="1" outlineLevelRow="1"/>
  <cols>
    <col min="3" max="3" width="27.7109375" bestFit="1" customWidth="1"/>
    <col min="4" max="4" width="10.5703125" bestFit="1" customWidth="1"/>
    <col min="5" max="5" width="11.5703125" bestFit="1" customWidth="1"/>
    <col min="6" max="7" width="10.5703125" bestFit="1" customWidth="1"/>
    <col min="8" max="8" width="12.140625" bestFit="1" customWidth="1"/>
    <col min="9" max="11" width="12.140625" customWidth="1"/>
    <col min="12" max="12" width="8" bestFit="1" customWidth="1"/>
    <col min="13" max="19" width="9.42578125" bestFit="1" customWidth="1"/>
  </cols>
  <sheetData>
    <row r="2" spans="3:19" ht="14.45"/>
    <row r="3" spans="3:19" ht="14.45" customHeight="1">
      <c r="C3" s="14" t="s">
        <v>74</v>
      </c>
      <c r="D3" s="320" t="s">
        <v>75</v>
      </c>
      <c r="E3" s="321"/>
      <c r="F3" s="321"/>
      <c r="G3" s="321"/>
      <c r="H3" s="321"/>
      <c r="I3" s="224" t="s">
        <v>76</v>
      </c>
      <c r="J3" s="225"/>
      <c r="K3" s="215"/>
      <c r="L3" s="322" t="s">
        <v>77</v>
      </c>
      <c r="M3" s="323"/>
      <c r="N3" s="323"/>
      <c r="O3" s="323"/>
      <c r="P3" s="323"/>
      <c r="Q3" s="323"/>
      <c r="R3" s="323"/>
      <c r="S3" s="323"/>
    </row>
    <row r="4" spans="3:19" ht="15.6">
      <c r="C4" s="303" t="s">
        <v>78</v>
      </c>
      <c r="D4" s="49">
        <v>2021</v>
      </c>
      <c r="E4" s="49">
        <v>2022</v>
      </c>
      <c r="F4" s="49">
        <v>2023</v>
      </c>
      <c r="G4" s="49">
        <v>2024</v>
      </c>
      <c r="H4" s="49">
        <v>2025</v>
      </c>
      <c r="I4" s="207" t="s">
        <v>79</v>
      </c>
      <c r="J4" s="49" t="s">
        <v>80</v>
      </c>
      <c r="K4" s="214" t="s">
        <v>81</v>
      </c>
      <c r="L4" s="50">
        <v>2026</v>
      </c>
      <c r="M4" s="51">
        <v>2027</v>
      </c>
      <c r="N4" s="51">
        <v>2028</v>
      </c>
      <c r="O4" s="51">
        <v>2029</v>
      </c>
      <c r="P4" s="51">
        <v>2030</v>
      </c>
      <c r="Q4" s="51">
        <v>2031</v>
      </c>
      <c r="R4" s="51">
        <v>2032</v>
      </c>
      <c r="S4" s="60">
        <v>2033</v>
      </c>
    </row>
    <row r="5" spans="3:19" ht="14.45">
      <c r="C5" s="194"/>
      <c r="D5" s="195"/>
      <c r="E5" s="195"/>
      <c r="F5" s="195"/>
      <c r="G5" s="195"/>
      <c r="H5" s="195"/>
      <c r="I5" s="208"/>
      <c r="J5" s="195"/>
      <c r="K5" s="212"/>
      <c r="S5" s="32"/>
    </row>
    <row r="6" spans="3:19" ht="14.45">
      <c r="C6" s="35" t="s">
        <v>82</v>
      </c>
      <c r="I6" s="33"/>
      <c r="K6" s="32"/>
      <c r="S6" s="32"/>
    </row>
    <row r="7" spans="3:19" ht="14.45">
      <c r="C7" s="33" t="s">
        <v>83</v>
      </c>
      <c r="D7" s="21">
        <v>68.060100000000006</v>
      </c>
      <c r="E7" s="17">
        <v>11.216800000000001</v>
      </c>
      <c r="F7" s="21">
        <v>5.7416999999999998</v>
      </c>
      <c r="G7" s="21">
        <v>12.6533</v>
      </c>
      <c r="H7" s="21">
        <v>16.43</v>
      </c>
      <c r="I7" s="209"/>
      <c r="J7" s="21"/>
      <c r="K7" s="201">
        <f>SUM(H7:J7)</f>
        <v>16.43</v>
      </c>
      <c r="L7" s="196">
        <f>'Debt Repayment '!C34</f>
        <v>10</v>
      </c>
      <c r="M7" s="17">
        <f>'Debt Repayment '!D34</f>
        <v>10</v>
      </c>
      <c r="N7" s="17">
        <f>'Debt Repayment '!E34</f>
        <v>208.67517023760172</v>
      </c>
      <c r="O7" s="17">
        <f>'Debt Repayment '!F34</f>
        <v>429.87549804742963</v>
      </c>
      <c r="P7" s="17">
        <f>'Debt Repayment '!G34</f>
        <v>672.13500581000994</v>
      </c>
      <c r="Q7" s="17">
        <f>'Debt Repayment '!H34</f>
        <v>912.56421340254838</v>
      </c>
      <c r="R7" s="17">
        <f>'Debt Repayment '!I34</f>
        <v>1162.0356929935265</v>
      </c>
      <c r="S7" s="127">
        <f>'Debt Repayment '!J34</f>
        <v>1212.8188607650516</v>
      </c>
    </row>
    <row r="8" spans="3:19" ht="14.45">
      <c r="C8" s="33" t="s">
        <v>26</v>
      </c>
      <c r="D8" s="21">
        <v>168.54599999999999</v>
      </c>
      <c r="E8" s="21">
        <v>194.20680000000002</v>
      </c>
      <c r="F8" s="21">
        <v>231.38849999999999</v>
      </c>
      <c r="G8" s="21">
        <v>201.63319999999999</v>
      </c>
      <c r="H8" s="21">
        <v>269.01</v>
      </c>
      <c r="I8" s="209"/>
      <c r="J8" s="21"/>
      <c r="K8" s="201">
        <f t="shared" ref="K8:K10" si="0">SUM(H8:J8)</f>
        <v>269.01</v>
      </c>
      <c r="L8" s="196">
        <f>('Income Statement'!J6/365)*Assumptions!$M$12</f>
        <v>280.36547174388653</v>
      </c>
      <c r="M8" s="17">
        <f>('Income Statement'!K6/365)*Assumptions!$M$12</f>
        <v>320.95000126549007</v>
      </c>
      <c r="N8" s="17">
        <f>('Income Statement'!L6/365)*Assumptions!$M$12</f>
        <v>367.40937702348941</v>
      </c>
      <c r="O8" s="17">
        <f>('Income Statement'!M6/365)*Assumptions!$M$12</f>
        <v>420.59401711335425</v>
      </c>
      <c r="P8" s="17">
        <f>('Income Statement'!N6/365)*Assumptions!$M$12</f>
        <v>481.47744258644457</v>
      </c>
      <c r="Q8" s="17">
        <f>('Income Statement'!O6/365)*Assumptions!$M$12</f>
        <v>551.17409731747364</v>
      </c>
      <c r="R8" s="17">
        <f>('Income Statement'!P6/365)*Assumptions!$M$12</f>
        <v>630.95974740122711</v>
      </c>
      <c r="S8" s="127">
        <f>('Income Statement'!Q6/365)*Assumptions!$M$12</f>
        <v>722.29483348037434</v>
      </c>
    </row>
    <row r="9" spans="3:19" ht="14.45">
      <c r="C9" s="33" t="s">
        <v>29</v>
      </c>
      <c r="D9" s="21">
        <v>155.58520000000001</v>
      </c>
      <c r="E9" s="21">
        <v>196.16240000000002</v>
      </c>
      <c r="F9" s="21">
        <v>248.7079</v>
      </c>
      <c r="G9" s="21">
        <v>261.28129999999999</v>
      </c>
      <c r="H9" s="21">
        <v>277.26</v>
      </c>
      <c r="I9" s="209"/>
      <c r="J9" s="21"/>
      <c r="K9" s="201">
        <f t="shared" si="0"/>
        <v>277.26</v>
      </c>
      <c r="L9" s="196">
        <f>(('Income Statement'!J7/365)*Assumptions!$M$13)*-1</f>
        <v>287.58236168036041</v>
      </c>
      <c r="M9" s="17">
        <f>(('Income Statement'!K7/365)*Assumptions!$M$13)*-1</f>
        <v>329.21157791341653</v>
      </c>
      <c r="N9" s="17">
        <f>(('Income Statement'!L7/365)*Assumptions!$M$13)*-1</f>
        <v>376.8668648486277</v>
      </c>
      <c r="O9" s="17">
        <f>(('Income Statement'!M7/365)*Assumptions!$M$13)*-1</f>
        <v>431.42053120072131</v>
      </c>
      <c r="P9" s="17">
        <f>(('Income Statement'!N7/365)*Assumptions!$M$13)*-1</f>
        <v>493.87115743452506</v>
      </c>
      <c r="Q9" s="17">
        <f>(('Income Statement'!O7/365)*Assumptions!$M$13)*-1</f>
        <v>565.3618743337862</v>
      </c>
      <c r="R9" s="17">
        <f>(('Income Statement'!P7/365)*Assumptions!$M$13)*-1</f>
        <v>647.20128749893104</v>
      </c>
      <c r="S9" s="127">
        <f>(('Income Statement'!Q7/365)*Assumptions!$M$13)*-1</f>
        <v>740.88743078734012</v>
      </c>
    </row>
    <row r="10" spans="3:19" ht="14.45">
      <c r="C10" s="33" t="s">
        <v>31</v>
      </c>
      <c r="D10" s="21">
        <v>43.036799999999999</v>
      </c>
      <c r="E10" s="21">
        <v>58.124200000000002</v>
      </c>
      <c r="F10" s="21">
        <v>10.821199999999999</v>
      </c>
      <c r="G10" s="21">
        <v>28.1038</v>
      </c>
      <c r="H10" s="17">
        <v>130.83000000000001</v>
      </c>
      <c r="I10" s="169"/>
      <c r="J10" s="17"/>
      <c r="K10" s="201">
        <f t="shared" si="0"/>
        <v>130.83000000000001</v>
      </c>
      <c r="L10" s="196">
        <v>130.83000000000001</v>
      </c>
      <c r="M10" s="17">
        <v>130.83000000000001</v>
      </c>
      <c r="N10" s="17">
        <v>130.83000000000001</v>
      </c>
      <c r="O10" s="17">
        <v>130.83000000000001</v>
      </c>
      <c r="P10" s="17">
        <v>130.83000000000001</v>
      </c>
      <c r="Q10" s="17">
        <v>130.83000000000001</v>
      </c>
      <c r="R10" s="17">
        <v>130.83000000000001</v>
      </c>
      <c r="S10" s="127">
        <v>130.83000000000001</v>
      </c>
    </row>
    <row r="11" spans="3:19" ht="14.45">
      <c r="C11" s="33" t="s">
        <v>33</v>
      </c>
      <c r="D11" s="21">
        <v>10.164999999999999</v>
      </c>
      <c r="E11" s="21">
        <v>11.7005</v>
      </c>
      <c r="F11" s="21">
        <v>11.492000000000001</v>
      </c>
      <c r="G11" s="21">
        <v>12.4422</v>
      </c>
      <c r="H11" s="21">
        <v>15.72</v>
      </c>
      <c r="I11" s="209"/>
      <c r="J11" s="21"/>
      <c r="K11" s="201">
        <f>SUM(H11:J11)</f>
        <v>15.72</v>
      </c>
      <c r="L11" s="196">
        <f>(Assumptions!$M$15*'Income Statement'!J7)*-1</f>
        <v>12.203127624447582</v>
      </c>
      <c r="M11" s="17">
        <f>(Assumptions!$M$15*'Income Statement'!K7)*-1</f>
        <v>13.969601185723723</v>
      </c>
      <c r="N11" s="17">
        <f>(Assumptions!$M$15*'Income Statement'!L7)*-1</f>
        <v>15.991782049153798</v>
      </c>
      <c r="O11" s="17">
        <f>(Assumptions!$M$15*'Income Statement'!M7)*-1</f>
        <v>18.306685331073655</v>
      </c>
      <c r="P11" s="17">
        <f>(Assumptions!$M$15*'Income Statement'!N7)*-1</f>
        <v>20.956684300776903</v>
      </c>
      <c r="Q11" s="17">
        <f>(Assumptions!$M$15*'Income Statement'!O7)*-1</f>
        <v>23.990286004258966</v>
      </c>
      <c r="R11" s="17">
        <f>(Assumptions!$M$15*'Income Statement'!P7)*-1</f>
        <v>27.463019164000453</v>
      </c>
      <c r="S11" s="127">
        <f>(Assumptions!$M$15*'Income Statement'!Q7)*-1</f>
        <v>31.43845060739838</v>
      </c>
    </row>
    <row r="12" spans="3:19" ht="14.45">
      <c r="C12" s="35" t="s">
        <v>84</v>
      </c>
      <c r="D12" s="197">
        <f>SUM(D7:D11)</f>
        <v>445.39310000000006</v>
      </c>
      <c r="E12" s="197">
        <f t="shared" ref="E12:P12" si="1">SUM(E7:E11)</f>
        <v>471.41069999999996</v>
      </c>
      <c r="F12" s="197">
        <f t="shared" si="1"/>
        <v>508.15129999999999</v>
      </c>
      <c r="G12" s="197">
        <f t="shared" si="1"/>
        <v>516.11379999999997</v>
      </c>
      <c r="H12" s="197">
        <f t="shared" si="1"/>
        <v>709.25000000000011</v>
      </c>
      <c r="I12" s="210"/>
      <c r="J12" s="197"/>
      <c r="K12" s="203">
        <f t="shared" si="1"/>
        <v>709.25000000000011</v>
      </c>
      <c r="L12" s="198">
        <f t="shared" si="1"/>
        <v>720.98096104869455</v>
      </c>
      <c r="M12" s="197">
        <f t="shared" si="1"/>
        <v>804.96118036463031</v>
      </c>
      <c r="N12" s="197">
        <f t="shared" si="1"/>
        <v>1099.7731941588725</v>
      </c>
      <c r="O12" s="197">
        <f t="shared" si="1"/>
        <v>1431.0267316925788</v>
      </c>
      <c r="P12" s="197">
        <f t="shared" si="1"/>
        <v>1799.2702901317564</v>
      </c>
      <c r="Q12" s="197">
        <f t="shared" ref="Q12:S12" si="2">SUM(Q7:Q11)</f>
        <v>2183.9204710580671</v>
      </c>
      <c r="R12" s="197">
        <f t="shared" si="2"/>
        <v>2598.4897470576848</v>
      </c>
      <c r="S12" s="199">
        <f t="shared" si="2"/>
        <v>2838.2695756401645</v>
      </c>
    </row>
    <row r="13" spans="3:19" ht="14.45">
      <c r="C13" s="33"/>
      <c r="D13" s="53"/>
      <c r="E13" s="53"/>
      <c r="F13" s="53"/>
      <c r="G13" s="53"/>
      <c r="H13" s="17"/>
      <c r="I13" s="169"/>
      <c r="J13" s="17"/>
      <c r="K13" s="127"/>
      <c r="L13" s="196"/>
      <c r="S13" s="32"/>
    </row>
    <row r="14" spans="3:19" ht="14.45" hidden="1" outlineLevel="1">
      <c r="C14" s="33" t="s">
        <v>85</v>
      </c>
      <c r="D14" s="21">
        <v>118.23129999999999</v>
      </c>
      <c r="E14" s="21">
        <v>125.73450000000001</v>
      </c>
      <c r="F14" s="17">
        <v>141.78440000000001</v>
      </c>
      <c r="G14" s="17">
        <v>144.9076</v>
      </c>
      <c r="H14" s="17">
        <v>154.79</v>
      </c>
      <c r="I14" s="169"/>
      <c r="J14" s="17"/>
      <c r="K14" s="201">
        <f t="shared" ref="K14:K17" si="3">SUM(H14:J14)</f>
        <v>154.79</v>
      </c>
      <c r="L14" s="196">
        <f>(K14+('D&amp;A'!$C$15*'D&amp;A'!$O6))</f>
        <v>181.35460735716174</v>
      </c>
      <c r="M14" s="196">
        <f>(L14+('D&amp;A'!$C$16*'D&amp;A'!$O6))</f>
        <v>211.76459583351277</v>
      </c>
      <c r="N14" s="196">
        <f>(M14+('D&amp;A'!$C$17*'D&amp;A'!$O6))</f>
        <v>246.57660666801462</v>
      </c>
      <c r="O14" s="196">
        <f>(N14+('D&amp;A'!$C$18*'D&amp;A'!$O6))</f>
        <v>286.42785815020164</v>
      </c>
      <c r="P14" s="196">
        <f>(O14+('D&amp;A'!$C$19*'D&amp;A'!$O6))</f>
        <v>332.04780961599113</v>
      </c>
      <c r="Q14" s="196">
        <f>(P14+('D&amp;A'!$C$20*'D&amp;A'!$O6))</f>
        <v>384.2715138745952</v>
      </c>
      <c r="R14" s="196">
        <f>(Q14+('D&amp;A'!$C$21*'D&amp;A'!$O6))</f>
        <v>444.05490247673691</v>
      </c>
      <c r="S14" s="126">
        <f>(R14+('D&amp;A'!$C$22*'D&amp;A'!$O6))</f>
        <v>512.49228361417022</v>
      </c>
    </row>
    <row r="15" spans="3:19" ht="14.45" hidden="1" outlineLevel="1">
      <c r="C15" s="33" t="s">
        <v>86</v>
      </c>
      <c r="D15" s="21">
        <v>1.8200000000000001E-2</v>
      </c>
      <c r="E15" s="21">
        <v>6.2688999999999995</v>
      </c>
      <c r="F15" s="17">
        <v>2.0318000000000001</v>
      </c>
      <c r="G15" s="17">
        <v>8.1065000000000005</v>
      </c>
      <c r="H15" s="17">
        <v>2.0299999999999998</v>
      </c>
      <c r="I15" s="169"/>
      <c r="J15" s="17"/>
      <c r="K15" s="201">
        <f t="shared" si="3"/>
        <v>2.0299999999999998</v>
      </c>
      <c r="L15" s="196">
        <f>(K15+('D&amp;A'!$C$15*'D&amp;A'!$O7))</f>
        <v>2.3783826664192667</v>
      </c>
      <c r="M15" s="196">
        <f>(L15+('D&amp;A'!$C$16*'D&amp;A'!$O7))</f>
        <v>2.7771957461207499</v>
      </c>
      <c r="N15" s="196">
        <f>(M15+('D&amp;A'!$C$17*'D&amp;A'!$O7))</f>
        <v>3.2337393341693237</v>
      </c>
      <c r="O15" s="196">
        <f>(N15+('D&amp;A'!$C$18*'D&amp;A'!$O7))</f>
        <v>3.7563702567666466</v>
      </c>
      <c r="P15" s="196">
        <f>(O15+('D&amp;A'!$C$19*'D&amp;A'!$O7))</f>
        <v>4.3546550392174037</v>
      </c>
      <c r="Q15" s="196">
        <f>(P15+('D&amp;A'!$C$20*'D&amp;A'!$O7))</f>
        <v>5.0395450168966223</v>
      </c>
      <c r="R15" s="196">
        <f>(Q15+('D&amp;A'!$C$21*'D&amp;A'!$O7))</f>
        <v>5.8235767945460033</v>
      </c>
      <c r="S15" s="126">
        <f>(R15+('D&amp;A'!$C$22*'D&amp;A'!$O7))</f>
        <v>6.72110172321704</v>
      </c>
    </row>
    <row r="16" spans="3:19" ht="14.45" hidden="1" outlineLevel="1">
      <c r="C16" s="33" t="s">
        <v>87</v>
      </c>
      <c r="D16" s="21">
        <v>7.7951999999999995</v>
      </c>
      <c r="E16" s="21">
        <v>7.7073</v>
      </c>
      <c r="F16" s="17">
        <v>7.6195000000000004</v>
      </c>
      <c r="G16" s="17">
        <v>7.5314999999999994</v>
      </c>
      <c r="H16" s="17">
        <v>7.44</v>
      </c>
      <c r="I16" s="169"/>
      <c r="J16" s="17"/>
      <c r="K16" s="201">
        <f t="shared" si="3"/>
        <v>7.44</v>
      </c>
      <c r="L16" s="196">
        <f>(K16+('D&amp;A'!$C$15*'D&amp;A'!$O8))</f>
        <v>8.7168310532804671</v>
      </c>
      <c r="M16" s="196">
        <f>(L16+('D&amp;A'!$C$16*'D&amp;A'!$O8))</f>
        <v>10.178490813368661</v>
      </c>
      <c r="N16" s="196">
        <f>(M16+('D&amp;A'!$C$17*'D&amp;A'!$O8))</f>
        <v>11.851734308482646</v>
      </c>
      <c r="O16" s="196">
        <f>(N16+('D&amp;A'!$C$18*'D&amp;A'!$O8))</f>
        <v>13.767189512484657</v>
      </c>
      <c r="P16" s="196">
        <f>(O16+('D&amp;A'!$C$19*'D&amp;A'!$O8))</f>
        <v>15.95991797624507</v>
      </c>
      <c r="Q16" s="196">
        <f>(P16+('D&amp;A'!$C$20*'D&amp;A'!$O8))</f>
        <v>18.470056613650677</v>
      </c>
      <c r="R16" s="196">
        <f>(Q16+('D&amp;A'!$C$21*'D&amp;A'!$O8))</f>
        <v>21.343552389863184</v>
      </c>
      <c r="S16" s="126">
        <f>(R16+('D&amp;A'!$C$22*'D&amp;A'!$O8))</f>
        <v>24.633003359967869</v>
      </c>
    </row>
    <row r="17" spans="3:19" ht="14.45" hidden="1" outlineLevel="1">
      <c r="C17" s="33" t="s">
        <v>88</v>
      </c>
      <c r="D17" s="21">
        <v>0.18340000000000001</v>
      </c>
      <c r="E17" s="21">
        <v>0.21899999999999997</v>
      </c>
      <c r="F17" s="17">
        <v>0.6826000000000001</v>
      </c>
      <c r="G17" s="17">
        <v>0.51500000000000001</v>
      </c>
      <c r="H17" s="17">
        <v>1.58</v>
      </c>
      <c r="I17" s="169"/>
      <c r="J17" s="17"/>
      <c r="K17" s="201">
        <f t="shared" si="3"/>
        <v>1.58</v>
      </c>
      <c r="L17" s="196">
        <f>(K17+('D&amp;A'!$C$15*'D&amp;A'!$O9))</f>
        <v>1.8511549817450454</v>
      </c>
      <c r="M17" s="196">
        <f>(L17+('D&amp;A'!$C$16*'D&amp;A'!$O9))</f>
        <v>2.1615612211186135</v>
      </c>
      <c r="N17" s="196">
        <f>(M17+('D&amp;A'!$C$17*'D&amp;A'!$O9))</f>
        <v>2.5169005655110994</v>
      </c>
      <c r="O17" s="196">
        <f>(N17+('D&amp;A'!$C$18*'D&amp;A'!$O9))</f>
        <v>2.9236773427050751</v>
      </c>
      <c r="P17" s="196">
        <f>(O17+('D&amp;A'!$C$19*'D&amp;A'!$O9))</f>
        <v>3.3893374196864525</v>
      </c>
      <c r="Q17" s="196">
        <f>(P17+('D&amp;A'!$C$20*'D&amp;A'!$O9))</f>
        <v>3.9224044959096869</v>
      </c>
      <c r="R17" s="196">
        <f>(Q17+('D&amp;A'!$C$21*'D&amp;A'!$O9))</f>
        <v>4.5326361258042791</v>
      </c>
      <c r="S17" s="126">
        <f>(R17+('D&amp;A'!$C$22*'D&amp;A'!$O9))</f>
        <v>5.23120232644479</v>
      </c>
    </row>
    <row r="18" spans="3:19" ht="14.45" collapsed="1">
      <c r="C18" s="33" t="s">
        <v>89</v>
      </c>
      <c r="D18" s="21">
        <f>SUM(D14:D17)</f>
        <v>126.22809999999998</v>
      </c>
      <c r="E18" s="21">
        <f t="shared" ref="E18:H18" si="4">SUM(E14:E17)</f>
        <v>139.9297</v>
      </c>
      <c r="F18" s="21">
        <f t="shared" si="4"/>
        <v>152.1183</v>
      </c>
      <c r="G18" s="21">
        <f t="shared" si="4"/>
        <v>161.06059999999999</v>
      </c>
      <c r="H18" s="21">
        <f t="shared" si="4"/>
        <v>165.84</v>
      </c>
      <c r="I18" s="169"/>
      <c r="J18" s="17"/>
      <c r="K18" s="201">
        <f t="shared" ref="K18:K22" si="5">SUM(H18:J18)</f>
        <v>165.84</v>
      </c>
      <c r="L18" s="171">
        <f>SUM(L14:L17)-'D&amp;A'!F27</f>
        <v>170.55012845274587</v>
      </c>
      <c r="M18" s="171">
        <f>SUM(M14:M17)-'D&amp;A'!G27</f>
        <v>200.80379118286626</v>
      </c>
      <c r="N18" s="171">
        <f>SUM(N14:N17)-'D&amp;A'!H27</f>
        <v>235.76985736604459</v>
      </c>
      <c r="O18" s="171">
        <f>SUM(O14:O17)-'D&amp;A'!I27</f>
        <v>274.90796221985994</v>
      </c>
      <c r="P18" s="171">
        <f>SUM(P14:P17)-'D&amp;A'!J27</f>
        <v>320.52614535624315</v>
      </c>
      <c r="Q18" s="171">
        <f>SUM(Q14:Q17)-'D&amp;A'!K27</f>
        <v>369.79997031241629</v>
      </c>
      <c r="R18" s="171">
        <f>SUM(R14:R17)-'D&amp;A'!L27</f>
        <v>430.16410673016844</v>
      </c>
      <c r="S18" s="200">
        <f>SUM(S14:S17)-'D&amp;A'!M27</f>
        <v>496.15473764333308</v>
      </c>
    </row>
    <row r="19" spans="3:19" ht="14.45">
      <c r="C19" s="33" t="s">
        <v>90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169"/>
      <c r="J19" s="21">
        <f>Assumptions!C35</f>
        <v>234.80474406774502</v>
      </c>
      <c r="K19" s="201">
        <f t="shared" si="5"/>
        <v>234.80474406774502</v>
      </c>
      <c r="L19" s="171">
        <f>Assumptions!$C$35</f>
        <v>234.80474406774502</v>
      </c>
      <c r="M19" s="21">
        <f>Assumptions!$C$35</f>
        <v>234.80474406774502</v>
      </c>
      <c r="N19" s="21">
        <f>Assumptions!$C$35</f>
        <v>234.80474406774502</v>
      </c>
      <c r="O19" s="21">
        <f>Assumptions!$C$35</f>
        <v>234.80474406774502</v>
      </c>
      <c r="P19" s="21">
        <f>Assumptions!$C$35</f>
        <v>234.80474406774502</v>
      </c>
      <c r="Q19" s="21">
        <f>Assumptions!$C$35</f>
        <v>234.80474406774502</v>
      </c>
      <c r="R19" s="21">
        <f>Assumptions!$C$35</f>
        <v>234.80474406774502</v>
      </c>
      <c r="S19" s="201">
        <f>Assumptions!$C$35</f>
        <v>234.80474406774502</v>
      </c>
    </row>
    <row r="20" spans="3:19" ht="14.45">
      <c r="C20" s="33" t="s">
        <v>38</v>
      </c>
      <c r="D20" s="21">
        <v>146.94540000000001</v>
      </c>
      <c r="E20" s="21">
        <v>151.34540000000001</v>
      </c>
      <c r="F20" s="21">
        <v>155.34540000000001</v>
      </c>
      <c r="G20" s="21">
        <v>160.34540000000001</v>
      </c>
      <c r="H20" s="21">
        <v>186.95</v>
      </c>
      <c r="I20" s="209"/>
      <c r="J20" s="21"/>
      <c r="K20" s="201">
        <f t="shared" si="5"/>
        <v>186.95</v>
      </c>
      <c r="L20" s="196">
        <f>K20*(1+Assumptions!$M$17)</f>
        <v>198.5490612377628</v>
      </c>
      <c r="M20" s="17">
        <f>L20*(1+Assumptions!$M$17)</f>
        <v>210.86777062528421</v>
      </c>
      <c r="N20" s="17">
        <f>M20*(1+Assumptions!$M$17)</f>
        <v>223.95077776384099</v>
      </c>
      <c r="O20" s="17">
        <f>N20*(1+Assumptions!$M$17)</f>
        <v>237.84550247915203</v>
      </c>
      <c r="P20" s="17">
        <f>O20*(1+Assumptions!$M$17)</f>
        <v>252.60230669622692</v>
      </c>
      <c r="Q20" s="17">
        <f>P20*(1+Assumptions!$M$17)</f>
        <v>268.27467697795828</v>
      </c>
      <c r="R20" s="17">
        <f>Q20*(1+Assumptions!$M$17)</f>
        <v>284.91941838907553</v>
      </c>
      <c r="S20" s="127">
        <f>R20*(1+Assumptions!$M$17)</f>
        <v>302.59686038812686</v>
      </c>
    </row>
    <row r="21" spans="3:19" ht="14.45">
      <c r="C21" s="33" t="s">
        <v>31</v>
      </c>
      <c r="D21" s="21">
        <v>4.2029000000000005</v>
      </c>
      <c r="E21" s="21">
        <v>16.846900000000002</v>
      </c>
      <c r="F21" s="21">
        <v>17.8002</v>
      </c>
      <c r="G21" s="21">
        <v>2.2614000000000001</v>
      </c>
      <c r="H21" s="21">
        <v>2.3199999999999998</v>
      </c>
      <c r="I21" s="209"/>
      <c r="J21" s="21"/>
      <c r="K21" s="201">
        <f t="shared" si="5"/>
        <v>2.3199999999999998</v>
      </c>
      <c r="L21" s="196">
        <f>'Income Statement'!J6*Assumptions!$M$18</f>
        <v>3.7947968078142025</v>
      </c>
      <c r="M21" s="17">
        <f>'Income Statement'!K6*Assumptions!$M$18</f>
        <v>4.3441156740685685</v>
      </c>
      <c r="N21" s="17">
        <f>'Income Statement'!L6*Assumptions!$M$18</f>
        <v>4.9729516349409186</v>
      </c>
      <c r="O21" s="17">
        <f>'Income Statement'!M6*Assumptions!$M$18</f>
        <v>5.6928152514640438</v>
      </c>
      <c r="P21" s="17">
        <f>'Income Statement'!N6*Assumptions!$M$18</f>
        <v>6.5168833051976085</v>
      </c>
      <c r="Q21" s="17">
        <f>'Income Statement'!O6*Assumptions!$M$18</f>
        <v>7.4602399933216157</v>
      </c>
      <c r="R21" s="17">
        <f>'Income Statement'!P6*Assumptions!$M$18</f>
        <v>8.5401530381197599</v>
      </c>
      <c r="S21" s="127">
        <f>'Income Statement'!Q6*Assumptions!$M$18</f>
        <v>9.7763897649132794</v>
      </c>
    </row>
    <row r="22" spans="3:19" ht="14.45">
      <c r="C22" s="33" t="s">
        <v>43</v>
      </c>
      <c r="D22" s="21">
        <v>10.684900000000001</v>
      </c>
      <c r="E22" s="21">
        <v>5.0047000000000006</v>
      </c>
      <c r="F22" s="21">
        <v>10.1602</v>
      </c>
      <c r="G22" s="21">
        <v>15.321100000000001</v>
      </c>
      <c r="H22" s="17">
        <v>13.28</v>
      </c>
      <c r="I22" s="169"/>
      <c r="J22" s="17"/>
      <c r="K22" s="201">
        <f t="shared" si="5"/>
        <v>13.28</v>
      </c>
      <c r="L22" s="196">
        <f>Assumptions!$M$19*'Income Statement'!J6</f>
        <v>15.161137103269757</v>
      </c>
      <c r="M22" s="17">
        <f>Assumptions!$M$19*'Income Statement'!K6</f>
        <v>17.355799707482351</v>
      </c>
      <c r="N22" s="17">
        <f>Assumptions!$M$19*'Income Statement'!L6</f>
        <v>19.86815246339804</v>
      </c>
      <c r="O22" s="17">
        <f>Assumptions!$M$19*'Income Statement'!M6</f>
        <v>22.744182864627646</v>
      </c>
      <c r="P22" s="17">
        <f>Assumptions!$M$19*'Income Statement'!N6</f>
        <v>26.036535361433835</v>
      </c>
      <c r="Q22" s="17">
        <f>Assumptions!$M$19*'Income Statement'!O6</f>
        <v>29.805474993849277</v>
      </c>
      <c r="R22" s="17">
        <f>Assumptions!$M$19*'Income Statement'!P6</f>
        <v>34.119990516282435</v>
      </c>
      <c r="S22" s="127">
        <f>Assumptions!$M$19*'Income Statement'!Q6</f>
        <v>39.059057205813509</v>
      </c>
    </row>
    <row r="23" spans="3:19" ht="14.45">
      <c r="C23" s="35" t="s">
        <v>91</v>
      </c>
      <c r="D23" s="197">
        <f>SUM(D18:D22)</f>
        <v>288.06130000000002</v>
      </c>
      <c r="E23" s="197">
        <f t="shared" ref="E23:P23" si="6">SUM(E18:E22)</f>
        <v>313.12670000000003</v>
      </c>
      <c r="F23" s="197">
        <f t="shared" si="6"/>
        <v>335.42410000000001</v>
      </c>
      <c r="G23" s="197">
        <f t="shared" si="6"/>
        <v>338.98849999999999</v>
      </c>
      <c r="H23" s="197">
        <f t="shared" si="6"/>
        <v>368.38999999999993</v>
      </c>
      <c r="I23" s="210"/>
      <c r="J23" s="197"/>
      <c r="K23" s="203">
        <f t="shared" si="6"/>
        <v>603.19474406774509</v>
      </c>
      <c r="L23" s="198">
        <f t="shared" si="6"/>
        <v>622.85986766933763</v>
      </c>
      <c r="M23" s="197">
        <f t="shared" si="6"/>
        <v>668.1762212574464</v>
      </c>
      <c r="N23" s="197">
        <f t="shared" si="6"/>
        <v>719.3664832959696</v>
      </c>
      <c r="O23" s="197">
        <f t="shared" si="6"/>
        <v>775.99520688284872</v>
      </c>
      <c r="P23" s="197">
        <f t="shared" si="6"/>
        <v>840.48661478684653</v>
      </c>
      <c r="Q23" s="197">
        <f t="shared" ref="Q23:S23" si="7">SUM(Q18:Q22)</f>
        <v>910.14510634529051</v>
      </c>
      <c r="R23" s="197">
        <f t="shared" si="7"/>
        <v>992.54841274139119</v>
      </c>
      <c r="S23" s="199">
        <f t="shared" si="7"/>
        <v>1082.3917890699317</v>
      </c>
    </row>
    <row r="24" spans="3:19" ht="14.45">
      <c r="C24" s="33"/>
      <c r="D24" s="53"/>
      <c r="E24" s="53"/>
      <c r="F24" s="53"/>
      <c r="G24" s="17"/>
      <c r="H24" s="17"/>
      <c r="I24" s="169"/>
      <c r="J24" s="17"/>
      <c r="K24" s="127"/>
      <c r="L24" s="196"/>
      <c r="S24" s="32"/>
    </row>
    <row r="25" spans="3:19" ht="14.45">
      <c r="C25" s="35" t="s">
        <v>92</v>
      </c>
      <c r="D25" s="197">
        <f>SUM(D12,D23)</f>
        <v>733.45440000000008</v>
      </c>
      <c r="E25" s="197">
        <f>SUM(E12,E23)</f>
        <v>784.53739999999993</v>
      </c>
      <c r="F25" s="197">
        <f>SUM(F12,F23)</f>
        <v>843.57539999999995</v>
      </c>
      <c r="G25" s="197">
        <f>SUM(G12,G23)</f>
        <v>855.10230000000001</v>
      </c>
      <c r="H25" s="197">
        <f>SUM(H12,H23)</f>
        <v>1077.6400000000001</v>
      </c>
      <c r="I25" s="210"/>
      <c r="J25" s="197"/>
      <c r="K25" s="203">
        <f t="shared" ref="K25:P25" si="8">SUM(K12,K23)</f>
        <v>1312.4447440677452</v>
      </c>
      <c r="L25" s="198">
        <f t="shared" si="8"/>
        <v>1343.8408287180323</v>
      </c>
      <c r="M25" s="197">
        <f t="shared" si="8"/>
        <v>1473.1374016220766</v>
      </c>
      <c r="N25" s="197">
        <f t="shared" si="8"/>
        <v>1819.1396774548421</v>
      </c>
      <c r="O25" s="197">
        <f t="shared" si="8"/>
        <v>2207.0219385754276</v>
      </c>
      <c r="P25" s="197">
        <f t="shared" si="8"/>
        <v>2639.7569049186031</v>
      </c>
      <c r="Q25" s="197">
        <f t="shared" ref="Q25:S25" si="9">SUM(Q12,Q23)</f>
        <v>3094.0655774033576</v>
      </c>
      <c r="R25" s="197">
        <f t="shared" si="9"/>
        <v>3591.0381597990759</v>
      </c>
      <c r="S25" s="199">
        <f t="shared" si="9"/>
        <v>3920.6613647100962</v>
      </c>
    </row>
    <row r="26" spans="3:19" ht="14.45">
      <c r="C26" s="33"/>
      <c r="D26" s="53"/>
      <c r="E26" s="53"/>
      <c r="F26" s="53"/>
      <c r="G26" s="53"/>
      <c r="H26" s="17"/>
      <c r="I26" s="169"/>
      <c r="J26" s="17"/>
      <c r="K26" s="127"/>
      <c r="L26" s="196"/>
      <c r="S26" s="32"/>
    </row>
    <row r="27" spans="3:19" ht="14.45">
      <c r="C27" s="35"/>
      <c r="D27" s="53"/>
      <c r="E27" s="53"/>
      <c r="F27" s="53"/>
      <c r="G27" s="53"/>
      <c r="H27" s="17"/>
      <c r="I27" s="169"/>
      <c r="J27" s="17"/>
      <c r="K27" s="127"/>
      <c r="L27" s="196"/>
      <c r="S27" s="32"/>
    </row>
    <row r="28" spans="3:19" ht="14.45">
      <c r="C28" s="33" t="s">
        <v>46</v>
      </c>
      <c r="D28" s="21">
        <v>94.158100000000019</v>
      </c>
      <c r="E28" s="21">
        <v>75.957699999999988</v>
      </c>
      <c r="F28" s="21">
        <v>85.5411</v>
      </c>
      <c r="G28" s="21">
        <v>83.343400000000003</v>
      </c>
      <c r="H28" s="17">
        <v>101.95</v>
      </c>
      <c r="I28" s="169"/>
      <c r="J28" s="17"/>
      <c r="K28" s="201">
        <f t="shared" ref="K28:K31" si="10">SUM(H28:J28)</f>
        <v>101.95</v>
      </c>
      <c r="L28" s="196">
        <f>(('Income Statement'!J7/365)*Assumptions!$M$21)*-1</f>
        <v>119.27272397514821</v>
      </c>
      <c r="M28" s="17">
        <f>(('Income Statement'!K7/365)*Assumptions!$M$21)*-1</f>
        <v>136.53814313387178</v>
      </c>
      <c r="N28" s="17">
        <f>(('Income Statement'!L7/365)*Assumptions!$M$21)*-1</f>
        <v>156.3028319394304</v>
      </c>
      <c r="O28" s="17">
        <f>(('Income Statement'!M7/365)*Assumptions!$M$21)*-1</f>
        <v>178.9285741811527</v>
      </c>
      <c r="P28" s="17">
        <f>(('Income Statement'!N7/365)*Assumptions!$M$21)*-1</f>
        <v>204.82952395198251</v>
      </c>
      <c r="Q28" s="17">
        <f>(('Income Statement'!O7/365)*Assumptions!$M$21)*-1</f>
        <v>234.47978655393038</v>
      </c>
      <c r="R28" s="17">
        <f>(('Income Statement'!P7/365)*Assumptions!$M$21)*-1</f>
        <v>268.42209678359512</v>
      </c>
      <c r="S28" s="127">
        <f>(('Income Statement'!Q7/365)*Assumptions!$M$21)*-1</f>
        <v>307.27775344989095</v>
      </c>
    </row>
    <row r="29" spans="3:19" ht="14.45">
      <c r="C29" s="33" t="s">
        <v>93</v>
      </c>
      <c r="D29" s="21">
        <v>2.6508999999999996</v>
      </c>
      <c r="E29" s="21">
        <v>4.1399999999999999E-2</v>
      </c>
      <c r="F29" s="21">
        <v>0.2321</v>
      </c>
      <c r="G29" s="21">
        <v>4.6364000000000001</v>
      </c>
      <c r="H29" s="21">
        <v>7.1</v>
      </c>
      <c r="I29" s="209">
        <v>-7.1</v>
      </c>
      <c r="J29" s="21"/>
      <c r="K29" s="201">
        <f t="shared" si="10"/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27">
        <v>0</v>
      </c>
    </row>
    <row r="30" spans="3:19" ht="14.45">
      <c r="C30" s="33" t="s">
        <v>48</v>
      </c>
      <c r="D30" s="21">
        <v>4.4588999999999999</v>
      </c>
      <c r="E30" s="21">
        <v>3.472</v>
      </c>
      <c r="F30" s="21">
        <v>8.0997000000000003</v>
      </c>
      <c r="G30" s="21">
        <v>8.5997000000000003</v>
      </c>
      <c r="H30" s="17">
        <v>100.25</v>
      </c>
      <c r="I30" s="169"/>
      <c r="J30" s="17"/>
      <c r="K30" s="201">
        <f t="shared" si="10"/>
        <v>100.25</v>
      </c>
      <c r="L30" s="196">
        <v>100.25</v>
      </c>
      <c r="M30" s="17">
        <v>100.25</v>
      </c>
      <c r="N30" s="17">
        <v>100.25</v>
      </c>
      <c r="O30" s="17">
        <v>100.25</v>
      </c>
      <c r="P30" s="17">
        <v>100.25</v>
      </c>
      <c r="Q30" s="17">
        <v>100.25</v>
      </c>
      <c r="R30" s="17">
        <v>100.25</v>
      </c>
      <c r="S30" s="127">
        <v>100.25</v>
      </c>
    </row>
    <row r="31" spans="3:19" ht="14.45">
      <c r="C31" s="33" t="s">
        <v>50</v>
      </c>
      <c r="D31" s="21">
        <v>2.1425999999999998</v>
      </c>
      <c r="E31" s="21">
        <v>2.7039</v>
      </c>
      <c r="F31" s="21">
        <v>5.1541999999999994</v>
      </c>
      <c r="G31" s="21">
        <v>3.0720000000000001</v>
      </c>
      <c r="H31" s="17">
        <v>4.2</v>
      </c>
      <c r="I31" s="169"/>
      <c r="J31" s="17"/>
      <c r="K31" s="201">
        <f t="shared" si="10"/>
        <v>4.2</v>
      </c>
      <c r="L31" s="196">
        <f>(Assumptions!$M$23*SUM('Income Statement'!J7,'Income Statement'!J10))*-1</f>
        <v>4.7239723326218002</v>
      </c>
      <c r="M31" s="17">
        <f>(Assumptions!$M$23*SUM('Income Statement'!K7,'Income Statement'!K10))*-1</f>
        <v>5.4077947498403658</v>
      </c>
      <c r="N31" s="17">
        <f>(Assumptions!$M$23*SUM('Income Statement'!L7,'Income Statement'!L10))*-1</f>
        <v>6.1906044314553581</v>
      </c>
      <c r="O31" s="17">
        <f>(Assumptions!$M$23*SUM('Income Statement'!M7,'Income Statement'!M10))*-1</f>
        <v>7.0867303585969124</v>
      </c>
      <c r="P31" s="17">
        <f>(Assumptions!$M$23*SUM('Income Statement'!N7,'Income Statement'!N10))*-1</f>
        <v>8.1125757155917029</v>
      </c>
      <c r="Q31" s="17">
        <f>(Assumptions!$M$23*SUM('Income Statement'!O7,'Income Statement'!O10))*-1</f>
        <v>9.2869181429161376</v>
      </c>
      <c r="R31" s="17">
        <f>(Assumptions!$M$23*SUM('Income Statement'!P7,'Income Statement'!P10))*-1</f>
        <v>10.631253453507442</v>
      </c>
      <c r="S31" s="127">
        <f>(Assumptions!$M$23*SUM('Income Statement'!Q7,'Income Statement'!Q10))*-1</f>
        <v>12.170189104006033</v>
      </c>
    </row>
    <row r="32" spans="3:19" ht="14.45">
      <c r="C32" s="35" t="s">
        <v>94</v>
      </c>
      <c r="D32" s="197">
        <f>SUM(D28:D31)</f>
        <v>103.41050000000001</v>
      </c>
      <c r="E32" s="197">
        <f t="shared" ref="E32:P32" si="11">SUM(E28:E31)</f>
        <v>82.174999999999983</v>
      </c>
      <c r="F32" s="197">
        <f t="shared" si="11"/>
        <v>99.027100000000004</v>
      </c>
      <c r="G32" s="197">
        <f t="shared" si="11"/>
        <v>99.651499999999999</v>
      </c>
      <c r="H32" s="197">
        <f t="shared" si="11"/>
        <v>213.5</v>
      </c>
      <c r="I32" s="210"/>
      <c r="J32" s="197"/>
      <c r="K32" s="203">
        <f t="shared" si="11"/>
        <v>206.39999999999998</v>
      </c>
      <c r="L32" s="198">
        <f t="shared" si="11"/>
        <v>224.24669630777001</v>
      </c>
      <c r="M32" s="197">
        <f t="shared" si="11"/>
        <v>242.19593788371216</v>
      </c>
      <c r="N32" s="197">
        <f t="shared" si="11"/>
        <v>262.74343637088577</v>
      </c>
      <c r="O32" s="197">
        <f t="shared" si="11"/>
        <v>286.26530453974965</v>
      </c>
      <c r="P32" s="197">
        <f t="shared" si="11"/>
        <v>313.19209966757421</v>
      </c>
      <c r="Q32" s="197">
        <f t="shared" ref="Q32:S32" si="12">SUM(Q28:Q31)</f>
        <v>344.01670469684649</v>
      </c>
      <c r="R32" s="197">
        <f t="shared" si="12"/>
        <v>379.30335023710256</v>
      </c>
      <c r="S32" s="199">
        <f t="shared" si="12"/>
        <v>419.69794255389701</v>
      </c>
    </row>
    <row r="33" spans="3:19" ht="14.45">
      <c r="C33" s="33"/>
      <c r="D33" s="53"/>
      <c r="E33" s="53"/>
      <c r="F33" s="53"/>
      <c r="G33" s="53"/>
      <c r="H33" s="17"/>
      <c r="I33" s="169"/>
      <c r="J33" s="17"/>
      <c r="K33" s="127"/>
      <c r="L33" s="196"/>
      <c r="S33" s="32"/>
    </row>
    <row r="34" spans="3:19" ht="14.45">
      <c r="C34" s="100" t="s">
        <v>44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169"/>
      <c r="J34" s="53">
        <v>364.9444706000001</v>
      </c>
      <c r="K34" s="201">
        <f t="shared" ref="K34:K42" si="13">SUM(H34:J34)</f>
        <v>364.9444706000001</v>
      </c>
      <c r="L34" s="196">
        <f>K34-('Debt Repayment '!C15+'Debt Repayment '!C26)</f>
        <v>158.92200558940428</v>
      </c>
      <c r="M34" s="17">
        <f>L34-('Debt Repayment '!D15+'Debt Repayment '!D26)</f>
        <v>0</v>
      </c>
      <c r="N34" s="17">
        <f>M34-('Debt Repayment '!E15+'Debt Repayment '!E26)</f>
        <v>0</v>
      </c>
      <c r="O34" s="17">
        <f>N34-('Debt Repayment '!F15+'Debt Repayment '!F26)</f>
        <v>0</v>
      </c>
      <c r="P34" s="17">
        <f>O34-('Debt Repayment '!G15+'Debt Repayment '!G26)</f>
        <v>0</v>
      </c>
      <c r="Q34" s="17">
        <f>P34-('Debt Repayment '!H15+'Debt Repayment '!H26)</f>
        <v>0</v>
      </c>
      <c r="R34" s="17">
        <f>Q34-('Debt Repayment '!I15+'Debt Repayment '!I26)</f>
        <v>0</v>
      </c>
      <c r="S34" s="127">
        <f>R34-('Debt Repayment '!J15+'Debt Repayment '!J26)</f>
        <v>0</v>
      </c>
    </row>
    <row r="35" spans="3:19" ht="14.45">
      <c r="C35" s="100" t="s">
        <v>45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169"/>
      <c r="J35" s="53">
        <v>245.80083461000007</v>
      </c>
      <c r="K35" s="201">
        <f t="shared" si="13"/>
        <v>245.80083461000007</v>
      </c>
      <c r="L35" s="196">
        <f>K35-('Debt Repayment '!C16+'Debt Repayment '!C27)</f>
        <v>238.42680957170006</v>
      </c>
      <c r="M35" s="17">
        <f>L35-('Debt Repayment '!D16+'Debt Repayment '!D27)</f>
        <v>231.05278453340006</v>
      </c>
      <c r="N35" s="17">
        <f>M35-('Debt Repayment '!E16+'Debt Repayment '!E27)</f>
        <v>223.67875949510005</v>
      </c>
      <c r="O35" s="17">
        <f>N35-('Debt Repayment '!F16+'Debt Repayment '!F27)</f>
        <v>216.30473445680005</v>
      </c>
      <c r="P35" s="17">
        <f>O35-('Debt Repayment '!G16+'Debt Repayment '!G27)</f>
        <v>208.93070941850004</v>
      </c>
      <c r="Q35" s="17">
        <f>P35-('Debt Repayment '!H16+'Debt Repayment '!H27)</f>
        <v>201.55668438020004</v>
      </c>
      <c r="R35" s="17">
        <f>Q35-('Debt Repayment '!I16+'Debt Repayment '!I27)</f>
        <v>194.18265934190003</v>
      </c>
      <c r="S35" s="127">
        <f>R35-('Debt Repayment '!J16+'Debt Repayment '!J27)</f>
        <v>0</v>
      </c>
    </row>
    <row r="36" spans="3:19" ht="14.45">
      <c r="C36" s="100" t="s">
        <v>37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169"/>
      <c r="J36" s="53">
        <v>96.60294810000002</v>
      </c>
      <c r="K36" s="201">
        <f t="shared" si="13"/>
        <v>96.60294810000002</v>
      </c>
      <c r="L36" s="196">
        <f>K36-('Debt Repayment '!C17+'Debt Repayment '!C28)</f>
        <v>96.60294810000002</v>
      </c>
      <c r="M36" s="17">
        <f>L36-('Debt Repayment '!D17+'Debt Repayment '!D28)</f>
        <v>96.60294810000002</v>
      </c>
      <c r="N36" s="17">
        <f>M36-('Debt Repayment '!E17+'Debt Repayment '!E28)</f>
        <v>96.60294810000002</v>
      </c>
      <c r="O36" s="17">
        <f>N36-('Debt Repayment '!F17+'Debt Repayment '!F28)</f>
        <v>96.60294810000002</v>
      </c>
      <c r="P36" s="17">
        <f>O36-('Debt Repayment '!G17+'Debt Repayment '!G28)</f>
        <v>96.60294810000002</v>
      </c>
      <c r="Q36" s="17">
        <f>P36-('Debt Repayment '!H17+'Debt Repayment '!H28)</f>
        <v>96.60294810000002</v>
      </c>
      <c r="R36" s="17">
        <f>Q36-('Debt Repayment '!I17+'Debt Repayment '!I28)</f>
        <v>96.60294810000002</v>
      </c>
      <c r="S36" s="127">
        <f>R36-('Debt Repayment '!J17+'Debt Repayment '!J28)</f>
        <v>0</v>
      </c>
    </row>
    <row r="37" spans="3:19" ht="14.45">
      <c r="C37" s="100" t="s">
        <v>47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169"/>
      <c r="J37" s="53">
        <v>48.30147405000001</v>
      </c>
      <c r="K37" s="201">
        <f t="shared" si="13"/>
        <v>48.30147405000001</v>
      </c>
      <c r="L37" s="196">
        <f>K37-('Debt Repayment '!C18+'Debt Repayment '!C29)</f>
        <v>48.30147405000001</v>
      </c>
      <c r="M37" s="17">
        <f>L37-('Debt Repayment '!D18+'Debt Repayment '!D29)</f>
        <v>48.30147405000001</v>
      </c>
      <c r="N37" s="17">
        <f>M37-('Debt Repayment '!E18+'Debt Repayment '!E29)</f>
        <v>48.30147405000001</v>
      </c>
      <c r="O37" s="17">
        <f>N37-('Debt Repayment '!F18+'Debt Repayment '!F29)</f>
        <v>48.30147405000001</v>
      </c>
      <c r="P37" s="17">
        <f>O37-('Debt Repayment '!G18+'Debt Repayment '!G29)</f>
        <v>48.30147405000001</v>
      </c>
      <c r="Q37" s="17">
        <f>P37-('Debt Repayment '!H18+'Debt Repayment '!H29)</f>
        <v>48.30147405000001</v>
      </c>
      <c r="R37" s="17">
        <f>Q37-('Debt Repayment '!I18+'Debt Repayment '!I29)</f>
        <v>0</v>
      </c>
      <c r="S37" s="127">
        <f>R37-('Debt Repayment '!J18+'Debt Repayment '!J29)</f>
        <v>0</v>
      </c>
    </row>
    <row r="38" spans="3:19" ht="14.45">
      <c r="C38" s="100" t="s">
        <v>51</v>
      </c>
      <c r="D38" s="53">
        <v>0</v>
      </c>
      <c r="E38" s="53">
        <v>0</v>
      </c>
      <c r="F38" s="53">
        <v>0</v>
      </c>
      <c r="G38" s="53">
        <v>0</v>
      </c>
      <c r="H38" s="53">
        <v>0</v>
      </c>
      <c r="I38" s="169"/>
      <c r="J38" s="53">
        <v>28.229528167000005</v>
      </c>
      <c r="K38" s="201">
        <f t="shared" si="13"/>
        <v>28.229528167000005</v>
      </c>
      <c r="L38" s="196">
        <f>K38-('Debt Repayment '!C19+'Debt Repayment '!C30)</f>
        <v>28.229528167000005</v>
      </c>
      <c r="M38" s="17">
        <f>L38-('Debt Repayment '!D19+'Debt Repayment '!D30)</f>
        <v>28.229528167000005</v>
      </c>
      <c r="N38" s="17">
        <f>M38-('Debt Repayment '!E19+'Debt Repayment '!E30)</f>
        <v>28.229528167000005</v>
      </c>
      <c r="O38" s="17">
        <f>N38-('Debt Repayment '!F19+'Debt Repayment '!F30)</f>
        <v>28.229528167000005</v>
      </c>
      <c r="P38" s="17">
        <f>O38-('Debt Repayment '!G19+'Debt Repayment '!G30)</f>
        <v>28.229528167000005</v>
      </c>
      <c r="Q38" s="17">
        <f>P38-('Debt Repayment '!H19+'Debt Repayment '!H30)</f>
        <v>0</v>
      </c>
      <c r="R38" s="17">
        <f>Q38-('Debt Repayment '!I19+'Debt Repayment '!I30)</f>
        <v>0</v>
      </c>
      <c r="S38" s="127">
        <f>R38-('Debt Repayment '!J19+'Debt Repayment '!J30)</f>
        <v>0</v>
      </c>
    </row>
    <row r="39" spans="3:19" ht="14.45">
      <c r="C39" s="100" t="s">
        <v>52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169"/>
      <c r="J39" s="53">
        <v>20.608628928000002</v>
      </c>
      <c r="K39" s="201">
        <f t="shared" si="13"/>
        <v>20.608628928000002</v>
      </c>
      <c r="L39" s="196">
        <f>K39-('Debt Repayment '!C20+'Debt Repayment '!C31)</f>
        <v>17.620377733440002</v>
      </c>
      <c r="M39" s="17">
        <f>L39-('Debt Repayment '!D20+'Debt Repayment '!D31)</f>
        <v>2.8682171646928367</v>
      </c>
      <c r="N39" s="17">
        <f>M39-('Debt Repayment '!E20+'Debt Repayment '!E31)</f>
        <v>0</v>
      </c>
      <c r="O39" s="17">
        <f>N39-('Debt Repayment '!F20+'Debt Repayment '!F31)</f>
        <v>0</v>
      </c>
      <c r="P39" s="17">
        <f>O39-('Debt Repayment '!G20+'Debt Repayment '!G31)</f>
        <v>0</v>
      </c>
      <c r="Q39" s="17">
        <f>P39-('Debt Repayment '!H20+'Debt Repayment '!H31)</f>
        <v>0</v>
      </c>
      <c r="R39" s="17">
        <f>Q39-('Debt Repayment '!I20+'Debt Repayment '!I31)</f>
        <v>0</v>
      </c>
      <c r="S39" s="127">
        <f>R39-('Debt Repayment '!J20+'Debt Repayment '!J31)</f>
        <v>0</v>
      </c>
    </row>
    <row r="40" spans="3:19" ht="14.45">
      <c r="C40" s="100" t="s">
        <v>95</v>
      </c>
      <c r="D40" s="53">
        <f>SUM(D34:D39)</f>
        <v>0</v>
      </c>
      <c r="E40" s="53">
        <f t="shared" ref="E40:H40" si="14">SUM(E34:E39)</f>
        <v>0</v>
      </c>
      <c r="F40" s="53">
        <f t="shared" si="14"/>
        <v>0</v>
      </c>
      <c r="G40" s="53">
        <f t="shared" si="14"/>
        <v>0</v>
      </c>
      <c r="H40" s="53">
        <f t="shared" si="14"/>
        <v>0</v>
      </c>
      <c r="I40" s="169"/>
      <c r="J40" s="53"/>
      <c r="K40" s="202">
        <f t="shared" ref="K40:S40" si="15">SUM(K34:K39)</f>
        <v>804.48788445500031</v>
      </c>
      <c r="L40" s="53">
        <f t="shared" si="15"/>
        <v>588.10314321154442</v>
      </c>
      <c r="M40" s="53">
        <f t="shared" si="15"/>
        <v>407.05495201509297</v>
      </c>
      <c r="N40" s="53">
        <f t="shared" si="15"/>
        <v>396.81270981210014</v>
      </c>
      <c r="O40" s="53">
        <f t="shared" si="15"/>
        <v>389.43868477380011</v>
      </c>
      <c r="P40" s="53">
        <f t="shared" si="15"/>
        <v>382.06465973550007</v>
      </c>
      <c r="Q40" s="53">
        <f t="shared" si="15"/>
        <v>346.46110653020008</v>
      </c>
      <c r="R40" s="53">
        <f t="shared" si="15"/>
        <v>290.78560744190008</v>
      </c>
      <c r="S40" s="202">
        <f t="shared" si="15"/>
        <v>0</v>
      </c>
    </row>
    <row r="41" spans="3:19" ht="14.45">
      <c r="C41" s="33" t="s">
        <v>53</v>
      </c>
      <c r="D41" s="21">
        <v>14.604099999999999</v>
      </c>
      <c r="E41" s="21">
        <v>16.699300000000001</v>
      </c>
      <c r="F41" s="21">
        <v>13.6225</v>
      </c>
      <c r="G41" s="21">
        <v>13.011600000000001</v>
      </c>
      <c r="H41" s="21">
        <v>13.34</v>
      </c>
      <c r="I41" s="209"/>
      <c r="J41" s="21"/>
      <c r="K41" s="201">
        <f t="shared" si="13"/>
        <v>13.34</v>
      </c>
      <c r="L41" s="196">
        <f>H41*(1+Assumptions!$M$25)</f>
        <v>13.6068</v>
      </c>
      <c r="M41" s="17">
        <f>L41*(1+Assumptions!$M$25)</f>
        <v>13.878935999999999</v>
      </c>
      <c r="N41" s="17">
        <f>M41*(1+Assumptions!$M$25)</f>
        <v>14.156514720000001</v>
      </c>
      <c r="O41" s="17">
        <f>N41*(1+Assumptions!$M$25)</f>
        <v>14.439645014400002</v>
      </c>
      <c r="P41" s="17">
        <f>O41*(1+Assumptions!$M$25)</f>
        <v>14.728437914688001</v>
      </c>
      <c r="Q41" s="17">
        <f>P41*(1+Assumptions!$M$25)</f>
        <v>15.023006672981762</v>
      </c>
      <c r="R41" s="17">
        <f>Q41*(1+Assumptions!$M$25)</f>
        <v>15.323466806441397</v>
      </c>
      <c r="S41" s="127">
        <f>R41*(1+Assumptions!$M$25)</f>
        <v>15.629936142570225</v>
      </c>
    </row>
    <row r="42" spans="3:19" ht="14.45">
      <c r="C42" s="33" t="s">
        <v>55</v>
      </c>
      <c r="D42" s="21">
        <v>0.23440000000000003</v>
      </c>
      <c r="E42" s="21">
        <v>0.22460000000000002</v>
      </c>
      <c r="F42" s="21">
        <v>0.21489999999999998</v>
      </c>
      <c r="G42" s="21">
        <v>0.2051</v>
      </c>
      <c r="H42" s="17">
        <v>0.2</v>
      </c>
      <c r="I42" s="169"/>
      <c r="J42" s="17"/>
      <c r="K42" s="201">
        <f t="shared" si="13"/>
        <v>0.2</v>
      </c>
      <c r="L42" s="196">
        <f>H42*(1-Assumptions!$M$26)</f>
        <v>0.19600000000000001</v>
      </c>
      <c r="M42" s="17">
        <f>L42*(1-Assumptions!$M$26)</f>
        <v>0.19208</v>
      </c>
      <c r="N42" s="17">
        <f>M42*(1-Assumptions!$M$26)</f>
        <v>0.1882384</v>
      </c>
      <c r="O42" s="17">
        <f>N42*(1-Assumptions!$M$26)</f>
        <v>0.184473632</v>
      </c>
      <c r="P42" s="17">
        <f>O42*(1-Assumptions!$M$26)</f>
        <v>0.18078415936</v>
      </c>
      <c r="Q42" s="17">
        <f>P42*(1-Assumptions!$M$26)</f>
        <v>0.17716847617279999</v>
      </c>
      <c r="R42" s="17">
        <f>Q42*(1-Assumptions!$M$26)</f>
        <v>0.173625106649344</v>
      </c>
      <c r="S42" s="127">
        <f>R42*(1-Assumptions!$M$26)</f>
        <v>0.17015260451635711</v>
      </c>
    </row>
    <row r="43" spans="3:19" ht="14.45">
      <c r="C43" s="35" t="s">
        <v>96</v>
      </c>
      <c r="D43" s="198">
        <f t="shared" ref="D43:H43" si="16">SUM(D40:D42)</f>
        <v>14.8385</v>
      </c>
      <c r="E43" s="198">
        <f t="shared" si="16"/>
        <v>16.9239</v>
      </c>
      <c r="F43" s="198">
        <f t="shared" si="16"/>
        <v>13.837400000000001</v>
      </c>
      <c r="G43" s="198">
        <f t="shared" si="16"/>
        <v>13.216700000000001</v>
      </c>
      <c r="H43" s="198">
        <f t="shared" si="16"/>
        <v>13.54</v>
      </c>
      <c r="I43" s="210"/>
      <c r="J43" s="197"/>
      <c r="K43" s="203">
        <f>SUM(K40:K42)</f>
        <v>818.02788445500039</v>
      </c>
      <c r="L43" s="198">
        <f t="shared" ref="L43:S43" si="17">SUM(L40:L42)</f>
        <v>601.90594321154447</v>
      </c>
      <c r="M43" s="198">
        <f t="shared" si="17"/>
        <v>421.12596801509295</v>
      </c>
      <c r="N43" s="198">
        <f t="shared" si="17"/>
        <v>411.15746293210015</v>
      </c>
      <c r="O43" s="198">
        <f t="shared" si="17"/>
        <v>404.06280342020011</v>
      </c>
      <c r="P43" s="198">
        <f t="shared" si="17"/>
        <v>396.97388180954806</v>
      </c>
      <c r="Q43" s="198">
        <f t="shared" si="17"/>
        <v>361.66128167935466</v>
      </c>
      <c r="R43" s="198">
        <f t="shared" si="17"/>
        <v>306.28269935499083</v>
      </c>
      <c r="S43" s="203">
        <f t="shared" si="17"/>
        <v>15.800088747086582</v>
      </c>
    </row>
    <row r="44" spans="3:19" ht="14.45">
      <c r="C44" s="33"/>
      <c r="D44" s="53"/>
      <c r="E44" s="53"/>
      <c r="F44" s="53"/>
      <c r="G44" s="53"/>
      <c r="H44" s="17"/>
      <c r="I44" s="169"/>
      <c r="J44" s="17"/>
      <c r="K44" s="127"/>
      <c r="L44" s="196"/>
      <c r="S44" s="32"/>
    </row>
    <row r="45" spans="3:19" ht="14.45">
      <c r="C45" s="35" t="s">
        <v>97</v>
      </c>
      <c r="D45" s="197">
        <f>SUM(D32,D43)</f>
        <v>118.24900000000001</v>
      </c>
      <c r="E45" s="197">
        <f>SUM(E32,E43)</f>
        <v>99.098899999999986</v>
      </c>
      <c r="F45" s="197">
        <f>SUM(F32,F43)</f>
        <v>112.86450000000001</v>
      </c>
      <c r="G45" s="197">
        <f>SUM(G32,G43)</f>
        <v>112.8682</v>
      </c>
      <c r="H45" s="197">
        <f>SUM(H32,H43)</f>
        <v>227.04</v>
      </c>
      <c r="I45" s="210"/>
      <c r="J45" s="197"/>
      <c r="K45" s="203">
        <f t="shared" ref="K45:P45" si="18">SUM(K32,K43)</f>
        <v>1024.4278844550004</v>
      </c>
      <c r="L45" s="198">
        <f t="shared" si="18"/>
        <v>826.15263951931445</v>
      </c>
      <c r="M45" s="197">
        <f t="shared" si="18"/>
        <v>663.32190589880508</v>
      </c>
      <c r="N45" s="197">
        <f t="shared" si="18"/>
        <v>673.90089930298586</v>
      </c>
      <c r="O45" s="197">
        <f t="shared" si="18"/>
        <v>690.32810795994976</v>
      </c>
      <c r="P45" s="197">
        <f t="shared" si="18"/>
        <v>710.16598147712227</v>
      </c>
      <c r="Q45" s="197">
        <f t="shared" ref="Q45:S45" si="19">SUM(Q32,Q43)</f>
        <v>705.67798637620115</v>
      </c>
      <c r="R45" s="197">
        <f t="shared" si="19"/>
        <v>685.58604959209333</v>
      </c>
      <c r="S45" s="199">
        <f t="shared" si="19"/>
        <v>435.4980313009836</v>
      </c>
    </row>
    <row r="46" spans="3:19" ht="14.45">
      <c r="C46" s="33"/>
      <c r="D46" s="53"/>
      <c r="E46" s="53"/>
      <c r="F46" s="53"/>
      <c r="G46" s="53"/>
      <c r="H46" s="17"/>
      <c r="I46" s="169"/>
      <c r="J46" s="17"/>
      <c r="K46" s="127"/>
      <c r="L46" s="196"/>
      <c r="S46" s="32"/>
    </row>
    <row r="47" spans="3:19" ht="14.45">
      <c r="C47" s="33" t="s">
        <v>98</v>
      </c>
      <c r="D47" s="21">
        <v>14.303699999999999</v>
      </c>
      <c r="E47" s="21">
        <v>14.303699999999999</v>
      </c>
      <c r="F47" s="21">
        <v>14.303699999999999</v>
      </c>
      <c r="G47" s="21">
        <v>14.303699999999999</v>
      </c>
      <c r="H47" s="21">
        <v>28.61</v>
      </c>
      <c r="I47" s="209"/>
      <c r="J47" s="21"/>
      <c r="K47" s="201">
        <f t="shared" ref="K47:K48" si="20">SUM(H47:J47)</f>
        <v>28.61</v>
      </c>
      <c r="L47" s="171">
        <v>28.61</v>
      </c>
      <c r="M47" s="21">
        <v>28.61</v>
      </c>
      <c r="N47" s="21">
        <v>28.61</v>
      </c>
      <c r="O47" s="21">
        <v>28.61</v>
      </c>
      <c r="P47" s="21">
        <v>28.61</v>
      </c>
      <c r="Q47" s="21">
        <v>28.61</v>
      </c>
      <c r="R47" s="21">
        <v>28.61</v>
      </c>
      <c r="S47" s="201">
        <v>28.61</v>
      </c>
    </row>
    <row r="48" spans="3:19" ht="14.45">
      <c r="C48" s="33" t="s">
        <v>99</v>
      </c>
      <c r="D48" s="21">
        <v>600.90170000000001</v>
      </c>
      <c r="E48" s="21">
        <v>671.13479999999993</v>
      </c>
      <c r="F48" s="21">
        <v>716.40719999999999</v>
      </c>
      <c r="G48" s="21">
        <v>727.93039999999996</v>
      </c>
      <c r="H48" s="21">
        <v>821.99</v>
      </c>
      <c r="I48" s="209">
        <f>-H48</f>
        <v>-821.99</v>
      </c>
      <c r="J48" s="196">
        <f>(SUM(Assumptions!$C$27:$C$28)-'Balance sheet '!H47)</f>
        <v>259.40685961274471</v>
      </c>
      <c r="K48" s="201">
        <f t="shared" si="20"/>
        <v>259.40685961274471</v>
      </c>
      <c r="L48" s="196">
        <f>L25-(L45+L47)</f>
        <v>489.07818919871784</v>
      </c>
      <c r="M48" s="196">
        <f t="shared" ref="M48:S48" si="21">M25-(M45+M47)</f>
        <v>781.2054957232715</v>
      </c>
      <c r="N48" s="196">
        <f t="shared" si="21"/>
        <v>1116.6287781518563</v>
      </c>
      <c r="O48" s="196">
        <f t="shared" si="21"/>
        <v>1488.0838306154778</v>
      </c>
      <c r="P48" s="196">
        <f t="shared" si="21"/>
        <v>1900.9809234414809</v>
      </c>
      <c r="Q48" s="196">
        <f t="shared" si="21"/>
        <v>2359.7775910271566</v>
      </c>
      <c r="R48" s="196">
        <f t="shared" si="21"/>
        <v>2876.8421102069824</v>
      </c>
      <c r="S48" s="126">
        <f t="shared" si="21"/>
        <v>3456.5533334091124</v>
      </c>
    </row>
    <row r="49" spans="3:19" ht="14.45">
      <c r="C49" s="35" t="s">
        <v>100</v>
      </c>
      <c r="D49" s="197">
        <f>SUM(D47:D48)</f>
        <v>615.20540000000005</v>
      </c>
      <c r="E49" s="197">
        <f t="shared" ref="E49:P49" si="22">SUM(E47:E48)</f>
        <v>685.43849999999998</v>
      </c>
      <c r="F49" s="197">
        <f t="shared" si="22"/>
        <v>730.71090000000004</v>
      </c>
      <c r="G49" s="197">
        <f t="shared" si="22"/>
        <v>742.23410000000001</v>
      </c>
      <c r="H49" s="197">
        <f t="shared" si="22"/>
        <v>850.6</v>
      </c>
      <c r="I49" s="210"/>
      <c r="J49" s="197"/>
      <c r="K49" s="203">
        <f t="shared" si="22"/>
        <v>288.01685961274472</v>
      </c>
      <c r="L49" s="198">
        <f t="shared" si="22"/>
        <v>517.68818919871785</v>
      </c>
      <c r="M49" s="197">
        <f t="shared" si="22"/>
        <v>809.81549572327151</v>
      </c>
      <c r="N49" s="197">
        <f t="shared" si="22"/>
        <v>1145.2387781518562</v>
      </c>
      <c r="O49" s="197">
        <f t="shared" si="22"/>
        <v>1516.6938306154777</v>
      </c>
      <c r="P49" s="197">
        <f t="shared" si="22"/>
        <v>1929.5909234414808</v>
      </c>
      <c r="Q49" s="197">
        <f t="shared" ref="Q49:S49" si="23">SUM(Q47:Q48)</f>
        <v>2388.3875910271568</v>
      </c>
      <c r="R49" s="197">
        <f t="shared" si="23"/>
        <v>2905.4521102069825</v>
      </c>
      <c r="S49" s="199">
        <f t="shared" si="23"/>
        <v>3485.1633334091125</v>
      </c>
    </row>
    <row r="50" spans="3:19" ht="14.45">
      <c r="C50" s="33"/>
      <c r="D50" s="53"/>
      <c r="E50" s="53"/>
      <c r="F50" s="53"/>
      <c r="G50" s="53"/>
      <c r="H50" s="17"/>
      <c r="I50" s="169"/>
      <c r="J50" s="17"/>
      <c r="K50" s="127"/>
      <c r="L50" s="196"/>
      <c r="S50" s="32"/>
    </row>
    <row r="51" spans="3:19" ht="14.45">
      <c r="C51" s="187" t="s">
        <v>101</v>
      </c>
      <c r="D51" s="204">
        <f>SUM(D45,D49)</f>
        <v>733.45440000000008</v>
      </c>
      <c r="E51" s="204">
        <f t="shared" ref="E51:P51" si="24">SUM(E45,E49)</f>
        <v>784.53739999999993</v>
      </c>
      <c r="F51" s="204">
        <f t="shared" si="24"/>
        <v>843.57540000000006</v>
      </c>
      <c r="G51" s="204">
        <f t="shared" si="24"/>
        <v>855.10230000000001</v>
      </c>
      <c r="H51" s="204">
        <f t="shared" si="24"/>
        <v>1077.6400000000001</v>
      </c>
      <c r="I51" s="210"/>
      <c r="J51" s="197"/>
      <c r="K51" s="213">
        <f t="shared" si="24"/>
        <v>1312.444744067745</v>
      </c>
      <c r="L51" s="205">
        <f t="shared" si="24"/>
        <v>1343.8408287180323</v>
      </c>
      <c r="M51" s="204">
        <f t="shared" si="24"/>
        <v>1473.1374016220766</v>
      </c>
      <c r="N51" s="204">
        <f t="shared" si="24"/>
        <v>1819.1396774548421</v>
      </c>
      <c r="O51" s="204">
        <f t="shared" si="24"/>
        <v>2207.0219385754276</v>
      </c>
      <c r="P51" s="204">
        <f t="shared" si="24"/>
        <v>2639.7569049186031</v>
      </c>
      <c r="Q51" s="204">
        <f t="shared" ref="Q51:S51" si="25">SUM(Q45,Q49)</f>
        <v>3094.065577403358</v>
      </c>
      <c r="R51" s="204">
        <f t="shared" si="25"/>
        <v>3591.0381597990759</v>
      </c>
      <c r="S51" s="206">
        <f t="shared" si="25"/>
        <v>3920.6613647100962</v>
      </c>
    </row>
    <row r="52" spans="3:19" ht="14.45">
      <c r="D52" s="18"/>
      <c r="E52" s="18"/>
      <c r="F52" s="18"/>
      <c r="G52" s="18"/>
      <c r="H52" s="18"/>
      <c r="I52" s="211"/>
      <c r="J52" s="211"/>
      <c r="K52" s="18"/>
      <c r="L52" s="18"/>
    </row>
    <row r="53" spans="3:19" ht="14.45" outlineLevel="1">
      <c r="C53" s="8" t="s">
        <v>102</v>
      </c>
      <c r="D53" s="18"/>
      <c r="E53" s="18"/>
      <c r="F53" s="18"/>
      <c r="G53" s="18"/>
      <c r="H53" s="18"/>
      <c r="I53" s="18"/>
      <c r="J53" s="18"/>
      <c r="K53" s="18"/>
      <c r="L53" s="18"/>
    </row>
    <row r="54" spans="3:19" ht="14.45" outlineLevel="1">
      <c r="C54" t="s">
        <v>103</v>
      </c>
      <c r="D54" s="22">
        <v>7.1518649999999999</v>
      </c>
      <c r="E54" s="22">
        <v>7.1518649999999999</v>
      </c>
      <c r="F54" s="22">
        <v>7.1518649999999999</v>
      </c>
      <c r="G54" s="22">
        <v>7.1518649999999999</v>
      </c>
      <c r="H54" s="17">
        <v>14.305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3:19" ht="14.45" outlineLevel="1">
      <c r="C55" t="s">
        <v>104</v>
      </c>
      <c r="D55" s="22">
        <v>7.1518649999999999</v>
      </c>
      <c r="E55" s="22">
        <v>7.1518649999999999</v>
      </c>
      <c r="F55" s="22">
        <v>7.1518649999999999</v>
      </c>
      <c r="G55" s="22">
        <v>7.1518649999999999</v>
      </c>
      <c r="H55" s="17">
        <v>14.305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3:19" ht="14.45" outlineLevel="1">
      <c r="C56" t="s">
        <v>105</v>
      </c>
      <c r="D56" s="19">
        <v>104.89</v>
      </c>
      <c r="E56" s="19">
        <v>179.37</v>
      </c>
      <c r="F56" s="19">
        <v>197.68</v>
      </c>
      <c r="G56" s="19">
        <v>468.22</v>
      </c>
      <c r="H56" s="20">
        <v>500</v>
      </c>
      <c r="I56" s="20"/>
      <c r="J56" s="20"/>
      <c r="K56" s="20"/>
      <c r="L56" s="18"/>
    </row>
    <row r="57" spans="3:19" ht="14.45" outlineLevel="1">
      <c r="C57" t="s">
        <v>106</v>
      </c>
      <c r="D57" s="20">
        <v>2</v>
      </c>
      <c r="E57" s="20">
        <v>2</v>
      </c>
      <c r="F57" s="20">
        <v>2</v>
      </c>
      <c r="G57" s="20">
        <v>2</v>
      </c>
      <c r="H57" s="20">
        <v>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3:19" ht="14.45" outlineLevel="1">
      <c r="C58" t="s">
        <v>107</v>
      </c>
      <c r="D58" s="20">
        <f>D49/D54</f>
        <v>86.020275830150609</v>
      </c>
      <c r="E58" s="20">
        <f>E49/E54</f>
        <v>95.84052551327521</v>
      </c>
      <c r="F58" s="20">
        <f>F49/F54</f>
        <v>102.17067855727143</v>
      </c>
      <c r="G58" s="20">
        <f>G49/G54</f>
        <v>103.78189465265355</v>
      </c>
      <c r="H58" s="20">
        <f>H49/H54</f>
        <v>59.46172666899686</v>
      </c>
      <c r="I58" s="20"/>
      <c r="J58" s="20"/>
      <c r="K58" s="20"/>
      <c r="L58" s="18"/>
    </row>
    <row r="59" spans="3:19" ht="14.45" outlineLevel="1">
      <c r="C59" t="s">
        <v>108</v>
      </c>
      <c r="D59" s="20">
        <v>0</v>
      </c>
      <c r="E59" s="20">
        <f>14.3038/E54</f>
        <v>2.0000097876567859</v>
      </c>
      <c r="F59" s="20">
        <f>200.2522/F54</f>
        <v>27.999997203526632</v>
      </c>
      <c r="G59" s="20">
        <f>243.1632/G54</f>
        <v>33.999970637029641</v>
      </c>
      <c r="H59" s="20">
        <v>11</v>
      </c>
      <c r="I59" s="20"/>
      <c r="J59" s="20"/>
      <c r="K59" s="20"/>
      <c r="L59" s="18"/>
    </row>
    <row r="60" spans="3:19" ht="14.45" outlineLevel="1">
      <c r="C60" t="s">
        <v>109</v>
      </c>
      <c r="D60" s="17">
        <f>D59/'Income Statement'!D37</f>
        <v>0</v>
      </c>
      <c r="E60" s="17">
        <f>E59/'Income Statement'!E37</f>
        <v>0.1669992142614467</v>
      </c>
      <c r="F60" s="17">
        <f>F59/'Income Statement'!F37</f>
        <v>0.81553311862954492</v>
      </c>
      <c r="G60" s="17">
        <f>G59/'Income Statement'!G37</f>
        <v>0.9527192457647139</v>
      </c>
      <c r="H60" s="17">
        <f>H59/'Income Statement'!H37</f>
        <v>0.59098249830992267</v>
      </c>
      <c r="I60" s="17"/>
      <c r="J60" s="17"/>
      <c r="K60" s="17"/>
      <c r="L60" s="18"/>
    </row>
    <row r="61" spans="3:19" ht="14.45">
      <c r="C61" s="8"/>
    </row>
    <row r="62" spans="3:19" ht="14.45">
      <c r="D62" s="5"/>
      <c r="E62" s="5"/>
      <c r="F62" s="5"/>
      <c r="G62" s="5"/>
      <c r="H62" s="5"/>
      <c r="K62" s="5"/>
    </row>
    <row r="63" spans="3:19" ht="14.45">
      <c r="D63" s="5"/>
      <c r="E63" s="25"/>
      <c r="F63" s="25"/>
      <c r="G63" s="25"/>
      <c r="H63" s="25"/>
      <c r="K63" s="16"/>
      <c r="M63" s="16"/>
    </row>
    <row r="64" spans="3:19" ht="15" customHeight="1">
      <c r="E64" s="155"/>
      <c r="F64" s="155"/>
      <c r="G64" s="155"/>
      <c r="H64" s="155"/>
      <c r="K64" s="155"/>
    </row>
    <row r="69" spans="3:3" ht="14.45">
      <c r="C69" s="8"/>
    </row>
    <row r="77" spans="3:3" ht="14.45">
      <c r="C77" s="8"/>
    </row>
  </sheetData>
  <mergeCells count="2">
    <mergeCell ref="D3:H3"/>
    <mergeCell ref="L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A3D2-FCA0-447C-8F49-83A5ADAC8556}">
  <dimension ref="C2:R44"/>
  <sheetViews>
    <sheetView showGridLines="0" topLeftCell="B1" zoomScale="78" workbookViewId="0">
      <selection activeCell="C4" sqref="C4"/>
    </sheetView>
  </sheetViews>
  <sheetFormatPr defaultRowHeight="15" customHeight="1" outlineLevelRow="1"/>
  <cols>
    <col min="1" max="1" width="4.7109375" customWidth="1"/>
    <col min="2" max="2" width="6.28515625" customWidth="1"/>
    <col min="3" max="3" width="25.42578125" bestFit="1" customWidth="1"/>
    <col min="4" max="7" width="12.7109375" bestFit="1" customWidth="1"/>
    <col min="8" max="8" width="12.140625" bestFit="1" customWidth="1"/>
    <col min="9" max="9" width="1.28515625" customWidth="1"/>
    <col min="10" max="11" width="10.140625" customWidth="1"/>
    <col min="12" max="17" width="10.140625" bestFit="1" customWidth="1"/>
  </cols>
  <sheetData>
    <row r="2" spans="3:17" ht="14.45"/>
    <row r="3" spans="3:17" ht="14.45">
      <c r="C3" s="14" t="s">
        <v>74</v>
      </c>
      <c r="D3" s="320" t="s">
        <v>75</v>
      </c>
      <c r="E3" s="321"/>
      <c r="F3" s="321"/>
      <c r="G3" s="321"/>
      <c r="H3" s="321"/>
      <c r="I3" s="299"/>
      <c r="J3" s="322" t="s">
        <v>77</v>
      </c>
      <c r="K3" s="323"/>
      <c r="L3" s="323"/>
      <c r="M3" s="323"/>
      <c r="N3" s="323"/>
      <c r="O3" s="323"/>
      <c r="P3" s="323"/>
      <c r="Q3" s="324"/>
    </row>
    <row r="4" spans="3:17" ht="15.6">
      <c r="C4" s="303" t="s">
        <v>110</v>
      </c>
      <c r="D4" s="49">
        <v>2021</v>
      </c>
      <c r="E4" s="49">
        <v>2022</v>
      </c>
      <c r="F4" s="49">
        <v>2023</v>
      </c>
      <c r="G4" s="49">
        <v>2024</v>
      </c>
      <c r="H4" s="49">
        <v>2025</v>
      </c>
      <c r="I4" s="49"/>
      <c r="J4" s="59">
        <v>2026</v>
      </c>
      <c r="K4" s="51">
        <v>2027</v>
      </c>
      <c r="L4" s="51">
        <v>2028</v>
      </c>
      <c r="M4" s="51">
        <v>2029</v>
      </c>
      <c r="N4" s="51">
        <v>2030</v>
      </c>
      <c r="O4" s="51">
        <v>2031</v>
      </c>
      <c r="P4" s="51">
        <v>2032</v>
      </c>
      <c r="Q4" s="60">
        <v>2033</v>
      </c>
    </row>
    <row r="5" spans="3:17" ht="14.45">
      <c r="C5" s="33"/>
      <c r="J5" s="33"/>
      <c r="Q5" s="32"/>
    </row>
    <row r="6" spans="3:17" ht="14.45">
      <c r="C6" s="37" t="s">
        <v>111</v>
      </c>
      <c r="D6" s="53">
        <v>653.61889999999994</v>
      </c>
      <c r="E6" s="53">
        <v>795.37279999999998</v>
      </c>
      <c r="F6" s="53">
        <v>1003.7939</v>
      </c>
      <c r="G6" s="53">
        <v>1011.3623</v>
      </c>
      <c r="H6" s="17">
        <v>1104.98</v>
      </c>
      <c r="I6" s="17"/>
      <c r="J6" s="169">
        <f>H6*(1+Assumptions!$M$5)</f>
        <v>1264.9322692714009</v>
      </c>
      <c r="K6" s="17">
        <f>J6*(1+Assumptions!$M$5)</f>
        <v>1448.0385580228563</v>
      </c>
      <c r="L6" s="17">
        <f>K6*(1+Assumptions!$M$5)</f>
        <v>1657.6505449803062</v>
      </c>
      <c r="M6" s="17">
        <f>L6*(1+Assumptions!$M$5)</f>
        <v>1897.605083821348</v>
      </c>
      <c r="N6" s="17">
        <f>M6*(1+Assumptions!$M$5)</f>
        <v>2172.2944350658695</v>
      </c>
      <c r="O6" s="17">
        <f>N6*(1+Assumptions!$M$5)</f>
        <v>2486.7466644405386</v>
      </c>
      <c r="P6" s="17">
        <f>O6*(1+Assumptions!$M$5)</f>
        <v>2846.7176793732533</v>
      </c>
      <c r="Q6" s="127">
        <f>P6*(1+Assumptions!$M$5)</f>
        <v>3258.7965883044267</v>
      </c>
    </row>
    <row r="7" spans="3:17" ht="14.45">
      <c r="C7" s="37" t="s">
        <v>13</v>
      </c>
      <c r="D7" s="53">
        <v>-382.83179999999999</v>
      </c>
      <c r="E7" s="53">
        <v>-505.06900000000002</v>
      </c>
      <c r="F7" s="53">
        <v>-621.38300000000004</v>
      </c>
      <c r="G7" s="53">
        <v>-606.72029999999995</v>
      </c>
      <c r="H7" s="64">
        <v>-658.7</v>
      </c>
      <c r="I7" s="64"/>
      <c r="J7" s="169">
        <f>(J6*Assumptions!$M$6)*-1</f>
        <v>-768.01071516976037</v>
      </c>
      <c r="K7" s="17">
        <f>(K6*Assumptions!$M$6)*-1</f>
        <v>-879.18472439721666</v>
      </c>
      <c r="L7" s="17">
        <f>(L6*Assumptions!$M$6)*-1</f>
        <v>-1006.4518168116369</v>
      </c>
      <c r="M7" s="17">
        <f>(M6*Assumptions!$M$6)*-1</f>
        <v>-1152.1415596226793</v>
      </c>
      <c r="N7" s="17">
        <f>(N6*Assumptions!$M$6)*-1</f>
        <v>-1318.9207384164479</v>
      </c>
      <c r="O7" s="17">
        <f>(O6*Assumptions!$M$6)*-1</f>
        <v>-1509.8421714729943</v>
      </c>
      <c r="P7" s="17">
        <f>(P6*Assumptions!$M$6)*-1</f>
        <v>-1728.4005902396373</v>
      </c>
      <c r="Q7" s="127">
        <f>(Q6*Assumptions!$M$6)*-1</f>
        <v>-1978.5966088271759</v>
      </c>
    </row>
    <row r="8" spans="3:17" ht="14.45">
      <c r="C8" s="54" t="s">
        <v>112</v>
      </c>
      <c r="D8" s="55">
        <f>(SUM(D6:D7)/D6)</f>
        <v>0.41428896869414267</v>
      </c>
      <c r="E8" s="55">
        <f t="shared" ref="E8:Q8" si="0">(SUM(E6:E7)/E6)</f>
        <v>0.36499085711756796</v>
      </c>
      <c r="F8" s="55">
        <f t="shared" si="0"/>
        <v>0.38096555478171362</v>
      </c>
      <c r="G8" s="55">
        <f t="shared" si="0"/>
        <v>0.40009598934031854</v>
      </c>
      <c r="H8" s="55">
        <f t="shared" si="0"/>
        <v>0.40388061322376873</v>
      </c>
      <c r="I8" s="55"/>
      <c r="J8" s="61">
        <f t="shared" si="0"/>
        <v>0.39284439663150234</v>
      </c>
      <c r="K8" s="55">
        <f t="shared" si="0"/>
        <v>0.39284439663150228</v>
      </c>
      <c r="L8" s="55">
        <f t="shared" si="0"/>
        <v>0.39284439663150222</v>
      </c>
      <c r="M8" s="55">
        <f t="shared" si="0"/>
        <v>0.39284439663150222</v>
      </c>
      <c r="N8" s="55">
        <f t="shared" si="0"/>
        <v>0.39284439663150228</v>
      </c>
      <c r="O8" s="55">
        <f t="shared" si="0"/>
        <v>0.39284439663150228</v>
      </c>
      <c r="P8" s="55">
        <f t="shared" si="0"/>
        <v>0.39284439663150228</v>
      </c>
      <c r="Q8" s="56">
        <f t="shared" si="0"/>
        <v>0.39284439663150234</v>
      </c>
    </row>
    <row r="9" spans="3:17" ht="14.45">
      <c r="C9" s="54"/>
      <c r="D9" s="55"/>
      <c r="E9" s="55"/>
      <c r="F9" s="55"/>
      <c r="G9" s="55"/>
      <c r="H9" s="55"/>
      <c r="I9" s="55"/>
      <c r="J9" s="61"/>
      <c r="K9" s="55"/>
      <c r="L9" s="55"/>
      <c r="M9" s="55"/>
      <c r="N9" s="55"/>
      <c r="O9" s="18"/>
      <c r="P9" s="18"/>
      <c r="Q9" s="123"/>
    </row>
    <row r="10" spans="3:17" ht="14.45">
      <c r="C10" s="37" t="s">
        <v>16</v>
      </c>
      <c r="D10" s="53">
        <v>-173.93119999999999</v>
      </c>
      <c r="E10" s="53">
        <v>-208.99160000000001</v>
      </c>
      <c r="F10" s="53">
        <v>-233.55</v>
      </c>
      <c r="G10" s="53">
        <v>-248.37450000000001</v>
      </c>
      <c r="H10" s="53">
        <v>-276.43</v>
      </c>
      <c r="I10" s="53"/>
      <c r="J10" s="169">
        <f>(J6*Assumptions!$M$7)*-1</f>
        <v>-318.07557252253963</v>
      </c>
      <c r="K10" s="17">
        <f>(K6*Assumptions!$M$7)*-1</f>
        <v>-364.11885803429573</v>
      </c>
      <c r="L10" s="17">
        <f>(L6*Assumptions!$M$7)*-1</f>
        <v>-416.82717639942149</v>
      </c>
      <c r="M10" s="17">
        <f>(M6*Assumptions!$M$7)*-1</f>
        <v>-477.16532981312849</v>
      </c>
      <c r="N10" s="17">
        <f>(N6*Assumptions!$M$7)*-1</f>
        <v>-546.23778118894188</v>
      </c>
      <c r="O10" s="17">
        <f>(O6*Assumptions!$M$7)*-1</f>
        <v>-625.30887085838958</v>
      </c>
      <c r="P10" s="17">
        <f>(P6*Assumptions!$M$7)*-1</f>
        <v>-715.82595975532593</v>
      </c>
      <c r="Q10" s="127">
        <f>(Q6*Assumptions!$M$7)*-1</f>
        <v>-819.44592271053136</v>
      </c>
    </row>
    <row r="11" spans="3:17" ht="14.45">
      <c r="C11" s="38" t="s">
        <v>113</v>
      </c>
      <c r="D11" s="52">
        <f>SUM(D6:D7,D10)</f>
        <v>96.855899999999963</v>
      </c>
      <c r="E11" s="52">
        <f t="shared" ref="E11:Q11" si="1">SUM(E6:E7,E10)</f>
        <v>81.312199999999962</v>
      </c>
      <c r="F11" s="52">
        <f t="shared" si="1"/>
        <v>148.86089999999996</v>
      </c>
      <c r="G11" s="52">
        <f>SUM(G6:G7,G10)</f>
        <v>156.26750000000004</v>
      </c>
      <c r="H11" s="52">
        <f t="shared" si="1"/>
        <v>169.84999999999997</v>
      </c>
      <c r="I11" s="52"/>
      <c r="J11" s="62">
        <f t="shared" si="1"/>
        <v>178.84598157910085</v>
      </c>
      <c r="K11" s="52">
        <f t="shared" si="1"/>
        <v>204.73497559134387</v>
      </c>
      <c r="L11" s="52">
        <f t="shared" si="1"/>
        <v>234.37155176924779</v>
      </c>
      <c r="M11" s="52">
        <f t="shared" si="1"/>
        <v>268.29819438554017</v>
      </c>
      <c r="N11" s="52">
        <f t="shared" si="1"/>
        <v>307.13591546047974</v>
      </c>
      <c r="O11" s="52">
        <f t="shared" si="1"/>
        <v>351.59562210915465</v>
      </c>
      <c r="P11" s="52">
        <f t="shared" si="1"/>
        <v>402.49112937829011</v>
      </c>
      <c r="Q11" s="57">
        <f t="shared" si="1"/>
        <v>460.75405676671937</v>
      </c>
    </row>
    <row r="12" spans="3:17" ht="14.45">
      <c r="C12" s="54" t="s">
        <v>114</v>
      </c>
      <c r="D12" s="55">
        <f>D11/D6</f>
        <v>0.14818405648918653</v>
      </c>
      <c r="E12" s="55">
        <f t="shared" ref="E12:Q12" si="2">E11/E6</f>
        <v>0.1022315573275827</v>
      </c>
      <c r="F12" s="55">
        <f t="shared" si="2"/>
        <v>0.14829827118893626</v>
      </c>
      <c r="G12" s="55">
        <f t="shared" si="2"/>
        <v>0.15451188955728332</v>
      </c>
      <c r="H12" s="55">
        <f t="shared" si="2"/>
        <v>0.15371318937899325</v>
      </c>
      <c r="I12" s="55"/>
      <c r="J12" s="61">
        <f t="shared" si="2"/>
        <v>0.14138779278839639</v>
      </c>
      <c r="K12" s="55">
        <f t="shared" si="2"/>
        <v>0.14138779278839636</v>
      </c>
      <c r="L12" s="55">
        <f t="shared" si="2"/>
        <v>0.14138779278839633</v>
      </c>
      <c r="M12" s="55">
        <f t="shared" si="2"/>
        <v>0.1413877927883963</v>
      </c>
      <c r="N12" s="55">
        <f t="shared" si="2"/>
        <v>0.14138779278839639</v>
      </c>
      <c r="O12" s="55">
        <f t="shared" si="2"/>
        <v>0.14138779278839636</v>
      </c>
      <c r="P12" s="55">
        <f t="shared" si="2"/>
        <v>0.14138779278839636</v>
      </c>
      <c r="Q12" s="56">
        <f t="shared" si="2"/>
        <v>0.14138779278839639</v>
      </c>
    </row>
    <row r="13" spans="3:17" ht="14.45">
      <c r="C13" s="54"/>
      <c r="D13" s="58"/>
      <c r="E13" s="58"/>
      <c r="F13" s="58"/>
      <c r="G13" s="58"/>
      <c r="H13" s="58"/>
      <c r="I13" s="58"/>
      <c r="J13" s="63"/>
      <c r="K13" s="58"/>
      <c r="L13" s="58"/>
      <c r="M13" s="58"/>
      <c r="N13" s="58"/>
      <c r="O13" s="18"/>
      <c r="P13" s="18"/>
      <c r="Q13" s="123"/>
    </row>
    <row r="14" spans="3:17" ht="14.45">
      <c r="C14" s="37" t="s">
        <v>19</v>
      </c>
      <c r="D14" s="53">
        <v>8.0479000000000003</v>
      </c>
      <c r="E14" s="53">
        <v>29.046900000000001</v>
      </c>
      <c r="F14" s="53">
        <v>132.4366</v>
      </c>
      <c r="G14" s="53">
        <v>142.36090000000002</v>
      </c>
      <c r="H14" s="17">
        <v>144.04</v>
      </c>
      <c r="I14" s="17"/>
      <c r="J14" s="169">
        <f>H14*(1+Assumptions!$M$8)</f>
        <v>147.09634619636364</v>
      </c>
      <c r="K14" s="17">
        <f>J14*(1+Assumptions!$M$8)</f>
        <v>150.21754418439644</v>
      </c>
      <c r="L14" s="17">
        <f>K14*(1+Assumptions!$M$8)</f>
        <v>153.40497003690317</v>
      </c>
      <c r="M14" s="17">
        <f>L14*(1+Assumptions!$M$8)</f>
        <v>156.66002902520898</v>
      </c>
      <c r="N14" s="17">
        <f>M14*(1+Assumptions!$M$8)</f>
        <v>159.98415623871506</v>
      </c>
      <c r="O14" s="17">
        <f>N14*(1+Assumptions!$M$8)</f>
        <v>163.37881721760041</v>
      </c>
      <c r="P14" s="17">
        <f>O14*(1+Assumptions!$M$8)</f>
        <v>166.8455085989487</v>
      </c>
      <c r="Q14" s="127">
        <f>P14*(1+Assumptions!$M$8)</f>
        <v>170.38575877658516</v>
      </c>
    </row>
    <row r="15" spans="3:17" ht="14.45" outlineLevel="1">
      <c r="C15" s="100" t="s">
        <v>44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/>
      <c r="J15" s="169">
        <f>IF(Assumptions!$J$39=1,AVERAGE('Balance sheet '!K34,'Balance sheet '!L34)*Assumptions!$J$7,('Balance sheet '!$K34*Assumptions!$J$7))*-1</f>
        <v>-27.370835295000006</v>
      </c>
      <c r="K15" s="17">
        <f>IF(Assumptions!$J$39=1,AVERAGE('Balance sheet '!L34,'Balance sheet '!M34)*Assumptions!$J$7,('Balance sheet '!L34*Assumptions!$J$7))*-1</f>
        <v>-11.919150419205321</v>
      </c>
      <c r="L15" s="17">
        <f>IF(Assumptions!$J$39=1,AVERAGE('Balance sheet '!M34,'Balance sheet '!N34)*Assumptions!L7,('Balance sheet '!M34*Assumptions!$J$7))*-1</f>
        <v>0</v>
      </c>
      <c r="M15" s="17">
        <f>IF(Assumptions!$J$39=1,AVERAGE('Balance sheet '!N34,'Balance sheet '!O34)*Assumptions!M7,('Balance sheet '!N34*Assumptions!$J$7))*-1</f>
        <v>0</v>
      </c>
      <c r="N15" s="17">
        <f>IF(Assumptions!$J$39=1,AVERAGE('Balance sheet '!O34,'Balance sheet '!P34)*Assumptions!N7,('Balance sheet '!O34*Assumptions!$J$7))*-1</f>
        <v>0</v>
      </c>
      <c r="O15" s="17">
        <f>IF(Assumptions!$J$39=1,AVERAGE('Balance sheet '!P34,'Balance sheet '!Q34)*Assumptions!O7,('Balance sheet '!P34*Assumptions!$J$7))*-1</f>
        <v>0</v>
      </c>
      <c r="P15" s="17">
        <f>IF(Assumptions!$J$39=1,AVERAGE('Balance sheet '!Q34,'Balance sheet '!R34)*Assumptions!P7,('Balance sheet '!Q34*Assumptions!$J$7))*-1</f>
        <v>0</v>
      </c>
      <c r="Q15" s="127">
        <f>IF(Assumptions!$J$39=1,AVERAGE('Balance sheet '!R34,'Balance sheet '!S34)*Assumptions!Q7,('Balance sheet '!R34*Assumptions!$J$7))*-1</f>
        <v>0</v>
      </c>
    </row>
    <row r="16" spans="3:17" ht="14.45" outlineLevel="1">
      <c r="C16" s="100" t="s">
        <v>45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/>
      <c r="J16" s="169">
        <f>IF(Assumptions!$J$39=1, AVERAGE('Balance sheet '!K35,'Balance sheet '!L35)*Assumptions!$J$14,('Balance sheet '!K35*Assumptions!$J$14))*-1</f>
        <v>-20.893070941850006</v>
      </c>
      <c r="K16" s="17">
        <f>IF(Assumptions!$J$39=1, AVERAGE('Balance sheet '!L35,'Balance sheet '!M35)*Assumptions!$J$14,('Balance sheet '!L35*Assumptions!$J$14))*-1</f>
        <v>-20.266278813594507</v>
      </c>
      <c r="L16" s="17">
        <f>IF(Assumptions!$J$39=1, AVERAGE('Balance sheet '!M35,'Balance sheet '!N35)*Assumptions!$J$14,('Balance sheet '!M35*Assumptions!$J$14))*-1</f>
        <v>-19.639486685339005</v>
      </c>
      <c r="M16" s="17">
        <f>IF(Assumptions!$J$39=1, AVERAGE('Balance sheet '!N35,'Balance sheet '!O35)*Assumptions!$J$14,('Balance sheet '!N35*Assumptions!$J$14))*-1</f>
        <v>-19.012694557083506</v>
      </c>
      <c r="N16" s="17">
        <f>IF(Assumptions!$J$39=1, AVERAGE('Balance sheet '!O35,'Balance sheet '!P35)*Assumptions!$J$14,('Balance sheet '!O35*Assumptions!$J$14))*-1</f>
        <v>-18.385902428828004</v>
      </c>
      <c r="O16" s="17">
        <f>IF(Assumptions!$J$39=1, AVERAGE('Balance sheet '!P35,'Balance sheet '!Q35)*Assumptions!$J$14,('Balance sheet '!P35*Assumptions!$J$14))*-1</f>
        <v>-17.759110300572505</v>
      </c>
      <c r="P16" s="17">
        <f>IF(Assumptions!$J$39=1, AVERAGE('Balance sheet '!Q35,'Balance sheet '!R35)*Assumptions!$J$14,('Balance sheet '!Q35*Assumptions!$J$14))*-1</f>
        <v>-17.132318172317003</v>
      </c>
      <c r="Q16" s="127">
        <f>IF(Assumptions!$J$39=1, AVERAGE('Balance sheet '!R35,'Balance sheet '!S35)*Assumptions!$J$14,('Balance sheet '!R35*Assumptions!$J$14))*-1</f>
        <v>-16.505526044061504</v>
      </c>
    </row>
    <row r="17" spans="3:18" ht="14.45" outlineLevel="1">
      <c r="C17" s="100" t="s">
        <v>37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/>
      <c r="J17" s="169">
        <f>IF(Assumptions!$J$39=1, AVERAGE('Balance sheet '!K36,'Balance sheet '!L36)*Assumptions!$J$19,('Balance sheet '!K36*Assumptions!$J$19))*-1</f>
        <v>-9.6602948100000035</v>
      </c>
      <c r="K17" s="17">
        <f>IF(Assumptions!$J$39=1, AVERAGE('Balance sheet '!L36,'Balance sheet '!M36)*Assumptions!$J$19,('Balance sheet '!L36*Assumptions!$J$19))*-1</f>
        <v>-9.6602948100000035</v>
      </c>
      <c r="L17" s="17">
        <f>IF(Assumptions!$J$39=1, AVERAGE('Balance sheet '!M36,'Balance sheet '!N36)*Assumptions!$J$19,('Balance sheet '!M36*Assumptions!$J$19))*-1</f>
        <v>-9.6602948100000035</v>
      </c>
      <c r="M17" s="17">
        <f>IF(Assumptions!$J$39=1, AVERAGE('Balance sheet '!N36,'Balance sheet '!O36)*Assumptions!$J$19,('Balance sheet '!N36*Assumptions!$J$19))*-1</f>
        <v>-9.6602948100000035</v>
      </c>
      <c r="N17" s="17">
        <f>IF(Assumptions!$J$39=1, AVERAGE('Balance sheet '!O36,'Balance sheet '!P36)*Assumptions!$J$19,('Balance sheet '!O36*Assumptions!$J$19))*-1</f>
        <v>-9.6602948100000035</v>
      </c>
      <c r="O17" s="17">
        <f>IF(Assumptions!$J$39=1, AVERAGE('Balance sheet '!P36,'Balance sheet '!Q36)*Assumptions!$J$19,('Balance sheet '!P36*Assumptions!$J$19))*-1</f>
        <v>-9.6602948100000035</v>
      </c>
      <c r="P17" s="17">
        <f>IF(Assumptions!$J$39=1, AVERAGE('Balance sheet '!Q36,'Balance sheet '!R36)*Assumptions!$J$19,('Balance sheet '!Q36*Assumptions!$J$19))*-1</f>
        <v>-9.6602948100000035</v>
      </c>
      <c r="Q17" s="127">
        <f>IF(Assumptions!$J$39=1, AVERAGE('Balance sheet '!R36,'Balance sheet '!S36)*Assumptions!$J$19,('Balance sheet '!R36*Assumptions!$J$19))*-1</f>
        <v>-9.6602948100000035</v>
      </c>
    </row>
    <row r="18" spans="3:18" ht="14.45" outlineLevel="1">
      <c r="C18" s="100" t="s">
        <v>49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/>
      <c r="J18" s="169">
        <f>IF(Assumptions!$J$39=1,AVERAGE('Balance sheet '!K37,'Balance sheet '!L37)*Assumptions!$J$24,('Balance sheet '!K37*Assumptions!$J$24))*-1</f>
        <v>-5.5546695157500015</v>
      </c>
      <c r="K18" s="17">
        <f>IF(Assumptions!$J$39=1,AVERAGE('Balance sheet '!L37,'Balance sheet '!M37)*Assumptions!$J$24,('Balance sheet '!L37*Assumptions!$J$24))*-1</f>
        <v>-5.5546695157500015</v>
      </c>
      <c r="L18" s="17">
        <f>IF(Assumptions!$J$39=1,AVERAGE('Balance sheet '!M37,'Balance sheet '!N37)*Assumptions!$J$24,('Balance sheet '!M37*Assumptions!$J$24))*-1</f>
        <v>-5.5546695157500015</v>
      </c>
      <c r="M18" s="17">
        <f>IF(Assumptions!$J$39=1,AVERAGE('Balance sheet '!N37,'Balance sheet '!O37)*Assumptions!$J$24,('Balance sheet '!N37*Assumptions!$J$24))*-1</f>
        <v>-5.5546695157500015</v>
      </c>
      <c r="N18" s="17">
        <f>IF(Assumptions!$J$39=1,AVERAGE('Balance sheet '!O37,'Balance sheet '!P37)*Assumptions!$J$24,('Balance sheet '!O37*Assumptions!$J$24))*-1</f>
        <v>-5.5546695157500015</v>
      </c>
      <c r="O18" s="17">
        <f>IF(Assumptions!$J$39=1,AVERAGE('Balance sheet '!P37,'Balance sheet '!Q37)*Assumptions!$J$24,('Balance sheet '!P37*Assumptions!$J$24))*-1</f>
        <v>-5.5546695157500015</v>
      </c>
      <c r="P18" s="17">
        <f>IF(Assumptions!$J$39=1,AVERAGE('Balance sheet '!Q37,'Balance sheet '!R37)*Assumptions!$J$24,('Balance sheet '!Q37*Assumptions!$J$24))*-1</f>
        <v>-5.5546695157500015</v>
      </c>
      <c r="Q18" s="127">
        <f>IF(Assumptions!$J$39=1,AVERAGE('Balance sheet '!R37,'Balance sheet '!S37)*Assumptions!$J$24,('Balance sheet '!R37*Assumptions!$J$24))*-1</f>
        <v>0</v>
      </c>
    </row>
    <row r="19" spans="3:18" ht="14.45" outlineLevel="1">
      <c r="C19" s="100" t="s">
        <v>51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/>
      <c r="J19" s="169">
        <f>IF(Assumptions!$J$39=1,AVERAGE('Balance sheet '!K38,'Balance sheet '!L38)*Assumptions!$J$29,('Balance sheet '!K38*Assumptions!$J$29))*-1</f>
        <v>-3.6698386617100009</v>
      </c>
      <c r="K19" s="17">
        <f>IF(Assumptions!$J$39=1,AVERAGE('Balance sheet '!L38,'Balance sheet '!M38)*Assumptions!$J$29,('Balance sheet '!L38*Assumptions!$J$29))*-1</f>
        <v>-3.6698386617100009</v>
      </c>
      <c r="L19" s="17">
        <f>IF(Assumptions!$J$39=1,AVERAGE('Balance sheet '!M38,'Balance sheet '!N38)*Assumptions!$J$29,('Balance sheet '!M38*Assumptions!$J$29))*-1</f>
        <v>-3.6698386617100009</v>
      </c>
      <c r="M19" s="17">
        <f>IF(Assumptions!$J$39=1,AVERAGE('Balance sheet '!N38,'Balance sheet '!O38)*Assumptions!$J$29,('Balance sheet '!N38*Assumptions!$J$29))*-1</f>
        <v>-3.6698386617100009</v>
      </c>
      <c r="N19" s="17">
        <f>IF(Assumptions!$J$39=1,AVERAGE('Balance sheet '!O38,'Balance sheet '!P38)*Assumptions!$J$29,('Balance sheet '!O38*Assumptions!$J$29))*-1</f>
        <v>-3.6698386617100009</v>
      </c>
      <c r="O19" s="17">
        <f>IF(Assumptions!$J$39=1,AVERAGE('Balance sheet '!P38,'Balance sheet '!Q38)*Assumptions!$J$29,('Balance sheet '!P38*Assumptions!$J$29))*-1</f>
        <v>-3.6698386617100009</v>
      </c>
      <c r="P19" s="17">
        <f>IF(Assumptions!$J$39=1,AVERAGE('Balance sheet '!Q38,'Balance sheet '!R38)*Assumptions!$J$29,('Balance sheet '!Q38*Assumptions!$J$29))*-1</f>
        <v>0</v>
      </c>
      <c r="Q19" s="127">
        <f>IF(Assumptions!$J$39=1,AVERAGE('Balance sheet '!R38,'Balance sheet '!S38)*Assumptions!$J$29,('Balance sheet '!R38*Assumptions!$J$29))*-1</f>
        <v>0</v>
      </c>
    </row>
    <row r="20" spans="3:18" ht="14.45" outlineLevel="1">
      <c r="C20" s="100" t="s">
        <v>52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/>
      <c r="J20" s="169">
        <f>IF(Assumptions!$J$39=1, AVERAGE('Balance sheet '!K39,'Balance sheet '!L39)*Assumptions!$J$36,('Balance sheet '!K39*Assumptions!$J$36))*-1</f>
        <v>-1.2365177356800001</v>
      </c>
      <c r="K20" s="17">
        <f>IF(Assumptions!$J$39=1, AVERAGE('Balance sheet '!L39,'Balance sheet '!M39)*Assumptions!$J$36,('Balance sheet '!L39*Assumptions!$J$36))*-1</f>
        <v>-1.0572226640064</v>
      </c>
      <c r="L20" s="17">
        <f>IF(Assumptions!$J$39=1, AVERAGE('Balance sheet '!M39,'Balance sheet '!N39)*Assumptions!$J$36,('Balance sheet '!M39*Assumptions!$J$36))*-1</f>
        <v>-0.17209302988157019</v>
      </c>
      <c r="M20" s="17">
        <f>IF(Assumptions!$J$39=1, AVERAGE('Balance sheet '!N39,'Balance sheet '!O39)*Assumptions!$J$36,('Balance sheet '!N39*Assumptions!$J$36))*-1</f>
        <v>0</v>
      </c>
      <c r="N20" s="17">
        <f>IF(Assumptions!$J$39=1, AVERAGE('Balance sheet '!O39,'Balance sheet '!P39)*Assumptions!$J$36,('Balance sheet '!O39*Assumptions!$J$36))*-1</f>
        <v>0</v>
      </c>
      <c r="O20" s="17">
        <f>IF(Assumptions!$J$39=1, AVERAGE('Balance sheet '!P39,'Balance sheet '!Q39)*Assumptions!$J$36,('Balance sheet '!P39*Assumptions!$J$36))*-1</f>
        <v>0</v>
      </c>
      <c r="P20" s="17">
        <f>IF(Assumptions!$J$39=1, AVERAGE('Balance sheet '!Q39,'Balance sheet '!R39)*Assumptions!$J$36,('Balance sheet '!Q39*Assumptions!$J$36))*-1</f>
        <v>0</v>
      </c>
      <c r="Q20" s="127">
        <f>IF(Assumptions!$J$39=1, AVERAGE('Balance sheet '!R39,'Balance sheet '!S39)*Assumptions!$J$36,('Balance sheet '!R39*Assumptions!$J$36))*-1</f>
        <v>0</v>
      </c>
    </row>
    <row r="21" spans="3:18" ht="14.45">
      <c r="C21" s="37" t="s">
        <v>115</v>
      </c>
      <c r="D21" s="53">
        <f>SUM(D15:D20,-0.6166)</f>
        <v>-0.61660000000000004</v>
      </c>
      <c r="E21" s="53">
        <v>-0.36090000000000005</v>
      </c>
      <c r="F21" s="53">
        <v>-0.34499999999999997</v>
      </c>
      <c r="G21" s="53">
        <v>-1.2773000000000001</v>
      </c>
      <c r="H21" s="17">
        <v>-2.68</v>
      </c>
      <c r="I21" s="17"/>
      <c r="J21" s="169">
        <f>SUM(J15:J20)</f>
        <v>-68.385226959990007</v>
      </c>
      <c r="K21" s="17">
        <f t="shared" ref="K21:N21" si="3">SUM(K15:K20)</f>
        <v>-52.127454884266236</v>
      </c>
      <c r="L21" s="17">
        <f t="shared" si="3"/>
        <v>-38.696382702680587</v>
      </c>
      <c r="M21" s="17">
        <f t="shared" si="3"/>
        <v>-37.897497544543512</v>
      </c>
      <c r="N21" s="17">
        <f t="shared" si="3"/>
        <v>-37.27070541628801</v>
      </c>
      <c r="O21" s="17">
        <f t="shared" ref="O21" si="4">SUM(O15:O20)</f>
        <v>-36.643913288032515</v>
      </c>
      <c r="P21" s="17">
        <f t="shared" ref="P21" si="5">SUM(P15:P20)</f>
        <v>-32.34728249806701</v>
      </c>
      <c r="Q21" s="127">
        <f t="shared" ref="Q21" si="6">SUM(Q15:Q20)</f>
        <v>-26.165820854061508</v>
      </c>
    </row>
    <row r="22" spans="3:18" ht="14.45">
      <c r="C22" s="37" t="s">
        <v>116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/>
      <c r="J22" s="169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27">
        <v>0</v>
      </c>
    </row>
    <row r="23" spans="3:18" ht="14.45">
      <c r="C23" s="54" t="s">
        <v>117</v>
      </c>
      <c r="D23" s="55">
        <f>SUM(D11,D14:D22)/D6</f>
        <v>0.15955352576248938</v>
      </c>
      <c r="E23" s="55">
        <f>SUM(E11,E14:E22)/E6</f>
        <v>0.13829766368676419</v>
      </c>
      <c r="F23" s="55">
        <f>SUM(F11,F14:F22)/F6</f>
        <v>0.27989062296553102</v>
      </c>
      <c r="G23" s="55">
        <f>SUM(G11,G14:G22)/G6</f>
        <v>0.29401046489472665</v>
      </c>
      <c r="H23" s="55">
        <f>SUM(H11,H14:H22)/H6</f>
        <v>0.28164310666256398</v>
      </c>
      <c r="I23" s="55"/>
      <c r="J23" s="61">
        <f>SUM(J11,J14,J21:J22)/J6</f>
        <v>0.20361335311955239</v>
      </c>
      <c r="K23" s="55">
        <f t="shared" ref="K23:Q23" si="7">SUM(K11,K14,K21:K22)/K6</f>
        <v>0.20912776335524499</v>
      </c>
      <c r="L23" s="55">
        <f t="shared" si="7"/>
        <v>0.21058729185144245</v>
      </c>
      <c r="M23" s="55">
        <f t="shared" si="7"/>
        <v>0.20397327619230066</v>
      </c>
      <c r="N23" s="55">
        <f t="shared" si="7"/>
        <v>0.19787804053821675</v>
      </c>
      <c r="O23" s="55">
        <f t="shared" si="7"/>
        <v>0.19235193229718717</v>
      </c>
      <c r="P23" s="55">
        <f t="shared" si="7"/>
        <v>0.18863456652905528</v>
      </c>
      <c r="Q23" s="56">
        <f t="shared" si="7"/>
        <v>0.18564337426289468</v>
      </c>
    </row>
    <row r="24" spans="3:18" ht="14.45">
      <c r="C24" s="37"/>
      <c r="D24" s="53"/>
      <c r="E24" s="53"/>
      <c r="F24" s="53"/>
      <c r="G24" s="53"/>
      <c r="H24" s="53"/>
      <c r="I24" s="53"/>
      <c r="J24" s="169"/>
      <c r="K24" s="17"/>
      <c r="L24" s="17"/>
      <c r="M24" s="17"/>
      <c r="N24" s="17"/>
      <c r="O24" s="18"/>
      <c r="P24" s="18"/>
      <c r="Q24" s="123"/>
    </row>
    <row r="25" spans="3:18" ht="14.45">
      <c r="C25" s="37" t="s">
        <v>118</v>
      </c>
      <c r="D25" s="53">
        <v>-24.248200000000001</v>
      </c>
      <c r="E25" s="53">
        <v>-24.346299999999999</v>
      </c>
      <c r="F25" s="53">
        <v>-35.404899999999998</v>
      </c>
      <c r="G25" s="53">
        <v>-42.120399999999997</v>
      </c>
      <c r="H25" s="17">
        <v>-44.95</v>
      </c>
      <c r="I25" s="17"/>
      <c r="J25" s="169">
        <f>-'Income Tax'!C20</f>
        <v>-35.07796637834825</v>
      </c>
      <c r="K25" s="17">
        <f>-'Income Tax'!D20</f>
        <v>-41.243080830769202</v>
      </c>
      <c r="L25" s="17">
        <f>-'Income Tax'!E20</f>
        <v>-47.185367841485053</v>
      </c>
      <c r="M25" s="17">
        <f>-'Income Tax'!F20</f>
        <v>-52.226050119381036</v>
      </c>
      <c r="N25" s="17">
        <f>-'Income Tax'!G20</f>
        <v>-58.007527839168539</v>
      </c>
      <c r="O25" s="17">
        <f>-'Income Tax'!H20</f>
        <v>-64.853146675107823</v>
      </c>
      <c r="P25" s="17">
        <f>-'Income Tax'!I20</f>
        <v>-73.07063920239365</v>
      </c>
      <c r="Q25" s="17">
        <f>-'Income Tax'!J20</f>
        <v>-83.403081125275222</v>
      </c>
      <c r="R25" s="33"/>
    </row>
    <row r="26" spans="3:18" ht="14.45">
      <c r="C26" s="38" t="s">
        <v>119</v>
      </c>
      <c r="D26" s="52">
        <f>SUM(D11,D14,D21:D22,D25)</f>
        <v>80.038999999999959</v>
      </c>
      <c r="E26" s="52">
        <f t="shared" ref="E26:H26" si="8">SUM(E11,E14,E21:E22,E25)</f>
        <v>85.651899999999955</v>
      </c>
      <c r="F26" s="52">
        <f t="shared" si="8"/>
        <v>245.54759999999993</v>
      </c>
      <c r="G26" s="52">
        <f t="shared" si="8"/>
        <v>255.23070000000004</v>
      </c>
      <c r="H26" s="52">
        <f t="shared" si="8"/>
        <v>266.26</v>
      </c>
      <c r="I26" s="52"/>
      <c r="J26" s="62">
        <f t="shared" ref="J26" si="9">SUM(J11,J14,J21:J22,J25)</f>
        <v>222.47913443712622</v>
      </c>
      <c r="K26" s="52">
        <f t="shared" ref="K26" si="10">SUM(K11,K14,K21:K22,K25)</f>
        <v>261.58198406070488</v>
      </c>
      <c r="L26" s="52">
        <f t="shared" ref="L26" si="11">SUM(L11,L14,L21:L22,L25)</f>
        <v>301.89477126198534</v>
      </c>
      <c r="M26" s="52">
        <f t="shared" ref="M26" si="12">SUM(M11,M14,M21:M22,M25)</f>
        <v>334.83467574682459</v>
      </c>
      <c r="N26" s="52">
        <f t="shared" ref="N26" si="13">SUM(N11,N14,N21:N22,N25)</f>
        <v>371.84183844373825</v>
      </c>
      <c r="O26" s="52">
        <f t="shared" ref="O26" si="14">SUM(O11,O14,O21:O22,O25)</f>
        <v>413.47737936361466</v>
      </c>
      <c r="P26" s="52">
        <f t="shared" ref="P26" si="15">SUM(P11,P14,P21:P22,P25)</f>
        <v>463.91871627677813</v>
      </c>
      <c r="Q26" s="57">
        <f t="shared" ref="Q26" si="16">SUM(Q11,Q14,Q21:Q22,Q25)</f>
        <v>521.57091356396779</v>
      </c>
    </row>
    <row r="27" spans="3:18" ht="14.45">
      <c r="C27" s="180" t="s">
        <v>120</v>
      </c>
      <c r="D27" s="181">
        <f>D26/D6</f>
        <v>0.12245514932325238</v>
      </c>
      <c r="E27" s="181">
        <f t="shared" ref="E27:Q27" si="17">E26/E6</f>
        <v>0.10768774089332694</v>
      </c>
      <c r="F27" s="181">
        <f t="shared" si="17"/>
        <v>0.24461953793502822</v>
      </c>
      <c r="G27" s="181">
        <f t="shared" si="17"/>
        <v>0.25236327278562792</v>
      </c>
      <c r="H27" s="181">
        <f t="shared" si="17"/>
        <v>0.24096363735090226</v>
      </c>
      <c r="I27" s="181"/>
      <c r="J27" s="190">
        <f t="shared" si="17"/>
        <v>0.17588225064830854</v>
      </c>
      <c r="K27" s="181">
        <f t="shared" si="17"/>
        <v>0.1806457311591671</v>
      </c>
      <c r="L27" s="181">
        <f t="shared" si="17"/>
        <v>0.18212208367812047</v>
      </c>
      <c r="M27" s="181">
        <f t="shared" si="17"/>
        <v>0.17645119029326334</v>
      </c>
      <c r="N27" s="181">
        <f t="shared" si="17"/>
        <v>0.17117469549309189</v>
      </c>
      <c r="O27" s="181">
        <f t="shared" si="17"/>
        <v>0.16627241740229204</v>
      </c>
      <c r="P27" s="181">
        <f t="shared" si="17"/>
        <v>0.16296618369929702</v>
      </c>
      <c r="Q27" s="184">
        <f t="shared" si="17"/>
        <v>0.16005015944715487</v>
      </c>
    </row>
    <row r="28" spans="3:18" ht="14.45">
      <c r="C28" s="180"/>
      <c r="D28" s="181"/>
      <c r="E28" s="181"/>
      <c r="F28" s="181"/>
      <c r="G28" s="181"/>
      <c r="H28" s="181"/>
      <c r="I28" s="181"/>
      <c r="J28" s="190"/>
      <c r="K28" s="181"/>
      <c r="L28" s="181"/>
      <c r="M28" s="181"/>
      <c r="N28" s="181"/>
      <c r="O28" s="181"/>
      <c r="P28" s="181"/>
      <c r="Q28" s="184"/>
    </row>
    <row r="29" spans="3:18" ht="14.45">
      <c r="C29" s="186" t="s">
        <v>121</v>
      </c>
      <c r="D29" s="182">
        <v>0</v>
      </c>
      <c r="E29" s="182">
        <v>-14.303800000000001</v>
      </c>
      <c r="F29" s="6">
        <v>-200.25219999999999</v>
      </c>
      <c r="G29" s="182">
        <v>-243.16319999999999</v>
      </c>
      <c r="H29" s="182">
        <v>-157.34</v>
      </c>
      <c r="I29" s="182"/>
      <c r="J29" s="191">
        <v>-7.5</v>
      </c>
      <c r="K29" s="182">
        <v>-8</v>
      </c>
      <c r="L29" s="182">
        <v>-8.5</v>
      </c>
      <c r="M29" s="182">
        <v>-9</v>
      </c>
      <c r="N29" s="182">
        <v>-9.5</v>
      </c>
      <c r="O29" s="182">
        <v>-10</v>
      </c>
      <c r="P29" s="182">
        <v>-10.5</v>
      </c>
      <c r="Q29" s="185">
        <v>-11</v>
      </c>
    </row>
    <row r="30" spans="3:18" ht="14.45">
      <c r="C30" s="187" t="s">
        <v>122</v>
      </c>
      <c r="D30" s="193">
        <f>SUM(D26,D29)</f>
        <v>80.038999999999959</v>
      </c>
      <c r="E30" s="193">
        <f t="shared" ref="E30:H30" si="18">SUM(E26,E29)</f>
        <v>71.34809999999996</v>
      </c>
      <c r="F30" s="193">
        <f t="shared" si="18"/>
        <v>45.295399999999944</v>
      </c>
      <c r="G30" s="193">
        <f t="shared" si="18"/>
        <v>12.067500000000052</v>
      </c>
      <c r="H30" s="193">
        <f t="shared" si="18"/>
        <v>108.91999999999999</v>
      </c>
      <c r="I30" s="183"/>
      <c r="J30" s="192">
        <f>SUM(J26,J29)</f>
        <v>214.97913443712622</v>
      </c>
      <c r="K30" s="188">
        <f t="shared" ref="K30:Q30" si="19">SUM(K26,K29)</f>
        <v>253.58198406070488</v>
      </c>
      <c r="L30" s="188">
        <f t="shared" si="19"/>
        <v>293.39477126198534</v>
      </c>
      <c r="M30" s="188">
        <f t="shared" si="19"/>
        <v>325.83467574682459</v>
      </c>
      <c r="N30" s="188">
        <f t="shared" si="19"/>
        <v>362.34183844373825</v>
      </c>
      <c r="O30" s="188">
        <f t="shared" si="19"/>
        <v>403.47737936361466</v>
      </c>
      <c r="P30" s="188">
        <f t="shared" si="19"/>
        <v>453.41871627677813</v>
      </c>
      <c r="Q30" s="189">
        <f t="shared" si="19"/>
        <v>510.57091356396779</v>
      </c>
    </row>
    <row r="31" spans="3:18" ht="14.45">
      <c r="J31" s="16"/>
      <c r="K31" s="16"/>
      <c r="L31" s="16"/>
      <c r="M31" s="16"/>
      <c r="N31" s="16"/>
    </row>
    <row r="32" spans="3:18" ht="14.45" outlineLevel="1">
      <c r="C32" s="15" t="s">
        <v>123</v>
      </c>
      <c r="D32" s="18"/>
      <c r="E32" s="18"/>
      <c r="F32" s="18"/>
      <c r="G32" s="18"/>
      <c r="H32" s="18"/>
      <c r="I32" s="18"/>
      <c r="J32" s="16"/>
      <c r="K32" s="16"/>
      <c r="L32" s="16"/>
      <c r="M32" s="16"/>
      <c r="N32" s="16"/>
    </row>
    <row r="33" spans="3:17" ht="14.45" outlineLevel="1">
      <c r="C33" s="9" t="s">
        <v>124</v>
      </c>
      <c r="D33" s="22">
        <v>19.9831</v>
      </c>
      <c r="E33" s="22">
        <v>19.7407</v>
      </c>
      <c r="F33" s="22">
        <v>21.109699999999997</v>
      </c>
      <c r="G33" s="22">
        <v>24.2745</v>
      </c>
      <c r="H33" s="17">
        <v>26.22</v>
      </c>
      <c r="I33" s="17"/>
      <c r="J33" s="16">
        <f>'D&amp;A'!F27+'D&amp;A'!F29</f>
        <v>26.802780716068607</v>
      </c>
      <c r="K33" s="16">
        <f>'D&amp;A'!G27+'D&amp;A'!G29</f>
        <v>33.509319188662488</v>
      </c>
      <c r="L33" s="16">
        <f>'D&amp;A'!H27+'D&amp;A'!H29</f>
        <v>30.124930511509039</v>
      </c>
      <c r="M33" s="16">
        <f>'D&amp;A'!I27+'D&amp;A'!I29</f>
        <v>33.497462383322066</v>
      </c>
      <c r="N33" s="16">
        <f>'D&amp;A'!J27+'D&amp;A'!J29</f>
        <v>36.755904035920871</v>
      </c>
      <c r="O33" s="16">
        <f>'D&amp;A'!K27+'D&amp;A'!K29</f>
        <v>43.433879029659884</v>
      </c>
      <c r="P33" s="16">
        <f>'D&amp;A'!L27+'D&amp;A'!L29</f>
        <v>46.885644329747571</v>
      </c>
      <c r="Q33" s="16">
        <f>'D&amp;A'!M27+'D&amp;A'!M29</f>
        <v>53.976429283182526</v>
      </c>
    </row>
    <row r="34" spans="3:17" ht="14.45" outlineLevel="1">
      <c r="C34" s="9" t="s">
        <v>58</v>
      </c>
      <c r="D34" s="22">
        <v>-19.214700000000001</v>
      </c>
      <c r="E34" s="22">
        <v>-32.090299999999999</v>
      </c>
      <c r="F34" s="22">
        <v>-34.1706</v>
      </c>
      <c r="G34" s="22">
        <v>-35.568400000000004</v>
      </c>
      <c r="H34" s="17">
        <v>-26.32</v>
      </c>
      <c r="I34" s="17"/>
      <c r="J34" s="16">
        <f>-'D&amp;A'!$C15</f>
        <v>-28.460976058606519</v>
      </c>
      <c r="K34" s="16">
        <f>-'D&amp;A'!$C16</f>
        <v>-32.580867555514267</v>
      </c>
      <c r="L34" s="16">
        <f>-'D&amp;A'!$C17</f>
        <v>-37.297137262056886</v>
      </c>
      <c r="M34" s="16">
        <f>-'D&amp;A'!$C18</f>
        <v>-42.69611438598033</v>
      </c>
      <c r="N34" s="16">
        <f>-'D&amp;A'!$C19</f>
        <v>-48.876624788982063</v>
      </c>
      <c r="O34" s="16">
        <f>-'D&amp;A'!$C20</f>
        <v>-55.951799949912115</v>
      </c>
      <c r="P34" s="16">
        <f>-'D&amp;A'!$C21</f>
        <v>-64.051147785898195</v>
      </c>
      <c r="Q34" s="16">
        <f>-'D&amp;A'!$C22</f>
        <v>-73.322923236849604</v>
      </c>
    </row>
    <row r="35" spans="3:17" ht="14.45" outlineLevel="1">
      <c r="C35" s="9" t="s">
        <v>125</v>
      </c>
      <c r="D35" s="17">
        <f>SUM(D6,D7)</f>
        <v>270.78709999999995</v>
      </c>
      <c r="E35" s="17">
        <f>SUM(E6,E7)</f>
        <v>290.30379999999997</v>
      </c>
      <c r="F35" s="17">
        <f>SUM(F6,F7)</f>
        <v>382.41089999999997</v>
      </c>
      <c r="G35" s="17">
        <f>SUM(G6,G7)</f>
        <v>404.64200000000005</v>
      </c>
      <c r="H35" s="17">
        <f>SUM(H6,H7)</f>
        <v>446.28</v>
      </c>
      <c r="I35" s="17"/>
      <c r="J35" s="17">
        <f t="shared" ref="J35:Q35" si="20">SUM(J6,J7)</f>
        <v>496.92155410164048</v>
      </c>
      <c r="K35" s="17">
        <f t="shared" si="20"/>
        <v>568.8538336256396</v>
      </c>
      <c r="L35" s="17">
        <f t="shared" si="20"/>
        <v>651.19872816866928</v>
      </c>
      <c r="M35" s="17">
        <f t="shared" si="20"/>
        <v>745.46352419866867</v>
      </c>
      <c r="N35" s="17">
        <f t="shared" si="20"/>
        <v>853.37369664942162</v>
      </c>
      <c r="O35" s="17">
        <f t="shared" si="20"/>
        <v>976.90449296754423</v>
      </c>
      <c r="P35" s="17">
        <f t="shared" si="20"/>
        <v>1118.317089133616</v>
      </c>
      <c r="Q35" s="17">
        <f t="shared" si="20"/>
        <v>1280.1999794772507</v>
      </c>
    </row>
    <row r="36" spans="3:17" ht="14.45" outlineLevel="1">
      <c r="C36" s="9" t="s">
        <v>126</v>
      </c>
      <c r="D36" s="17">
        <f>D11+D33</f>
        <v>116.83899999999997</v>
      </c>
      <c r="E36" s="17">
        <f>E11+E33</f>
        <v>101.05289999999997</v>
      </c>
      <c r="F36" s="17">
        <f>F11+F33</f>
        <v>169.97059999999996</v>
      </c>
      <c r="G36" s="17">
        <f>G11+G33</f>
        <v>180.54200000000003</v>
      </c>
      <c r="H36" s="17">
        <f>H11+H33</f>
        <v>196.06999999999996</v>
      </c>
      <c r="I36" s="17"/>
      <c r="J36" s="17">
        <f t="shared" ref="J36:Q36" si="21">J11+J33</f>
        <v>205.64876229516946</v>
      </c>
      <c r="K36" s="17">
        <f t="shared" si="21"/>
        <v>238.24429478000636</v>
      </c>
      <c r="L36" s="17">
        <f t="shared" si="21"/>
        <v>264.49648228075682</v>
      </c>
      <c r="M36" s="17">
        <f t="shared" si="21"/>
        <v>301.79565676886222</v>
      </c>
      <c r="N36" s="17">
        <f t="shared" si="21"/>
        <v>343.89181949640061</v>
      </c>
      <c r="O36" s="17">
        <f t="shared" si="21"/>
        <v>395.02950113881451</v>
      </c>
      <c r="P36" s="17">
        <f t="shared" si="21"/>
        <v>449.37677370803766</v>
      </c>
      <c r="Q36" s="17">
        <f t="shared" si="21"/>
        <v>514.73048604990186</v>
      </c>
    </row>
    <row r="37" spans="3:17" ht="14.45" outlineLevel="1">
      <c r="C37" s="9" t="s">
        <v>127</v>
      </c>
      <c r="D37" s="23">
        <f>D26/'Balance sheet '!D54</f>
        <v>11.191346592811799</v>
      </c>
      <c r="E37" s="23">
        <f>E26/'Balance sheet '!E54</f>
        <v>11.976162861015966</v>
      </c>
      <c r="F37" s="23">
        <f>F26/'Balance sheet '!F54</f>
        <v>34.333366191895394</v>
      </c>
      <c r="G37" s="23">
        <f>G26/'Balance sheet '!G54</f>
        <v>35.68729275510654</v>
      </c>
      <c r="H37" s="23">
        <f>H26/'Balance sheet '!H54</f>
        <v>18.613072352324362</v>
      </c>
      <c r="I37" s="23"/>
      <c r="J37" s="16"/>
    </row>
    <row r="38" spans="3:17" ht="14.45" outlineLevel="1">
      <c r="C38" s="9" t="s">
        <v>128</v>
      </c>
      <c r="D38" s="23">
        <f>D26/'Balance sheet '!D55</f>
        <v>11.191346592811799</v>
      </c>
      <c r="E38" s="23">
        <f>E26/'Balance sheet '!E55</f>
        <v>11.976162861015966</v>
      </c>
      <c r="F38" s="23">
        <f>F26/'Balance sheet '!F55</f>
        <v>34.333366191895394</v>
      </c>
      <c r="G38" s="23">
        <f>G26/'Balance sheet '!G55</f>
        <v>35.68729275510654</v>
      </c>
      <c r="H38" s="23">
        <f>H26/'Balance sheet '!H55</f>
        <v>18.613072352324362</v>
      </c>
      <c r="I38" s="23"/>
      <c r="J38" s="16"/>
    </row>
    <row r="39" spans="3:17" ht="14.45" outlineLevel="1">
      <c r="C39" s="9" t="s">
        <v>129</v>
      </c>
      <c r="D39" s="24">
        <f>D25/((D11+D14)+D21)*-1</f>
        <v>0.23251367377779833</v>
      </c>
      <c r="E39" s="24">
        <f>E25/((E11+E14)+E21)*-1</f>
        <v>0.22133362182290264</v>
      </c>
      <c r="F39" s="24">
        <f>F25/((F11+F14)+F21)*-1</f>
        <v>0.12601738728076811</v>
      </c>
      <c r="G39" s="24">
        <f>G25/((G11+G14)+G21)*-1</f>
        <v>0.14165207392876633</v>
      </c>
      <c r="H39" s="24">
        <f>H25/((H11+H14)+H21)*-1</f>
        <v>0.14443623276886991</v>
      </c>
      <c r="I39" s="24"/>
      <c r="J39" s="16"/>
    </row>
    <row r="40" spans="3:17" ht="14.45">
      <c r="J40" s="16"/>
    </row>
    <row r="41" spans="3:17" ht="14.45">
      <c r="J41" s="16"/>
    </row>
    <row r="42" spans="3:17" ht="15" customHeight="1">
      <c r="H42" s="16"/>
    </row>
    <row r="44" spans="3:17" ht="14.45"/>
  </sheetData>
  <mergeCells count="2">
    <mergeCell ref="D3:H3"/>
    <mergeCell ref="J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4A21-148E-4EA1-876E-E941F066AF80}">
  <dimension ref="B2:J58"/>
  <sheetViews>
    <sheetView showGridLines="0" workbookViewId="0">
      <selection activeCell="B4" sqref="B4"/>
    </sheetView>
  </sheetViews>
  <sheetFormatPr defaultRowHeight="14.45" outlineLevelRow="1"/>
  <cols>
    <col min="2" max="2" width="43.42578125" customWidth="1"/>
  </cols>
  <sheetData>
    <row r="2" spans="2:10">
      <c r="C2" s="302"/>
      <c r="D2" s="302"/>
      <c r="E2" s="302"/>
      <c r="F2" s="302"/>
      <c r="G2" s="302"/>
      <c r="H2" s="302"/>
      <c r="I2" s="302"/>
      <c r="J2" s="302"/>
    </row>
    <row r="3" spans="2:10">
      <c r="B3" s="159" t="s">
        <v>74</v>
      </c>
      <c r="C3" s="325" t="s">
        <v>77</v>
      </c>
      <c r="D3" s="326"/>
      <c r="E3" s="326"/>
      <c r="F3" s="326"/>
      <c r="G3" s="326"/>
      <c r="H3" s="326"/>
      <c r="I3" s="326"/>
      <c r="J3" s="326"/>
    </row>
    <row r="4" spans="2:10" ht="15.6">
      <c r="B4" s="303" t="s">
        <v>130</v>
      </c>
      <c r="C4" s="49">
        <v>2026</v>
      </c>
      <c r="D4" s="222">
        <v>2027</v>
      </c>
      <c r="E4" s="222">
        <v>2028</v>
      </c>
      <c r="F4" s="222">
        <v>2029</v>
      </c>
      <c r="G4" s="222">
        <v>2030</v>
      </c>
      <c r="H4" s="222">
        <v>2031</v>
      </c>
      <c r="I4" s="222">
        <v>2032</v>
      </c>
      <c r="J4" s="223">
        <v>2033</v>
      </c>
    </row>
    <row r="5" spans="2:10">
      <c r="B5" s="42" t="s">
        <v>131</v>
      </c>
      <c r="J5" s="32"/>
    </row>
    <row r="6" spans="2:10">
      <c r="B6" s="33"/>
      <c r="J6" s="32"/>
    </row>
    <row r="7" spans="2:10">
      <c r="B7" s="33" t="s">
        <v>119</v>
      </c>
      <c r="C7" s="16">
        <f>'Income Statement'!J30</f>
        <v>214.97913443712622</v>
      </c>
      <c r="D7" s="16">
        <f>'Income Statement'!K30</f>
        <v>253.58198406070488</v>
      </c>
      <c r="E7" s="16">
        <f>'Income Statement'!L30</f>
        <v>293.39477126198534</v>
      </c>
      <c r="F7" s="16">
        <f>'Income Statement'!M30</f>
        <v>325.83467574682459</v>
      </c>
      <c r="G7" s="16">
        <f>'Income Statement'!N30</f>
        <v>362.34183844373825</v>
      </c>
      <c r="H7" s="16">
        <f>'Income Statement'!O30</f>
        <v>403.47737936361466</v>
      </c>
      <c r="I7" s="16">
        <f>'Income Statement'!P30</f>
        <v>453.41871627677813</v>
      </c>
      <c r="J7" s="39">
        <f>'Income Statement'!Q30</f>
        <v>510.57091356396779</v>
      </c>
    </row>
    <row r="8" spans="2:10">
      <c r="B8" s="33" t="s">
        <v>132</v>
      </c>
      <c r="C8" s="16">
        <f>-'Income Statement'!J14</f>
        <v>-147.09634619636364</v>
      </c>
      <c r="D8" s="16">
        <f>-'Income Statement'!K14</f>
        <v>-150.21754418439644</v>
      </c>
      <c r="E8" s="16">
        <f>-'Income Statement'!L14</f>
        <v>-153.40497003690317</v>
      </c>
      <c r="F8" s="16">
        <f>-'Income Statement'!M14</f>
        <v>-156.66002902520898</v>
      </c>
      <c r="G8" s="16">
        <f>-'Income Statement'!N14</f>
        <v>-159.98415623871506</v>
      </c>
      <c r="H8" s="16">
        <f>-'Income Statement'!O14</f>
        <v>-163.37881721760041</v>
      </c>
      <c r="I8" s="16">
        <f>-'Income Statement'!P14</f>
        <v>-166.8455085989487</v>
      </c>
      <c r="J8" s="39">
        <f>-'Income Statement'!Q14</f>
        <v>-170.38575877658516</v>
      </c>
    </row>
    <row r="9" spans="2:10">
      <c r="B9" s="33" t="s">
        <v>133</v>
      </c>
      <c r="C9" s="16">
        <f>'D&amp;A'!F27</f>
        <v>23.750847605860649</v>
      </c>
      <c r="D9" s="16">
        <f>'D&amp;A'!G27</f>
        <v>26.078052431254527</v>
      </c>
      <c r="E9" s="16">
        <f>'D&amp;A'!H27</f>
        <v>28.409123510133078</v>
      </c>
      <c r="F9" s="16">
        <f>'D&amp;A'!I27</f>
        <v>31.967133042298109</v>
      </c>
      <c r="G9" s="16">
        <f>'D&amp;A'!J27</f>
        <v>35.225574694896913</v>
      </c>
      <c r="H9" s="16">
        <f>'D&amp;A'!K27</f>
        <v>41.903549688635927</v>
      </c>
      <c r="I9" s="16">
        <f>'D&amp;A'!L27</f>
        <v>45.590561056781944</v>
      </c>
      <c r="J9" s="39">
        <f>'D&amp;A'!M27</f>
        <v>52.922853380466904</v>
      </c>
    </row>
    <row r="10" spans="2:10">
      <c r="B10" s="33" t="s">
        <v>134</v>
      </c>
      <c r="C10" s="16">
        <f>SUM(C11:C17)</f>
        <v>-0.31426474092453116</v>
      </c>
      <c r="D10" s="16">
        <f t="shared" ref="D10:J10" si="0">SUM(D11:D17)</f>
        <v>-66.030977739993673</v>
      </c>
      <c r="E10" s="16">
        <f t="shared" si="0"/>
        <v>-75.589345069466972</v>
      </c>
      <c r="F10" s="16">
        <f t="shared" si="0"/>
        <v>-86.531341555014464</v>
      </c>
      <c r="G10" s="16">
        <f t="shared" si="0"/>
        <v>-99.057255548772702</v>
      </c>
      <c r="H10" s="16">
        <f t="shared" si="0"/>
        <v>-113.39636830449999</v>
      </c>
      <c r="I10" s="16">
        <f t="shared" si="0"/>
        <v>-129.81115086838375</v>
      </c>
      <c r="J10" s="39">
        <f t="shared" si="0"/>
        <v>-148.60206849415982</v>
      </c>
    </row>
    <row r="11" spans="2:10" hidden="1" outlineLevel="1">
      <c r="B11" s="33" t="s">
        <v>135</v>
      </c>
      <c r="C11" s="16">
        <f>('Balance sheet '!L8-'Balance sheet '!H8)*-1</f>
        <v>-11.35547174388654</v>
      </c>
      <c r="D11" s="16">
        <f>('Balance sheet '!M8-'Balance sheet '!L8)*-1</f>
        <v>-40.584529521603542</v>
      </c>
      <c r="E11" s="16">
        <f>('Balance sheet '!N8-'Balance sheet '!M8)*-1</f>
        <v>-46.459375757999339</v>
      </c>
      <c r="F11" s="16">
        <f>('Balance sheet '!O8-'Balance sheet '!N8)*-1</f>
        <v>-53.184640089864843</v>
      </c>
      <c r="G11" s="16">
        <f>('Balance sheet '!P8-'Balance sheet '!O8)*-1</f>
        <v>-60.883425473090313</v>
      </c>
      <c r="H11" s="16">
        <f>('Balance sheet '!Q8-'Balance sheet '!P8)*-1</f>
        <v>-69.696654731029071</v>
      </c>
      <c r="I11" s="16">
        <f>('Balance sheet '!R8-'Balance sheet '!Q8)*-1</f>
        <v>-79.785650083753467</v>
      </c>
      <c r="J11" s="39">
        <f>('Balance sheet '!S8-'Balance sheet '!R8)*-1</f>
        <v>-91.335086079147231</v>
      </c>
    </row>
    <row r="12" spans="2:10" hidden="1" outlineLevel="1">
      <c r="B12" s="33" t="s">
        <v>136</v>
      </c>
      <c r="C12" s="16">
        <f>('Balance sheet '!L9-'Balance sheet '!H9)*-1</f>
        <v>-10.322361680360416</v>
      </c>
      <c r="D12" s="16">
        <f>('Balance sheet '!M9-'Balance sheet '!L9)*-1</f>
        <v>-41.629216233056127</v>
      </c>
      <c r="E12" s="16">
        <f>('Balance sheet '!N9-'Balance sheet '!M9)*-1</f>
        <v>-47.655286935211166</v>
      </c>
      <c r="F12" s="16">
        <f>('Balance sheet '!O9-'Balance sheet '!N9)*-1</f>
        <v>-54.553666352093614</v>
      </c>
      <c r="G12" s="16">
        <f>('Balance sheet '!P9-'Balance sheet '!O9)*-1</f>
        <v>-62.450626233803746</v>
      </c>
      <c r="H12" s="16">
        <f>('Balance sheet '!Q9-'Balance sheet '!P9)*-1</f>
        <v>-71.490716899261145</v>
      </c>
      <c r="I12" s="16">
        <f>('Balance sheet '!R9-'Balance sheet '!Q9)*-1</f>
        <v>-81.839413165144833</v>
      </c>
      <c r="J12" s="39">
        <f>('Balance sheet '!S9-'Balance sheet '!R9)*-1</f>
        <v>-93.686143288409085</v>
      </c>
    </row>
    <row r="13" spans="2:10" hidden="1" outlineLevel="1">
      <c r="B13" s="33" t="s">
        <v>137</v>
      </c>
      <c r="C13" s="16">
        <f>('Balance sheet '!L10-'Balance sheet '!H10)*-1</f>
        <v>0</v>
      </c>
      <c r="D13" s="16">
        <f>('Balance sheet '!M10-'Balance sheet '!L10)*-1</f>
        <v>0</v>
      </c>
      <c r="E13" s="16">
        <f>('Balance sheet '!N10-'Balance sheet '!M10)*-1</f>
        <v>0</v>
      </c>
      <c r="F13" s="16">
        <f>('Balance sheet '!O10-'Balance sheet '!N10)*-1</f>
        <v>0</v>
      </c>
      <c r="G13" s="16">
        <f>('Balance sheet '!P10-'Balance sheet '!O10)*-1</f>
        <v>0</v>
      </c>
      <c r="H13" s="16">
        <f>('Balance sheet '!Q10-'Balance sheet '!P10)*-1</f>
        <v>0</v>
      </c>
      <c r="I13" s="16">
        <f>('Balance sheet '!R10-'Balance sheet '!Q10)*-1</f>
        <v>0</v>
      </c>
      <c r="J13" s="39">
        <f>('Balance sheet '!S10-'Balance sheet '!R10)*-1</f>
        <v>0</v>
      </c>
    </row>
    <row r="14" spans="2:10" hidden="1" outlineLevel="1">
      <c r="B14" s="33" t="s">
        <v>138</v>
      </c>
      <c r="C14" s="16">
        <f>('Balance sheet '!L11-'Balance sheet '!H11)*-1</f>
        <v>3.5168723755524187</v>
      </c>
      <c r="D14" s="16">
        <f>('Balance sheet '!M11-'Balance sheet '!L11)*-1</f>
        <v>-1.7664735612761415</v>
      </c>
      <c r="E14" s="16">
        <f>('Balance sheet '!N11-'Balance sheet '!M11)*-1</f>
        <v>-2.0221808634300746</v>
      </c>
      <c r="F14" s="16">
        <f>('Balance sheet '!O11-'Balance sheet '!N11)*-1</f>
        <v>-2.3149032819198574</v>
      </c>
      <c r="G14" s="16">
        <f>('Balance sheet '!P11-'Balance sheet '!O11)*-1</f>
        <v>-2.6499989697032476</v>
      </c>
      <c r="H14" s="16">
        <f>('Balance sheet '!Q11-'Balance sheet '!P11)*-1</f>
        <v>-3.0336017034820628</v>
      </c>
      <c r="I14" s="16">
        <f>('Balance sheet '!R11-'Balance sheet '!Q11)*-1</f>
        <v>-3.4727331597414874</v>
      </c>
      <c r="J14" s="39">
        <f>('Balance sheet '!S11-'Balance sheet '!R11)*-1</f>
        <v>-3.9754314433979268</v>
      </c>
    </row>
    <row r="15" spans="2:10" hidden="1" outlineLevel="1">
      <c r="B15" s="33" t="s">
        <v>139</v>
      </c>
      <c r="C15" s="16">
        <f>'Balance sheet '!L28-'Balance sheet '!H28</f>
        <v>17.322723975148207</v>
      </c>
      <c r="D15" s="16">
        <f>'Balance sheet '!M28-'Balance sheet '!L28</f>
        <v>17.265419158723574</v>
      </c>
      <c r="E15" s="16">
        <f>'Balance sheet '!N28-'Balance sheet '!M28</f>
        <v>19.76468880555862</v>
      </c>
      <c r="F15" s="16">
        <f>'Balance sheet '!O28-'Balance sheet '!N28</f>
        <v>22.625742241722293</v>
      </c>
      <c r="G15" s="16">
        <f>'Balance sheet '!P28-'Balance sheet '!O28</f>
        <v>25.900949770829811</v>
      </c>
      <c r="H15" s="16">
        <f>'Balance sheet '!Q28-'Balance sheet '!P28</f>
        <v>29.650262601947873</v>
      </c>
      <c r="I15" s="16">
        <f>'Balance sheet '!R28-'Balance sheet '!Q28</f>
        <v>33.942310229664741</v>
      </c>
      <c r="J15" s="39">
        <f>'Balance sheet '!S28-'Balance sheet '!R28</f>
        <v>38.855656666295829</v>
      </c>
    </row>
    <row r="16" spans="2:10" hidden="1" outlineLevel="1">
      <c r="B16" s="33" t="s">
        <v>140</v>
      </c>
      <c r="C16" s="16">
        <f>'Balance sheet '!L30-'Balance sheet '!H30</f>
        <v>0</v>
      </c>
      <c r="D16" s="16">
        <f>'Balance sheet '!M30-'Balance sheet '!L30</f>
        <v>0</v>
      </c>
      <c r="E16" s="16">
        <f>'Balance sheet '!N30-'Balance sheet '!M30</f>
        <v>0</v>
      </c>
      <c r="F16" s="16">
        <f>'Balance sheet '!O30-'Balance sheet '!N30</f>
        <v>0</v>
      </c>
      <c r="G16" s="16">
        <f>'Balance sheet '!P30-'Balance sheet '!O30</f>
        <v>0</v>
      </c>
      <c r="H16" s="16">
        <f>'Balance sheet '!Q30-'Balance sheet '!P30</f>
        <v>0</v>
      </c>
      <c r="I16" s="16">
        <f>'Balance sheet '!R30-'Balance sheet '!Q30</f>
        <v>0</v>
      </c>
      <c r="J16" s="39">
        <f>'Balance sheet '!S30-'Balance sheet '!R30</f>
        <v>0</v>
      </c>
    </row>
    <row r="17" spans="2:10" hidden="1" outlineLevel="1">
      <c r="B17" s="33" t="s">
        <v>141</v>
      </c>
      <c r="C17" s="16">
        <f>'Balance sheet '!L31-'Balance sheet '!H31</f>
        <v>0.52397233262179999</v>
      </c>
      <c r="D17" s="16">
        <f>'Balance sheet '!M31-'Balance sheet '!L31</f>
        <v>0.68382241721856563</v>
      </c>
      <c r="E17" s="16">
        <f>'Balance sheet '!N31-'Balance sheet '!M31</f>
        <v>0.78280968161499231</v>
      </c>
      <c r="F17" s="16">
        <f>'Balance sheet '!O31-'Balance sheet '!N31</f>
        <v>0.89612592714155426</v>
      </c>
      <c r="G17" s="16">
        <f>'Balance sheet '!P31-'Balance sheet '!O31</f>
        <v>1.0258453569947905</v>
      </c>
      <c r="H17" s="16">
        <f>'Balance sheet '!Q31-'Balance sheet '!P31</f>
        <v>1.1743424273244347</v>
      </c>
      <c r="I17" s="16">
        <f>'Balance sheet '!R31-'Balance sheet '!Q31</f>
        <v>1.3443353105913047</v>
      </c>
      <c r="J17" s="39">
        <f>'Balance sheet '!S31-'Balance sheet '!R31</f>
        <v>1.5389356504985905</v>
      </c>
    </row>
    <row r="18" spans="2:10" collapsed="1">
      <c r="B18" s="33"/>
      <c r="J18" s="32"/>
    </row>
    <row r="19" spans="2:10">
      <c r="B19" s="217" t="s">
        <v>142</v>
      </c>
      <c r="C19" s="16">
        <f t="shared" ref="C19:J19" si="1">SUM(C7:C10)</f>
        <v>91.319371105698707</v>
      </c>
      <c r="D19" s="16">
        <f t="shared" si="1"/>
        <v>63.411514567569284</v>
      </c>
      <c r="E19" s="16">
        <f t="shared" si="1"/>
        <v>92.809579665748274</v>
      </c>
      <c r="F19" s="16">
        <f t="shared" si="1"/>
        <v>114.61043820889925</v>
      </c>
      <c r="G19" s="16">
        <f t="shared" si="1"/>
        <v>138.52600135114741</v>
      </c>
      <c r="H19" s="16">
        <f t="shared" si="1"/>
        <v>168.60574353015019</v>
      </c>
      <c r="I19" s="16">
        <f t="shared" si="1"/>
        <v>202.35261786622763</v>
      </c>
      <c r="J19" s="39">
        <f t="shared" si="1"/>
        <v>244.50593967368974</v>
      </c>
    </row>
    <row r="20" spans="2:10">
      <c r="B20" s="33"/>
      <c r="J20" s="32"/>
    </row>
    <row r="21" spans="2:10">
      <c r="B21" s="218" t="s">
        <v>143</v>
      </c>
      <c r="J21" s="32"/>
    </row>
    <row r="22" spans="2:10">
      <c r="B22" s="33" t="s">
        <v>144</v>
      </c>
      <c r="C22" s="16">
        <f>'D&amp;A'!$C15*-1</f>
        <v>-28.460976058606519</v>
      </c>
      <c r="D22" s="16">
        <f>'D&amp;A'!$C16*-1</f>
        <v>-32.580867555514267</v>
      </c>
      <c r="E22" s="16">
        <f>'D&amp;A'!$C17*-1</f>
        <v>-37.297137262056886</v>
      </c>
      <c r="F22" s="16">
        <f>'D&amp;A'!$C18*-1</f>
        <v>-42.69611438598033</v>
      </c>
      <c r="G22" s="16">
        <f>'D&amp;A'!$C19*-1</f>
        <v>-48.876624788982063</v>
      </c>
      <c r="H22" s="16">
        <f>'D&amp;A'!$C20*-1</f>
        <v>-55.951799949912115</v>
      </c>
      <c r="I22" s="16">
        <f>'D&amp;A'!$C21*-1</f>
        <v>-64.051147785898195</v>
      </c>
      <c r="J22" s="39">
        <f>'D&amp;A'!$C22*-1</f>
        <v>-73.322923236849604</v>
      </c>
    </row>
    <row r="23" spans="2:10">
      <c r="B23" s="33" t="s">
        <v>132</v>
      </c>
      <c r="C23" s="16">
        <f>'Income Statement'!J14</f>
        <v>147.09634619636364</v>
      </c>
      <c r="D23" s="16">
        <f>'Income Statement'!K14</f>
        <v>150.21754418439644</v>
      </c>
      <c r="E23" s="16">
        <f>'Income Statement'!L14</f>
        <v>153.40497003690317</v>
      </c>
      <c r="F23" s="16">
        <f>'Income Statement'!M14</f>
        <v>156.66002902520898</v>
      </c>
      <c r="G23" s="16">
        <f>'Income Statement'!N14</f>
        <v>159.98415623871506</v>
      </c>
      <c r="H23" s="16">
        <f>'Income Statement'!O14</f>
        <v>163.37881721760041</v>
      </c>
      <c r="I23" s="16">
        <f>'Income Statement'!P14</f>
        <v>166.8455085989487</v>
      </c>
      <c r="J23" s="39">
        <f>'Income Statement'!Q14</f>
        <v>170.38575877658516</v>
      </c>
    </row>
    <row r="24" spans="2:10">
      <c r="B24" s="33"/>
      <c r="C24" s="16"/>
      <c r="J24" s="32"/>
    </row>
    <row r="25" spans="2:10">
      <c r="B25" s="33" t="s">
        <v>145</v>
      </c>
      <c r="C25" s="16">
        <f>SUM(C22:C23)</f>
        <v>118.63537013775712</v>
      </c>
      <c r="D25" s="16">
        <f t="shared" ref="D25:J25" si="2">SUM(D22:D23)</f>
        <v>117.63667662888219</v>
      </c>
      <c r="E25" s="16">
        <f t="shared" si="2"/>
        <v>116.10783277484629</v>
      </c>
      <c r="F25" s="16">
        <f t="shared" si="2"/>
        <v>113.96391463922865</v>
      </c>
      <c r="G25" s="16">
        <f t="shared" si="2"/>
        <v>111.10753144973299</v>
      </c>
      <c r="H25" s="16">
        <f t="shared" si="2"/>
        <v>107.4270172676883</v>
      </c>
      <c r="I25" s="16">
        <f t="shared" si="2"/>
        <v>102.7943608130505</v>
      </c>
      <c r="J25" s="39">
        <f t="shared" si="2"/>
        <v>97.062835539735559</v>
      </c>
    </row>
    <row r="26" spans="2:10">
      <c r="B26" s="33"/>
      <c r="C26" s="16"/>
      <c r="J26" s="32"/>
    </row>
    <row r="27" spans="2:10">
      <c r="B27" s="42" t="s">
        <v>146</v>
      </c>
      <c r="C27" s="16"/>
      <c r="J27" s="32"/>
    </row>
    <row r="28" spans="2:10" ht="12" customHeight="1">
      <c r="B28" s="219" t="s">
        <v>147</v>
      </c>
      <c r="C28" s="16">
        <f>('Debt Repayment '!C15+'Debt Repayment '!C26)*-1</f>
        <v>-206.02246501059582</v>
      </c>
      <c r="D28" s="16">
        <f>('Debt Repayment '!D15+'Debt Repayment '!D26)*-1</f>
        <v>-158.92200558940428</v>
      </c>
      <c r="E28" s="16">
        <f>('Debt Repayment '!E15+'Debt Repayment '!E26)*-1</f>
        <v>0</v>
      </c>
      <c r="F28" s="16">
        <f>('Debt Repayment '!F15+'Debt Repayment '!F26)*-1</f>
        <v>0</v>
      </c>
      <c r="G28" s="16">
        <f>('Debt Repayment '!G15+'Debt Repayment '!G26)*-1</f>
        <v>0</v>
      </c>
      <c r="H28" s="16">
        <f>('Debt Repayment '!H15+'Debt Repayment '!H26)*-1</f>
        <v>0</v>
      </c>
      <c r="I28" s="16">
        <f>('Debt Repayment '!I15+'Debt Repayment '!I26)*-1</f>
        <v>0</v>
      </c>
      <c r="J28" s="39">
        <f>('Debt Repayment '!J15+'Debt Repayment '!J26)*-1</f>
        <v>0</v>
      </c>
    </row>
    <row r="29" spans="2:10">
      <c r="B29" s="33" t="s">
        <v>148</v>
      </c>
      <c r="C29" s="16">
        <f>('Debt Repayment '!C16+'Debt Repayment '!C27)*-1</f>
        <v>-7.3740250383000019</v>
      </c>
      <c r="D29" s="16">
        <f>('Debt Repayment '!D16+'Debt Repayment '!D27)*-1</f>
        <v>-7.3740250383000019</v>
      </c>
      <c r="E29" s="16">
        <f>('Debt Repayment '!E16+'Debt Repayment '!E27)*-1</f>
        <v>-7.3740250383000019</v>
      </c>
      <c r="F29" s="16">
        <f>('Debt Repayment '!F16+'Debt Repayment '!F27)*-1</f>
        <v>-7.3740250383000019</v>
      </c>
      <c r="G29" s="16">
        <f>('Debt Repayment '!G16+'Debt Repayment '!G27)*-1</f>
        <v>-7.3740250383000019</v>
      </c>
      <c r="H29" s="16">
        <f>('Debt Repayment '!H16+'Debt Repayment '!H27)*-1</f>
        <v>-7.3740250383000019</v>
      </c>
      <c r="I29" s="16">
        <f>('Debt Repayment '!I16+'Debt Repayment '!I27)*-1</f>
        <v>-7.3740250383000019</v>
      </c>
      <c r="J29" s="39">
        <f>('Debt Repayment '!J16+'Debt Repayment '!J27)*-1</f>
        <v>-194.18265934190003</v>
      </c>
    </row>
    <row r="30" spans="2:10">
      <c r="B30" s="33" t="s">
        <v>149</v>
      </c>
      <c r="C30" s="16">
        <f>('Debt Repayment '!C17+'Debt Repayment '!C28)*-1</f>
        <v>0</v>
      </c>
      <c r="D30" s="16">
        <f>('Debt Repayment '!D17+'Debt Repayment '!D28)*-1</f>
        <v>0</v>
      </c>
      <c r="E30" s="16">
        <f>('Debt Repayment '!E17+'Debt Repayment '!E28)*-1</f>
        <v>0</v>
      </c>
      <c r="F30" s="16">
        <f>('Debt Repayment '!F17+'Debt Repayment '!F28)*-1</f>
        <v>0</v>
      </c>
      <c r="G30" s="16">
        <f>('Debt Repayment '!G17+'Debt Repayment '!G28)*-1</f>
        <v>0</v>
      </c>
      <c r="H30" s="16">
        <f>('Debt Repayment '!H17+'Debt Repayment '!H28)*-1</f>
        <v>0</v>
      </c>
      <c r="I30" s="16">
        <f>('Debt Repayment '!I17+'Debt Repayment '!I28)*-1</f>
        <v>0</v>
      </c>
      <c r="J30" s="39">
        <f>('Debt Repayment '!J17+'Debt Repayment '!J28)*-1</f>
        <v>-96.60294810000002</v>
      </c>
    </row>
    <row r="31" spans="2:10">
      <c r="B31" s="33" t="s">
        <v>150</v>
      </c>
      <c r="C31" s="16">
        <f>('Debt Repayment '!C18+'Debt Repayment '!C29)*-1</f>
        <v>0</v>
      </c>
      <c r="D31" s="16">
        <f>('Debt Repayment '!D18+'Debt Repayment '!D29)*-1</f>
        <v>0</v>
      </c>
      <c r="E31" s="16">
        <f>('Debt Repayment '!E18+'Debt Repayment '!E29)*-1</f>
        <v>0</v>
      </c>
      <c r="F31" s="16">
        <f>('Debt Repayment '!F18+'Debt Repayment '!F29)*-1</f>
        <v>0</v>
      </c>
      <c r="G31" s="16">
        <f>('Debt Repayment '!G18+'Debt Repayment '!G29)*-1</f>
        <v>0</v>
      </c>
      <c r="H31" s="16">
        <f>('Debt Repayment '!H18+'Debt Repayment '!H29)*-1</f>
        <v>0</v>
      </c>
      <c r="I31" s="16">
        <f>('Debt Repayment '!I18+'Debt Repayment '!I29)*-1</f>
        <v>-48.30147405000001</v>
      </c>
      <c r="J31" s="39">
        <f>('Debt Repayment '!J18+'Debt Repayment '!J29)*-1</f>
        <v>0</v>
      </c>
    </row>
    <row r="32" spans="2:10">
      <c r="B32" s="33" t="s">
        <v>151</v>
      </c>
      <c r="C32" s="16">
        <f>('Debt Repayment '!C19+'Debt Repayment '!C30)*-1</f>
        <v>0</v>
      </c>
      <c r="D32" s="16">
        <f>('Debt Repayment '!D19+'Debt Repayment '!D30)*-1</f>
        <v>0</v>
      </c>
      <c r="E32" s="16">
        <f>('Debt Repayment '!E19+'Debt Repayment '!E30)*-1</f>
        <v>0</v>
      </c>
      <c r="F32" s="16">
        <f>('Debt Repayment '!F19+'Debt Repayment '!F30)*-1</f>
        <v>0</v>
      </c>
      <c r="G32" s="16">
        <f>('Debt Repayment '!G19+'Debt Repayment '!G30)*-1</f>
        <v>0</v>
      </c>
      <c r="H32" s="16">
        <f>('Debt Repayment '!H19+'Debt Repayment '!H30)*-1</f>
        <v>-28.229528167000005</v>
      </c>
      <c r="I32" s="16">
        <f>('Debt Repayment '!I19+'Debt Repayment '!I30)*-1</f>
        <v>0</v>
      </c>
      <c r="J32" s="39">
        <f>('Debt Repayment '!J19+'Debt Repayment '!J30)*-1</f>
        <v>0</v>
      </c>
    </row>
    <row r="33" spans="2:10">
      <c r="B33" s="33" t="s">
        <v>152</v>
      </c>
      <c r="C33" s="16">
        <f>('Debt Repayment '!C20+'Debt Repayment '!C31)*-1</f>
        <v>-2.9882511945600001</v>
      </c>
      <c r="D33" s="16">
        <f>('Debt Repayment '!D20+'Debt Repayment '!D31)*-1</f>
        <v>-14.752160568747165</v>
      </c>
      <c r="E33" s="16">
        <f>('Debt Repayment '!E20+'Debt Repayment '!E31)*-1</f>
        <v>-2.8682171646928367</v>
      </c>
      <c r="F33" s="16">
        <f>('Debt Repayment '!F20+'Debt Repayment '!F31)*-1</f>
        <v>0</v>
      </c>
      <c r="G33" s="16">
        <f>('Debt Repayment '!G20+'Debt Repayment '!G31)*-1</f>
        <v>0</v>
      </c>
      <c r="H33" s="16">
        <f>('Debt Repayment '!H20+'Debt Repayment '!H31)*-1</f>
        <v>0</v>
      </c>
      <c r="I33" s="16">
        <f>('Debt Repayment '!I20+'Debt Repayment '!I31)*-1</f>
        <v>0</v>
      </c>
      <c r="J33" s="39">
        <f>('Debt Repayment '!J20+'Debt Repayment '!J31)*-1</f>
        <v>0</v>
      </c>
    </row>
    <row r="34" spans="2:10">
      <c r="B34" s="33"/>
      <c r="C34" s="16"/>
      <c r="D34" s="16"/>
      <c r="E34" s="16"/>
      <c r="F34" s="16"/>
      <c r="G34" s="16"/>
      <c r="H34" s="16"/>
      <c r="I34" s="16"/>
      <c r="J34" s="39"/>
    </row>
    <row r="35" spans="2:10">
      <c r="B35" s="33" t="s">
        <v>153</v>
      </c>
      <c r="C35" s="16">
        <f>SUM(C28:C33)</f>
        <v>-216.38474124345584</v>
      </c>
      <c r="D35" s="16">
        <f t="shared" ref="D35:J35" si="3">SUM(D28:D33)</f>
        <v>-181.04819119645146</v>
      </c>
      <c r="E35" s="16">
        <f t="shared" si="3"/>
        <v>-10.242242202992838</v>
      </c>
      <c r="F35" s="16">
        <f t="shared" si="3"/>
        <v>-7.3740250383000019</v>
      </c>
      <c r="G35" s="16">
        <f t="shared" si="3"/>
        <v>-7.3740250383000019</v>
      </c>
      <c r="H35" s="16">
        <f t="shared" si="3"/>
        <v>-35.60355320530001</v>
      </c>
      <c r="I35" s="16">
        <f t="shared" si="3"/>
        <v>-55.675499088300015</v>
      </c>
      <c r="J35" s="39">
        <f t="shared" si="3"/>
        <v>-290.78560744190008</v>
      </c>
    </row>
    <row r="36" spans="2:10">
      <c r="B36" s="33"/>
      <c r="J36" s="32"/>
    </row>
    <row r="37" spans="2:10">
      <c r="B37" s="33" t="s">
        <v>154</v>
      </c>
      <c r="C37" s="16">
        <f>'Balance sheet '!H7</f>
        <v>16.43</v>
      </c>
      <c r="D37" s="16">
        <f>'Balance sheet '!L7</f>
        <v>10</v>
      </c>
      <c r="E37" s="16">
        <f>'Balance sheet '!M7</f>
        <v>10</v>
      </c>
      <c r="F37" s="16">
        <f>'Balance sheet '!N7</f>
        <v>208.67517023760172</v>
      </c>
      <c r="G37" s="16">
        <f>'Balance sheet '!O7</f>
        <v>429.87549804742963</v>
      </c>
      <c r="H37" s="16">
        <f>'Balance sheet '!P7</f>
        <v>672.13500581000994</v>
      </c>
      <c r="I37" s="16">
        <f>'Balance sheet '!Q7</f>
        <v>912.56421340254838</v>
      </c>
      <c r="J37" s="39">
        <f>'Balance sheet '!R7</f>
        <v>1162.0356929935265</v>
      </c>
    </row>
    <row r="38" spans="2:10">
      <c r="B38" s="141" t="s">
        <v>155</v>
      </c>
      <c r="C38" s="220">
        <f t="shared" ref="C38:J38" si="4">SUM(C19,C25,C35,C37)</f>
        <v>9.9999999999999929</v>
      </c>
      <c r="D38" s="220">
        <f t="shared" si="4"/>
        <v>10</v>
      </c>
      <c r="E38" s="220">
        <f t="shared" si="4"/>
        <v>208.67517023760172</v>
      </c>
      <c r="F38" s="220">
        <f t="shared" si="4"/>
        <v>429.87549804742957</v>
      </c>
      <c r="G38" s="220">
        <f t="shared" si="4"/>
        <v>672.13500581001006</v>
      </c>
      <c r="H38" s="220">
        <f t="shared" si="4"/>
        <v>912.56421340254838</v>
      </c>
      <c r="I38" s="220">
        <f t="shared" si="4"/>
        <v>1162.0356929935265</v>
      </c>
      <c r="J38" s="175">
        <f t="shared" si="4"/>
        <v>1212.8188607650518</v>
      </c>
    </row>
    <row r="40" spans="2:10" ht="18">
      <c r="B40" s="221" t="s">
        <v>156</v>
      </c>
      <c r="C40" s="99"/>
      <c r="D40" s="99"/>
      <c r="E40" s="99"/>
      <c r="F40" s="99"/>
      <c r="G40" s="99"/>
      <c r="H40" s="99"/>
      <c r="I40" s="99"/>
      <c r="J40" s="66"/>
    </row>
    <row r="41" spans="2:10">
      <c r="B41" s="33"/>
      <c r="J41" s="32"/>
    </row>
    <row r="42" spans="2:10">
      <c r="B42" s="33" t="s">
        <v>157</v>
      </c>
      <c r="C42" s="16">
        <f>'Income Statement'!J11+'Income Statement'!J14</f>
        <v>325.94232777546449</v>
      </c>
      <c r="D42" s="16">
        <f>'Income Statement'!K11+'Income Statement'!K14</f>
        <v>354.95251977574031</v>
      </c>
      <c r="E42" s="16">
        <f>'Income Statement'!L11+'Income Statement'!L14</f>
        <v>387.77652180615098</v>
      </c>
      <c r="F42" s="16">
        <f>'Income Statement'!M11+'Income Statement'!M14</f>
        <v>424.95822341074916</v>
      </c>
      <c r="G42" s="16">
        <f>'Income Statement'!N11+'Income Statement'!N14</f>
        <v>467.1200716991948</v>
      </c>
      <c r="H42" s="16">
        <f>'Income Statement'!O11+'Income Statement'!O14</f>
        <v>514.97443932675503</v>
      </c>
      <c r="I42" s="16">
        <f>'Income Statement'!P11+'Income Statement'!P14</f>
        <v>569.33663797723875</v>
      </c>
      <c r="J42" s="39">
        <f>'Income Statement'!Q11+'Income Statement'!Q14</f>
        <v>631.13981554330451</v>
      </c>
    </row>
    <row r="43" spans="2:10">
      <c r="B43" s="33" t="s">
        <v>158</v>
      </c>
      <c r="C43" s="6">
        <f>'D&amp;A'!F26</f>
        <v>0</v>
      </c>
      <c r="D43" s="6">
        <f>'D&amp;A'!G26</f>
        <v>0</v>
      </c>
      <c r="E43" s="6">
        <f>'D&amp;A'!H26</f>
        <v>0</v>
      </c>
      <c r="F43" s="6">
        <f>'D&amp;A'!I26</f>
        <v>0</v>
      </c>
      <c r="G43" s="6">
        <f>'D&amp;A'!J26</f>
        <v>0</v>
      </c>
      <c r="H43" s="6">
        <f>'D&amp;A'!K26</f>
        <v>0</v>
      </c>
      <c r="I43" s="6">
        <f>'D&amp;A'!L26</f>
        <v>0</v>
      </c>
      <c r="J43" s="86">
        <f>'D&amp;A'!M26</f>
        <v>0</v>
      </c>
    </row>
    <row r="44" spans="2:10">
      <c r="B44" s="33" t="s">
        <v>159</v>
      </c>
      <c r="C44" s="16">
        <f>SUM(C42:C43)</f>
        <v>325.94232777546449</v>
      </c>
      <c r="D44" s="16">
        <f t="shared" ref="D44:I44" si="5">SUM(D42:D43)</f>
        <v>354.95251977574031</v>
      </c>
      <c r="E44" s="16">
        <f t="shared" si="5"/>
        <v>387.77652180615098</v>
      </c>
      <c r="F44" s="16">
        <f t="shared" si="5"/>
        <v>424.95822341074916</v>
      </c>
      <c r="G44" s="16">
        <f t="shared" si="5"/>
        <v>467.1200716991948</v>
      </c>
      <c r="H44" s="16">
        <f t="shared" si="5"/>
        <v>514.97443932675503</v>
      </c>
      <c r="I44" s="16">
        <f t="shared" si="5"/>
        <v>569.33663797723875</v>
      </c>
      <c r="J44" s="39">
        <f>SUM(J42:J43)</f>
        <v>631.13981554330451</v>
      </c>
    </row>
    <row r="45" spans="2:10">
      <c r="B45" s="33" t="s">
        <v>160</v>
      </c>
      <c r="C45" s="16">
        <f>(Assumptions!$M$9*'Cash Flow Statement '!C44)*-1</f>
        <v>-44.774229728281448</v>
      </c>
      <c r="D45" s="16">
        <f>(Assumptions!$M$9*'Cash Flow Statement '!D44)*-1</f>
        <v>-48.759318163854921</v>
      </c>
      <c r="E45" s="16">
        <f>(Assumptions!$M$9*'Cash Flow Statement '!E44)*-1</f>
        <v>-53.2683042091519</v>
      </c>
      <c r="F45" s="16">
        <f>(Assumptions!$M$9*'Cash Flow Statement '!F44)*-1</f>
        <v>-58.375901190172193</v>
      </c>
      <c r="G45" s="16">
        <f>(Assumptions!$M$9*'Cash Flow Statement '!G44)*-1</f>
        <v>-64.167613772946225</v>
      </c>
      <c r="H45" s="16">
        <f>(Assumptions!$M$9*'Cash Flow Statement '!H44)*-1</f>
        <v>-70.741299566630687</v>
      </c>
      <c r="I45" s="16">
        <f>(Assumptions!$M$9*'Cash Flow Statement '!I44)*-1</f>
        <v>-78.208956766980506</v>
      </c>
      <c r="J45" s="39">
        <f>(Assumptions!$M$9*'Cash Flow Statement '!J44)*-1</f>
        <v>-86.698770560625206</v>
      </c>
    </row>
    <row r="46" spans="2:10">
      <c r="B46" s="216" t="s">
        <v>161</v>
      </c>
      <c r="C46" s="16">
        <f>SUM(C44:C45)</f>
        <v>281.16809804718304</v>
      </c>
      <c r="D46" s="16">
        <f t="shared" ref="D46:J46" si="6">SUM(D44:D45)</f>
        <v>306.1932016118854</v>
      </c>
      <c r="E46" s="16">
        <f t="shared" si="6"/>
        <v>334.50821759699909</v>
      </c>
      <c r="F46" s="16">
        <f t="shared" si="6"/>
        <v>366.58232222057694</v>
      </c>
      <c r="G46" s="16">
        <f t="shared" si="6"/>
        <v>402.9524579262486</v>
      </c>
      <c r="H46" s="16">
        <f t="shared" si="6"/>
        <v>444.23313976012435</v>
      </c>
      <c r="I46" s="16">
        <f t="shared" si="6"/>
        <v>491.12768121025823</v>
      </c>
      <c r="J46" s="39">
        <f t="shared" si="6"/>
        <v>544.44104498267927</v>
      </c>
    </row>
    <row r="47" spans="2:10">
      <c r="B47" s="33" t="s">
        <v>162</v>
      </c>
      <c r="C47" s="16">
        <f>'D&amp;A'!F27</f>
        <v>23.750847605860649</v>
      </c>
      <c r="D47" s="16">
        <f>'D&amp;A'!G27</f>
        <v>26.078052431254527</v>
      </c>
      <c r="E47" s="16">
        <f>'D&amp;A'!H27</f>
        <v>28.409123510133078</v>
      </c>
      <c r="F47" s="16">
        <f>'D&amp;A'!I27</f>
        <v>31.967133042298109</v>
      </c>
      <c r="G47" s="16">
        <f>'D&amp;A'!J27</f>
        <v>35.225574694896913</v>
      </c>
      <c r="H47" s="16">
        <f>'D&amp;A'!K27</f>
        <v>41.903549688635927</v>
      </c>
      <c r="I47" s="16">
        <f>'D&amp;A'!L27</f>
        <v>45.590561056781944</v>
      </c>
      <c r="J47" s="39">
        <f>'D&amp;A'!M27</f>
        <v>52.922853380466904</v>
      </c>
    </row>
    <row r="48" spans="2:10">
      <c r="B48" s="33" t="s">
        <v>163</v>
      </c>
      <c r="C48" s="16">
        <f>('D&amp;A'!$C15)*-1</f>
        <v>-28.460976058606519</v>
      </c>
      <c r="D48" s="16">
        <f>('D&amp;A'!$C16)*-1</f>
        <v>-32.580867555514267</v>
      </c>
      <c r="E48" s="16">
        <f>('D&amp;A'!$C17)*-1</f>
        <v>-37.297137262056886</v>
      </c>
      <c r="F48" s="16">
        <f>('D&amp;A'!$C18)*-1</f>
        <v>-42.69611438598033</v>
      </c>
      <c r="G48" s="16">
        <f>('D&amp;A'!$C19)*-1</f>
        <v>-48.876624788982063</v>
      </c>
      <c r="H48" s="16">
        <f>('D&amp;A'!$C20)*-1</f>
        <v>-55.951799949912115</v>
      </c>
      <c r="I48" s="16">
        <f>('D&amp;A'!$C21)*-1</f>
        <v>-64.051147785898195</v>
      </c>
      <c r="J48" s="39">
        <f>('D&amp;A'!$C22)*-1</f>
        <v>-73.322923236849604</v>
      </c>
    </row>
    <row r="49" spans="2:10">
      <c r="B49" s="33" t="s">
        <v>164</v>
      </c>
      <c r="C49" s="16">
        <f>C10</f>
        <v>-0.31426474092453116</v>
      </c>
      <c r="D49" s="16">
        <f t="shared" ref="D49:J49" si="7">D10</f>
        <v>-66.030977739993673</v>
      </c>
      <c r="E49" s="16">
        <f t="shared" si="7"/>
        <v>-75.589345069466972</v>
      </c>
      <c r="F49" s="16">
        <f t="shared" si="7"/>
        <v>-86.531341555014464</v>
      </c>
      <c r="G49" s="16">
        <f t="shared" si="7"/>
        <v>-99.057255548772702</v>
      </c>
      <c r="H49" s="16">
        <f t="shared" si="7"/>
        <v>-113.39636830449999</v>
      </c>
      <c r="I49" s="16">
        <f t="shared" si="7"/>
        <v>-129.81115086838375</v>
      </c>
      <c r="J49" s="39">
        <f t="shared" si="7"/>
        <v>-148.60206849415982</v>
      </c>
    </row>
    <row r="50" spans="2:10">
      <c r="B50" s="42" t="s">
        <v>165</v>
      </c>
      <c r="C50" s="91">
        <f>SUM(C46:C49)</f>
        <v>276.14370485351259</v>
      </c>
      <c r="D50" s="91">
        <f t="shared" ref="D50:J50" si="8">SUM(D46:D49)</f>
        <v>233.65940874763203</v>
      </c>
      <c r="E50" s="91">
        <f t="shared" si="8"/>
        <v>250.03085877560835</v>
      </c>
      <c r="F50" s="91">
        <f t="shared" si="8"/>
        <v>269.32199932188024</v>
      </c>
      <c r="G50" s="91">
        <f t="shared" si="8"/>
        <v>290.2441522833908</v>
      </c>
      <c r="H50" s="91">
        <f t="shared" si="8"/>
        <v>316.78852119434816</v>
      </c>
      <c r="I50" s="91">
        <f t="shared" si="8"/>
        <v>342.85594361275821</v>
      </c>
      <c r="J50" s="92">
        <f t="shared" si="8"/>
        <v>375.43890663213671</v>
      </c>
    </row>
    <row r="51" spans="2:10">
      <c r="B51" s="33"/>
      <c r="C51" s="16"/>
      <c r="J51" s="32"/>
    </row>
    <row r="52" spans="2:10">
      <c r="B52" s="33" t="s">
        <v>166</v>
      </c>
      <c r="C52" s="16">
        <f>'Income Statement'!J26</f>
        <v>222.47913443712622</v>
      </c>
      <c r="D52" s="16">
        <f>'Income Statement'!K26</f>
        <v>261.58198406070488</v>
      </c>
      <c r="E52" s="16">
        <f>'Income Statement'!L26</f>
        <v>301.89477126198534</v>
      </c>
      <c r="F52" s="16">
        <f>'Income Statement'!M26</f>
        <v>334.83467574682459</v>
      </c>
      <c r="G52" s="16">
        <f>'Income Statement'!N26</f>
        <v>371.84183844373825</v>
      </c>
      <c r="H52" s="16">
        <f>'Income Statement'!O26</f>
        <v>413.47737936361466</v>
      </c>
      <c r="I52" s="16">
        <f>'Income Statement'!P26</f>
        <v>463.91871627677813</v>
      </c>
      <c r="J52" s="39">
        <f>'Income Statement'!Q26</f>
        <v>521.57091356396779</v>
      </c>
    </row>
    <row r="53" spans="2:10">
      <c r="B53" s="33" t="s">
        <v>167</v>
      </c>
      <c r="C53" s="17">
        <f>'D&amp;A'!F27+'D&amp;A'!F29</f>
        <v>26.802780716068607</v>
      </c>
      <c r="D53" s="17">
        <f>'D&amp;A'!G27+'D&amp;A'!G29</f>
        <v>33.509319188662488</v>
      </c>
      <c r="E53" s="17">
        <f>'D&amp;A'!H27+'D&amp;A'!H29</f>
        <v>30.124930511509039</v>
      </c>
      <c r="F53" s="17">
        <f>'D&amp;A'!I27+'D&amp;A'!I29</f>
        <v>33.497462383322066</v>
      </c>
      <c r="G53" s="17">
        <f>'D&amp;A'!J27+'D&amp;A'!J29</f>
        <v>36.755904035920871</v>
      </c>
      <c r="H53" s="17">
        <f>'D&amp;A'!K27+'D&amp;A'!K29</f>
        <v>43.433879029659884</v>
      </c>
      <c r="I53" s="17">
        <f>'D&amp;A'!L27+'D&amp;A'!L29</f>
        <v>46.885644329747571</v>
      </c>
      <c r="J53" s="127">
        <f>'D&amp;A'!M27+'D&amp;A'!M29</f>
        <v>53.976429283182526</v>
      </c>
    </row>
    <row r="54" spans="2:10">
      <c r="B54" s="33" t="s">
        <v>168</v>
      </c>
      <c r="C54" s="17">
        <f>C22</f>
        <v>-28.460976058606519</v>
      </c>
      <c r="D54" s="17">
        <f t="shared" ref="D54:J54" si="9">D22</f>
        <v>-32.580867555514267</v>
      </c>
      <c r="E54" s="17">
        <f t="shared" si="9"/>
        <v>-37.297137262056886</v>
      </c>
      <c r="F54" s="17">
        <f t="shared" si="9"/>
        <v>-42.69611438598033</v>
      </c>
      <c r="G54" s="17">
        <f t="shared" si="9"/>
        <v>-48.876624788982063</v>
      </c>
      <c r="H54" s="17">
        <f t="shared" si="9"/>
        <v>-55.951799949912115</v>
      </c>
      <c r="I54" s="17">
        <f t="shared" si="9"/>
        <v>-64.051147785898195</v>
      </c>
      <c r="J54" s="127">
        <f t="shared" si="9"/>
        <v>-73.322923236849604</v>
      </c>
    </row>
    <row r="55" spans="2:10">
      <c r="B55" s="33" t="s">
        <v>169</v>
      </c>
      <c r="C55" s="17">
        <f>C10</f>
        <v>-0.31426474092453116</v>
      </c>
      <c r="D55" s="17">
        <f t="shared" ref="D55:J55" si="10">D10</f>
        <v>-66.030977739993673</v>
      </c>
      <c r="E55" s="17">
        <f t="shared" si="10"/>
        <v>-75.589345069466972</v>
      </c>
      <c r="F55" s="17">
        <f t="shared" si="10"/>
        <v>-86.531341555014464</v>
      </c>
      <c r="G55" s="17">
        <f t="shared" si="10"/>
        <v>-99.057255548772702</v>
      </c>
      <c r="H55" s="17">
        <f t="shared" si="10"/>
        <v>-113.39636830449999</v>
      </c>
      <c r="I55" s="17">
        <f t="shared" si="10"/>
        <v>-129.81115086838375</v>
      </c>
      <c r="J55" s="127">
        <f t="shared" si="10"/>
        <v>-148.60206849415982</v>
      </c>
    </row>
    <row r="56" spans="2:10">
      <c r="B56" s="33" t="s">
        <v>170</v>
      </c>
      <c r="C56" s="17">
        <f>SUM(C28:C33)</f>
        <v>-216.38474124345584</v>
      </c>
      <c r="D56" s="17">
        <f t="shared" ref="D56:J56" si="11">SUM(D28:D33)</f>
        <v>-181.04819119645146</v>
      </c>
      <c r="E56" s="17">
        <f t="shared" si="11"/>
        <v>-10.242242202992838</v>
      </c>
      <c r="F56" s="17">
        <f t="shared" si="11"/>
        <v>-7.3740250383000019</v>
      </c>
      <c r="G56" s="17">
        <f t="shared" si="11"/>
        <v>-7.3740250383000019</v>
      </c>
      <c r="H56" s="17">
        <f t="shared" si="11"/>
        <v>-35.60355320530001</v>
      </c>
      <c r="I56" s="17">
        <f t="shared" si="11"/>
        <v>-55.675499088300015</v>
      </c>
      <c r="J56" s="127">
        <f t="shared" si="11"/>
        <v>-290.78560744190008</v>
      </c>
    </row>
    <row r="57" spans="2:10">
      <c r="B57" s="226" t="s">
        <v>156</v>
      </c>
      <c r="C57" s="227">
        <f>SUM(C52:C56)</f>
        <v>4.1219331102079479</v>
      </c>
      <c r="D57" s="227">
        <f t="shared" ref="D57:J57" si="12">SUM(D52:D56)</f>
        <v>15.431266757407968</v>
      </c>
      <c r="E57" s="227">
        <f t="shared" si="12"/>
        <v>208.89097723897771</v>
      </c>
      <c r="F57" s="227">
        <f t="shared" si="12"/>
        <v>231.73065715085184</v>
      </c>
      <c r="G57" s="227">
        <f t="shared" si="12"/>
        <v>253.28983710360436</v>
      </c>
      <c r="H57" s="227">
        <f t="shared" si="12"/>
        <v>251.95953693356242</v>
      </c>
      <c r="I57" s="227">
        <f t="shared" si="12"/>
        <v>261.26656286394376</v>
      </c>
      <c r="J57" s="228">
        <f t="shared" si="12"/>
        <v>62.836743674240779</v>
      </c>
    </row>
    <row r="58" spans="2:10">
      <c r="C58" s="18"/>
    </row>
  </sheetData>
  <mergeCells count="1">
    <mergeCell ref="C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1C91-0D57-43FC-A541-8E3DB17F04AA}">
  <dimension ref="B4:J36"/>
  <sheetViews>
    <sheetView showGridLines="0" workbookViewId="0">
      <selection activeCell="B4" sqref="B4"/>
    </sheetView>
  </sheetViews>
  <sheetFormatPr defaultRowHeight="14.45"/>
  <cols>
    <col min="2" max="2" width="34.85546875" bestFit="1" customWidth="1"/>
    <col min="3" max="3" width="10.140625" bestFit="1" customWidth="1"/>
  </cols>
  <sheetData>
    <row r="4" spans="2:10" ht="15.6">
      <c r="B4" s="304" t="s">
        <v>171</v>
      </c>
      <c r="C4" s="230">
        <v>2026</v>
      </c>
      <c r="D4" s="231">
        <v>2027</v>
      </c>
      <c r="E4" s="231">
        <v>2028</v>
      </c>
      <c r="F4" s="231">
        <v>2029</v>
      </c>
      <c r="G4" s="231">
        <v>2030</v>
      </c>
      <c r="H4" s="231">
        <v>2031</v>
      </c>
      <c r="I4" s="231">
        <v>2032</v>
      </c>
      <c r="J4" s="232">
        <v>2033</v>
      </c>
    </row>
    <row r="5" spans="2:10">
      <c r="B5" s="33"/>
      <c r="C5" s="234">
        <v>1</v>
      </c>
      <c r="D5" s="234">
        <v>2</v>
      </c>
      <c r="E5" s="234">
        <v>3</v>
      </c>
      <c r="F5" s="234">
        <v>4</v>
      </c>
      <c r="G5" s="234">
        <v>5</v>
      </c>
      <c r="H5" s="235">
        <v>6</v>
      </c>
      <c r="I5" s="235">
        <v>7</v>
      </c>
      <c r="J5" s="235">
        <v>8</v>
      </c>
    </row>
    <row r="6" spans="2:10">
      <c r="B6" s="233" t="s">
        <v>172</v>
      </c>
      <c r="J6" s="32"/>
    </row>
    <row r="7" spans="2:10">
      <c r="B7" s="33" t="s">
        <v>173</v>
      </c>
      <c r="C7" s="6">
        <f>'Balance sheet '!H7</f>
        <v>16.43</v>
      </c>
      <c r="D7" s="6">
        <f>'Balance sheet '!L7</f>
        <v>10</v>
      </c>
      <c r="E7" s="6">
        <f>'Balance sheet '!M7</f>
        <v>10</v>
      </c>
      <c r="F7" s="6">
        <f>'Balance sheet '!N7</f>
        <v>208.67517023760172</v>
      </c>
      <c r="G7" s="6">
        <f>'Balance sheet '!O7</f>
        <v>429.87549804742963</v>
      </c>
      <c r="H7" s="6">
        <f>'Balance sheet '!P7</f>
        <v>672.13500581000994</v>
      </c>
      <c r="I7" s="6">
        <f>'Balance sheet '!Q7</f>
        <v>912.56421340254838</v>
      </c>
      <c r="J7" s="86">
        <f>'Balance sheet '!R7</f>
        <v>1162.0356929935265</v>
      </c>
    </row>
    <row r="8" spans="2:10">
      <c r="B8" s="33" t="s">
        <v>174</v>
      </c>
      <c r="C8" s="6">
        <f>'Cash Flow Statement '!C19</f>
        <v>91.319371105698707</v>
      </c>
      <c r="D8" s="6">
        <f>'Cash Flow Statement '!D19</f>
        <v>63.411514567569284</v>
      </c>
      <c r="E8" s="6">
        <f>'Cash Flow Statement '!E19</f>
        <v>92.809579665748274</v>
      </c>
      <c r="F8" s="6">
        <f>'Cash Flow Statement '!F19</f>
        <v>114.61043820889925</v>
      </c>
      <c r="G8" s="6">
        <f>'Cash Flow Statement '!G19</f>
        <v>138.52600135114741</v>
      </c>
      <c r="H8" s="6">
        <f>'Cash Flow Statement '!H19</f>
        <v>168.60574353015019</v>
      </c>
      <c r="I8" s="6">
        <f>'Cash Flow Statement '!I19</f>
        <v>202.35261786622763</v>
      </c>
      <c r="J8" s="86">
        <f>'Cash Flow Statement '!J19</f>
        <v>244.50593967368974</v>
      </c>
    </row>
    <row r="9" spans="2:10">
      <c r="B9" s="33" t="s">
        <v>175</v>
      </c>
      <c r="C9" s="6">
        <f>'Cash Flow Statement '!C25</f>
        <v>118.63537013775712</v>
      </c>
      <c r="D9" s="6">
        <f>'Cash Flow Statement '!D25</f>
        <v>117.63667662888219</v>
      </c>
      <c r="E9" s="6">
        <f>'Cash Flow Statement '!E25</f>
        <v>116.10783277484629</v>
      </c>
      <c r="F9" s="6">
        <f>'Cash Flow Statement '!F25</f>
        <v>113.96391463922865</v>
      </c>
      <c r="G9" s="6">
        <f>'Cash Flow Statement '!G25</f>
        <v>111.10753144973299</v>
      </c>
      <c r="H9" s="6">
        <f>'Cash Flow Statement '!H25</f>
        <v>107.4270172676883</v>
      </c>
      <c r="I9" s="6">
        <f>'Cash Flow Statement '!I25</f>
        <v>102.7943608130505</v>
      </c>
      <c r="J9" s="86">
        <f>'Cash Flow Statement '!J25</f>
        <v>97.062835539735559</v>
      </c>
    </row>
    <row r="10" spans="2:10">
      <c r="B10" s="33" t="s">
        <v>60</v>
      </c>
      <c r="C10" s="6">
        <f>SUM(C7:C9)</f>
        <v>226.38474124345584</v>
      </c>
      <c r="D10" s="6">
        <f>SUM(D7:D9)</f>
        <v>191.04819119645146</v>
      </c>
      <c r="E10" s="6">
        <f>SUM(E7:E9)</f>
        <v>218.91741244059455</v>
      </c>
      <c r="F10" s="6">
        <f>SUM(F7:F9)</f>
        <v>437.24952308572961</v>
      </c>
      <c r="G10" s="6">
        <f t="shared" ref="G10:J10" si="0">SUM(G7:G9)</f>
        <v>679.50903084830998</v>
      </c>
      <c r="H10" s="6">
        <f t="shared" si="0"/>
        <v>948.16776660784842</v>
      </c>
      <c r="I10" s="6">
        <f t="shared" si="0"/>
        <v>1217.7111920818265</v>
      </c>
      <c r="J10" s="86">
        <f t="shared" si="0"/>
        <v>1503.6044682069517</v>
      </c>
    </row>
    <row r="11" spans="2:10">
      <c r="B11" s="33" t="s">
        <v>176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v>10</v>
      </c>
      <c r="J11" s="86">
        <v>10</v>
      </c>
    </row>
    <row r="12" spans="2:10">
      <c r="B12" s="42" t="s">
        <v>172</v>
      </c>
      <c r="C12" s="87">
        <f>C10-C11</f>
        <v>216.38474124345584</v>
      </c>
      <c r="D12" s="87">
        <f>D10-D11</f>
        <v>181.04819119645146</v>
      </c>
      <c r="E12" s="87">
        <f>E10-E11</f>
        <v>208.91741244059455</v>
      </c>
      <c r="F12" s="87">
        <f>F10-F11</f>
        <v>427.24952308572961</v>
      </c>
      <c r="G12" s="87">
        <f t="shared" ref="G12:J12" si="1">G10-G11</f>
        <v>669.50903084830998</v>
      </c>
      <c r="H12" s="87">
        <f t="shared" si="1"/>
        <v>938.16776660784842</v>
      </c>
      <c r="I12" s="87">
        <f t="shared" si="1"/>
        <v>1207.7111920818265</v>
      </c>
      <c r="J12" s="88">
        <f t="shared" si="1"/>
        <v>1493.6044682069517</v>
      </c>
    </row>
    <row r="13" spans="2:10">
      <c r="B13" s="33"/>
      <c r="J13" s="32"/>
    </row>
    <row r="14" spans="2:10">
      <c r="B14" s="233" t="s">
        <v>177</v>
      </c>
      <c r="J14" s="32"/>
    </row>
    <row r="15" spans="2:10">
      <c r="B15" s="33" t="s">
        <v>178</v>
      </c>
      <c r="C15" s="17">
        <f>IF(Assumptions!$J$5='Debt Repayment '!C$5,'Balance sheet '!K34,IF(Assumptions!$J$5&gt;'Debt Repayment '!C$5,MIN('Balance sheet '!K34,Assumptions!$C$20*Assumptions!$J$6),0))</f>
        <v>72.988894120000026</v>
      </c>
      <c r="D15" s="17">
        <f>IF(Assumptions!$J$5='Debt Repayment '!D$5,'Balance sheet '!L34,IF(Assumptions!$J$5&gt;'Debt Repayment '!D5,MIN('Balance sheet '!L34,Assumptions!$C$20*Assumptions!$J$6),0))</f>
        <v>72.988894120000026</v>
      </c>
      <c r="E15" s="17">
        <f>IF(Assumptions!$J$5='Debt Repayment '!E$5,'Balance sheet '!M34,IF(Assumptions!$J$5&gt;'Debt Repayment '!E5,MIN('Balance sheet '!M34,Assumptions!$C$20*Assumptions!$J$6),0))</f>
        <v>0</v>
      </c>
      <c r="F15" s="17">
        <f>IF(Assumptions!$J$5='Debt Repayment '!F$5,'Balance sheet '!N34,IF(Assumptions!$J$5&gt;'Debt Repayment '!F5,MIN('Balance sheet '!N34,Assumptions!$C$20*Assumptions!$J$6),0))</f>
        <v>0</v>
      </c>
      <c r="G15" s="17">
        <f>IF(Assumptions!$J$5='Debt Repayment '!G$5,'Balance sheet '!O34,IF(Assumptions!$J$5&gt;'Debt Repayment '!G5,MIN('Balance sheet '!O34,Assumptions!$C$20*Assumptions!$J$6),0))</f>
        <v>0</v>
      </c>
      <c r="H15" s="17">
        <f>IF(Assumptions!$J$5='Debt Repayment '!H$5,'Balance sheet '!P34,IF(Assumptions!$J$5&gt;'Debt Repayment '!H5,MIN('Balance sheet '!P34,Assumptions!$C$20*Assumptions!$J$6),0))</f>
        <v>0</v>
      </c>
      <c r="I15" s="17">
        <f>IF(Assumptions!$J$5='Debt Repayment '!I$5,'Balance sheet '!Q34,IF(Assumptions!$J$5&gt;'Debt Repayment '!I5,MIN('Balance sheet '!Q34,Assumptions!$C$20*Assumptions!$J$6),0))</f>
        <v>0</v>
      </c>
      <c r="J15" s="127">
        <f>IF(Assumptions!$J$5='Debt Repayment '!J$5,'Balance sheet '!R34,IF(Assumptions!$J$5&gt;'Debt Repayment '!J5,MIN('Balance sheet '!R34,Assumptions!$C$20*Assumptions!$J$6),0))</f>
        <v>0</v>
      </c>
    </row>
    <row r="16" spans="2:10">
      <c r="B16" s="33" t="s">
        <v>179</v>
      </c>
      <c r="C16" s="17">
        <f>IF(Assumptions!$J$11=C$5,'Balance sheet '!K35,IF(Assumptions!$J$11&gt;'Debt Repayment '!C$5,MIN('Balance sheet '!K35,Assumptions!$C$21*Assumptions!$J$12),0))</f>
        <v>7.3740250383000019</v>
      </c>
      <c r="D16" s="17">
        <f>IF(Assumptions!$J$11=D$5,'Balance sheet '!L35,IF(Assumptions!$J$11&gt;'Debt Repayment '!D$5,MIN('Balance sheet '!L35,Assumptions!$C$21*Assumptions!$J$12),0))</f>
        <v>7.3740250383000019</v>
      </c>
      <c r="E16" s="17">
        <f>IF(Assumptions!$J$11=E$5,'Balance sheet '!M35,IF(Assumptions!$J$11&gt;'Debt Repayment '!E$5,MIN('Balance sheet '!M35,Assumptions!$C$21*Assumptions!$J$12),0))</f>
        <v>7.3740250383000019</v>
      </c>
      <c r="F16" s="17">
        <f>IF(Assumptions!$J$11=F$5,'Balance sheet '!N35,IF(Assumptions!$J$11&gt;'Debt Repayment '!F$5,MIN('Balance sheet '!N35,Assumptions!$C$21*Assumptions!$J$12),0))</f>
        <v>7.3740250383000019</v>
      </c>
      <c r="G16" s="17">
        <f>IF(Assumptions!$J$11=G$5,'Balance sheet '!O35,IF(Assumptions!$J$11&gt;'Debt Repayment '!G$5,MIN('Balance sheet '!O35,Assumptions!$C$21*Assumptions!$J$12),0))</f>
        <v>7.3740250383000019</v>
      </c>
      <c r="H16" s="17">
        <f>IF(Assumptions!$J$11=H$5,'Balance sheet '!P35,IF(Assumptions!$J$11&gt;'Debt Repayment '!H$5,MIN('Balance sheet '!P35,Assumptions!$C$21*Assumptions!$J$12),0))</f>
        <v>7.3740250383000019</v>
      </c>
      <c r="I16" s="17">
        <f>IF(Assumptions!$J$11=I$5,'Balance sheet '!Q35,IF(Assumptions!$J$11&gt;'Debt Repayment '!I$5,MIN('Balance sheet '!Q35,Assumptions!$C$21*Assumptions!$J$12),0))</f>
        <v>7.3740250383000019</v>
      </c>
      <c r="J16" s="127">
        <f>IF(Assumptions!$J$11=J$5,'Balance sheet '!R35,IF(Assumptions!$J$11&gt;'Debt Repayment '!J$5,MIN('Balance sheet '!R35,Assumptions!$C$21*Assumptions!$J$12),0))</f>
        <v>194.18265934190003</v>
      </c>
    </row>
    <row r="17" spans="2:10">
      <c r="B17" s="100" t="s">
        <v>37</v>
      </c>
      <c r="C17" s="17">
        <f>IF(Assumptions!$J$18='Debt Repayment '!C$5,'Balance sheet '!K36,0)</f>
        <v>0</v>
      </c>
      <c r="D17" s="17">
        <f>IF(Assumptions!$J$18='Debt Repayment '!D$5,'Balance sheet '!L36,0)</f>
        <v>0</v>
      </c>
      <c r="E17" s="17">
        <f>IF(Assumptions!$J$18='Debt Repayment '!E$5,'Balance sheet '!M36,0)</f>
        <v>0</v>
      </c>
      <c r="F17" s="17">
        <f>IF(Assumptions!$J$18='Debt Repayment '!F$5,'Balance sheet '!N36,0)</f>
        <v>0</v>
      </c>
      <c r="G17" s="17">
        <f>IF(Assumptions!$J$18='Debt Repayment '!G$5,'Balance sheet '!O36,0)</f>
        <v>0</v>
      </c>
      <c r="H17" s="17">
        <f>IF(Assumptions!$J$18='Debt Repayment '!H$5,'Balance sheet '!P36,0)</f>
        <v>0</v>
      </c>
      <c r="I17" s="17">
        <f>IF(Assumptions!$J$18='Debt Repayment '!I$5,'Balance sheet '!Q36,0)</f>
        <v>0</v>
      </c>
      <c r="J17" s="127">
        <f>IF(Assumptions!$J$18='Debt Repayment '!J$5,'Balance sheet '!R36,0)</f>
        <v>96.60294810000002</v>
      </c>
    </row>
    <row r="18" spans="2:10">
      <c r="B18" s="100" t="s">
        <v>49</v>
      </c>
      <c r="C18" s="17">
        <f>IF(Assumptions!$J$23='Debt Repayment '!C$5,'Balance sheet '!K37,0)</f>
        <v>0</v>
      </c>
      <c r="D18" s="17">
        <f>IF(Assumptions!$J$23='Debt Repayment '!D$5,'Balance sheet '!L37,0)</f>
        <v>0</v>
      </c>
      <c r="E18" s="17">
        <f>IF(Assumptions!$J$23='Debt Repayment '!E$5,'Balance sheet '!M37,0)</f>
        <v>0</v>
      </c>
      <c r="F18" s="17">
        <f>IF(Assumptions!$J$23='Debt Repayment '!F$5,'Balance sheet '!N37,0)</f>
        <v>0</v>
      </c>
      <c r="G18" s="17">
        <f>IF(Assumptions!$J$23='Debt Repayment '!G$5,'Balance sheet '!O37,0)</f>
        <v>0</v>
      </c>
      <c r="H18" s="17">
        <f>IF(Assumptions!$J$23='Debt Repayment '!H$5,'Balance sheet '!P37,0)</f>
        <v>0</v>
      </c>
      <c r="I18" s="17">
        <f>IF(Assumptions!$J$23='Debt Repayment '!I$5,'Balance sheet '!Q37,0)</f>
        <v>48.30147405000001</v>
      </c>
      <c r="J18" s="127">
        <f>IF(Assumptions!$J$23='Debt Repayment '!J$5,'Balance sheet '!R37,0)</f>
        <v>0</v>
      </c>
    </row>
    <row r="19" spans="2:10">
      <c r="B19" s="100" t="s">
        <v>51</v>
      </c>
      <c r="C19" s="17">
        <f>IF(Assumptions!$J$28='Debt Repayment '!C$5,'Balance sheet '!K38,0)</f>
        <v>0</v>
      </c>
      <c r="D19" s="17">
        <f>IF(Assumptions!$J$28='Debt Repayment '!D$5,'Balance sheet '!L38,0)</f>
        <v>0</v>
      </c>
      <c r="E19" s="17">
        <f>IF(Assumptions!$J$28='Debt Repayment '!E$5,'Balance sheet '!M38,0)</f>
        <v>0</v>
      </c>
      <c r="F19" s="17">
        <f>IF(Assumptions!$J$28='Debt Repayment '!F$5,'Balance sheet '!N38,0)</f>
        <v>0</v>
      </c>
      <c r="G19" s="17">
        <f>IF(Assumptions!$J$28='Debt Repayment '!G$5,'Balance sheet '!O38,0)</f>
        <v>0</v>
      </c>
      <c r="H19" s="17">
        <f>IF(Assumptions!$J$28='Debt Repayment '!H$5,'Balance sheet '!P38,0)</f>
        <v>28.229528167000005</v>
      </c>
      <c r="I19" s="17">
        <f>IF(Assumptions!$J$28='Debt Repayment '!I$5,'Balance sheet '!Q38,0)</f>
        <v>0</v>
      </c>
      <c r="J19" s="127">
        <f>IF(Assumptions!$J$28='Debt Repayment '!J$5,'Balance sheet '!R38,0)</f>
        <v>0</v>
      </c>
    </row>
    <row r="20" spans="2:10">
      <c r="B20" s="100" t="s">
        <v>52</v>
      </c>
      <c r="C20" s="17">
        <f>IF(Assumptions!$J$34='Debt Repayment '!C$5,'Balance sheet '!K39,IF(Assumptions!$J$34&gt;'Debt Repayment '!C5,MIN('Balance sheet '!K39,Assumptions!$C$25*Assumptions!$J$35),0))</f>
        <v>2.9882511945600001</v>
      </c>
      <c r="D20" s="17">
        <f>IF(Assumptions!$J$34='Debt Repayment '!D$5,'Balance sheet '!L39,IF(Assumptions!$J$34&gt;'Debt Repayment '!D5,MIN('Balance sheet '!L39,Assumptions!$C$25*Assumptions!$J$35),0))</f>
        <v>2.9882511945600001</v>
      </c>
      <c r="E20" s="17">
        <f>IF(Assumptions!$J$34='Debt Repayment '!E$5,'Balance sheet '!M39,IF(Assumptions!$J$34&gt;'Debt Repayment '!E5,MIN('Balance sheet '!M39,Assumptions!$C$25*Assumptions!$J$35),0))</f>
        <v>2.8682171646928367</v>
      </c>
      <c r="F20" s="17">
        <f>IF(Assumptions!$J$34='Debt Repayment '!F$5,'Balance sheet '!N39,IF(Assumptions!$J$34&gt;'Debt Repayment '!F5,MIN('Balance sheet '!N39,Assumptions!$C$25*Assumptions!$J$35),0))</f>
        <v>0</v>
      </c>
      <c r="G20" s="17">
        <f>IF(Assumptions!$J$34='Debt Repayment '!G$5,'Balance sheet '!O39,IF(Assumptions!$J$34&gt;'Debt Repayment '!G5,MIN('Balance sheet '!O39,Assumptions!$C$25*Assumptions!$J$35),0))</f>
        <v>0</v>
      </c>
      <c r="H20" s="17">
        <f>IF(Assumptions!$J$34='Debt Repayment '!H$5,'Balance sheet '!P39,IF(Assumptions!$J$34&gt;'Debt Repayment '!H5,MIN('Balance sheet '!P39,Assumptions!$C$25*Assumptions!$J$35),0))</f>
        <v>0</v>
      </c>
      <c r="I20" s="17">
        <f>IF(Assumptions!$J$34='Debt Repayment '!I$5,'Balance sheet '!Q39,IF(Assumptions!$J$34&gt;'Debt Repayment '!I5,MIN('Balance sheet '!Q39,Assumptions!$C$25*Assumptions!$J$35),0))</f>
        <v>0</v>
      </c>
      <c r="J20" s="127">
        <f>IF(Assumptions!$J$34='Debt Repayment '!J$5,'Balance sheet '!R39,IF(Assumptions!$J$34&gt;'Debt Repayment '!J5,MIN('Balance sheet '!R39,Assumptions!$C$25*Assumptions!$J$35),0))</f>
        <v>0</v>
      </c>
    </row>
    <row r="21" spans="2:10">
      <c r="B21" s="42" t="s">
        <v>180</v>
      </c>
      <c r="C21" s="87">
        <f>SUM(C15:C20)</f>
        <v>83.351170352860038</v>
      </c>
      <c r="D21" s="87">
        <f>SUM(D15:D20)</f>
        <v>83.351170352860038</v>
      </c>
      <c r="E21" s="87">
        <f>SUM(E15:E20)</f>
        <v>10.242242202992838</v>
      </c>
      <c r="F21" s="87">
        <f>SUM(F15:F20)</f>
        <v>7.3740250383000019</v>
      </c>
      <c r="G21" s="87">
        <f t="shared" ref="G21:J21" si="2">SUM(G15:G20)</f>
        <v>7.3740250383000019</v>
      </c>
      <c r="H21" s="87">
        <f t="shared" si="2"/>
        <v>35.60355320530001</v>
      </c>
      <c r="I21" s="87">
        <f t="shared" si="2"/>
        <v>55.675499088300015</v>
      </c>
      <c r="J21" s="88">
        <f t="shared" si="2"/>
        <v>290.78560744190008</v>
      </c>
    </row>
    <row r="22" spans="2:10">
      <c r="B22" s="33"/>
      <c r="J22" s="32"/>
    </row>
    <row r="23" spans="2:10">
      <c r="B23" s="33" t="s">
        <v>181</v>
      </c>
      <c r="C23" s="6">
        <f>C12-C21</f>
        <v>133.0335708905958</v>
      </c>
      <c r="D23" s="6">
        <f>D12-D21</f>
        <v>97.697020843591417</v>
      </c>
      <c r="E23" s="6">
        <f>E12-E21</f>
        <v>198.67517023760172</v>
      </c>
      <c r="F23" s="6">
        <f>F12-F21</f>
        <v>419.87549804742963</v>
      </c>
      <c r="G23" s="6">
        <f t="shared" ref="G23:J23" si="3">G12-G21</f>
        <v>662.13500581000994</v>
      </c>
      <c r="H23" s="6">
        <f t="shared" si="3"/>
        <v>902.56421340254838</v>
      </c>
      <c r="I23" s="6">
        <f t="shared" si="3"/>
        <v>1152.0356929935265</v>
      </c>
      <c r="J23" s="86">
        <f t="shared" si="3"/>
        <v>1202.8188607650516</v>
      </c>
    </row>
    <row r="24" spans="2:10">
      <c r="B24" s="33"/>
      <c r="J24" s="32"/>
    </row>
    <row r="25" spans="2:10">
      <c r="B25" s="233" t="s">
        <v>182</v>
      </c>
      <c r="J25" s="32"/>
    </row>
    <row r="26" spans="2:10">
      <c r="B26" s="33" t="s">
        <v>178</v>
      </c>
      <c r="C26" s="17">
        <f>IF(AND(Assumptions!$J$8=1,'Debt Repayment '!C$5&lt;=Assumptions!$J$5),MIN('Balance sheet '!K34-'Debt Repayment '!C$15,MAX(C$23,0)),0)</f>
        <v>133.0335708905958</v>
      </c>
      <c r="D26" s="17">
        <f>IF(AND(Assumptions!$J$8=1,'Debt Repayment '!D$5&lt;=Assumptions!$J$5),MIN('Balance sheet '!L34-'Debt Repayment '!D15,MAX(D$23,0)),0)</f>
        <v>85.933111469404253</v>
      </c>
      <c r="E26" s="17">
        <f>IF(AND(Assumptions!$J$8=1,'Debt Repayment '!E$5&lt;=Assumptions!$J$5),MIN('Balance sheet '!M34-'Debt Repayment '!E15,MAX(E$23,0)),0)</f>
        <v>0</v>
      </c>
      <c r="F26" s="17">
        <f>IF(AND(Assumptions!$J$8=1,'Debt Repayment '!F$5&lt;=Assumptions!$J$5),MIN('Balance sheet '!N34-'Debt Repayment '!F15,MAX(F$23,0)),0)</f>
        <v>0</v>
      </c>
      <c r="G26" s="17">
        <f>IF(AND(Assumptions!$J$8=1,'Debt Repayment '!G$5&lt;=Assumptions!$J$5),MIN('Balance sheet '!O34-'Debt Repayment '!G15,MAX(G$23,0)),0)</f>
        <v>0</v>
      </c>
      <c r="H26" s="17">
        <f>IF(AND(Assumptions!$J$8=1,'Debt Repayment '!H$5&lt;=Assumptions!$J$5),MIN('Balance sheet '!P34-'Debt Repayment '!H15,MAX(H$23,0)),0)</f>
        <v>0</v>
      </c>
      <c r="I26" s="17">
        <f>IF(AND(Assumptions!$J$8=1,'Debt Repayment '!I$5&lt;=Assumptions!$J$5),MIN('Balance sheet '!Q34-'Debt Repayment '!I15,MAX(I$23,0)),0)</f>
        <v>0</v>
      </c>
      <c r="J26" s="127">
        <f>IF(AND(Assumptions!$J$8=1,'Debt Repayment '!J$5&lt;=Assumptions!$J$5),MIN('Balance sheet '!R34-'Debt Repayment '!J15,MAX(J$23,0)),0)</f>
        <v>0</v>
      </c>
    </row>
    <row r="27" spans="2:10">
      <c r="B27" s="33" t="s">
        <v>179</v>
      </c>
      <c r="C27" s="17">
        <f>IF(AND(Assumptions!$J$15=1,'Debt Repayment '!C$5&lt;=Assumptions!$J$11),MIN('Balance sheet '!K35-'Debt Repayment '!C$16,MAX(C$23-SUM(C$26:C26),0)),0)</f>
        <v>0</v>
      </c>
      <c r="D27" s="17">
        <f>IF(AND(Assumptions!$J$15=1,'Debt Repayment '!D$5&lt;=Assumptions!$J$11),MIN('Balance sheet '!L35-'Debt Repayment '!C$16,MAX(D$23-SUM(D$26:D26),0)),0)</f>
        <v>0</v>
      </c>
      <c r="E27" s="17">
        <f>IF(AND(Assumptions!$J$15=1,'Debt Repayment '!E$5&lt;=Assumptions!$J$11),MIN('Balance sheet '!M35-'Debt Repayment '!D$16,MAX(E$23-SUM(E$26:E26),0)),0)</f>
        <v>0</v>
      </c>
      <c r="F27" s="17">
        <f>IF(AND(Assumptions!$J$15=1,'Debt Repayment '!F$5&lt;=Assumptions!$J$11),MIN('Balance sheet '!N35-'Debt Repayment '!E$16,MAX(F$23-SUM(F$26:F26),0)),0)</f>
        <v>0</v>
      </c>
      <c r="G27" s="17">
        <f>IF(AND(Assumptions!$J$15=1,'Debt Repayment '!G$5&lt;=Assumptions!$J$11),MIN('Balance sheet '!O35-'Debt Repayment '!F$16,MAX(G$23-SUM(G$26:G26),0)),0)</f>
        <v>0</v>
      </c>
      <c r="H27" s="17">
        <f>IF(AND(Assumptions!$J$15=1,'Debt Repayment '!H$5&lt;=Assumptions!$J$11),MIN('Balance sheet '!P35-'Debt Repayment '!G$16,MAX(H$23-SUM(H$26:H26),0)),0)</f>
        <v>0</v>
      </c>
      <c r="I27" s="17">
        <f>IF(AND(Assumptions!$J$15=1,'Debt Repayment '!I$5&lt;=Assumptions!$J$11),MIN('Balance sheet '!Q35-'Debt Repayment '!H$16,MAX(I$23-SUM(I$26:I26),0)),0)</f>
        <v>0</v>
      </c>
      <c r="J27" s="127">
        <f>IF(AND(Assumptions!$J$15=1,'Debt Repayment '!J$5&lt;=Assumptions!$J$11),MIN('Balance sheet '!R35-'Debt Repayment '!I$16,MAX(J$23-SUM(J$26:J26),0)),0)</f>
        <v>0</v>
      </c>
    </row>
    <row r="28" spans="2:10">
      <c r="B28" s="100" t="s">
        <v>37</v>
      </c>
      <c r="C28" s="17">
        <f>IF(AND(Assumptions!$J$20=1,'Debt Repayment '!C$5&lt;=Assumptions!$J$18),MIN('Balance sheet '!K36-'Debt Repayment '!C$17,MAX(C$23-SUM(C$26:C27),0)),0)</f>
        <v>0</v>
      </c>
      <c r="D28" s="17">
        <f>IF(AND(Assumptions!$J$20=1,'Debt Repayment '!D$5&lt;=Assumptions!$J$18),MIN('Balance sheet '!L36-'Debt Repayment '!D$17,MAX(D$23-SUM(D$26:D27),0)),0)</f>
        <v>0</v>
      </c>
      <c r="E28" s="17">
        <f>IF(AND(Assumptions!$J$20=1,'Debt Repayment '!E$5&lt;=Assumptions!$J$18),MIN('Balance sheet '!M36-'Debt Repayment '!E$17,MAX(E$23-SUM(E$26:E27),0)),0)</f>
        <v>0</v>
      </c>
      <c r="F28" s="17">
        <f>IF(AND(Assumptions!$J$20=1,'Debt Repayment '!F$5&lt;=Assumptions!$J$18),MIN('Balance sheet '!N36-'Debt Repayment '!F$17,MAX(F$23-SUM(F$26:F27),0)),0)</f>
        <v>0</v>
      </c>
      <c r="G28" s="17">
        <f>IF(AND(Assumptions!$J$20=1,'Debt Repayment '!G$5&lt;=Assumptions!$J$18),MIN('Balance sheet '!O36-'Debt Repayment '!G$17,MAX(G$23-SUM(G$26:G27),0)),0)</f>
        <v>0</v>
      </c>
      <c r="H28" s="17">
        <f>IF(AND(Assumptions!$J$20=1,'Debt Repayment '!H$5&lt;=Assumptions!$J$18),MIN('Balance sheet '!P36-'Debt Repayment '!H$17,MAX(H$23-SUM(H$26:H27),0)),0)</f>
        <v>0</v>
      </c>
      <c r="I28" s="17">
        <f>IF(AND(Assumptions!$J$20=1,'Debt Repayment '!I$5&lt;=Assumptions!$J$18),MIN('Balance sheet '!Q36-'Debt Repayment '!I$17,MAX(I$23-SUM(I$26:I27),0)),0)</f>
        <v>0</v>
      </c>
      <c r="J28" s="127">
        <f>IF(AND(Assumptions!$J$20=1,'Debt Repayment '!J$5&lt;=Assumptions!$J$18),MIN('Balance sheet '!R36-'Debt Repayment '!J$17,MAX(J$23-SUM(J$26:J27),0)),0)</f>
        <v>0</v>
      </c>
    </row>
    <row r="29" spans="2:10">
      <c r="B29" s="100" t="s">
        <v>49</v>
      </c>
      <c r="C29" s="17">
        <f>IF(AND(Assumptions!$J$25=1,'Debt Repayment '!C$5&lt;=Assumptions!$J$23),MIN('Balance sheet '!K37-'Debt Repayment '!C$18,MAX(C$23-SUM(C$26:C28),0)),0)</f>
        <v>0</v>
      </c>
      <c r="D29" s="17">
        <f>IF(AND(Assumptions!$J$25=1,'Debt Repayment '!D$5&lt;=Assumptions!$J$23),MIN('Balance sheet '!L37-'Debt Repayment '!D$18,MAX(D$23-SUM(D$26:D28),0)),0)</f>
        <v>0</v>
      </c>
      <c r="E29" s="17">
        <f>IF(AND(Assumptions!$J$25=1,'Debt Repayment '!E$5&lt;=Assumptions!$J$23),MIN('Balance sheet '!M37-'Debt Repayment '!E$18,MAX(E$23-SUM(E$26:E28),0)),0)</f>
        <v>0</v>
      </c>
      <c r="F29" s="17">
        <f>IF(AND(Assumptions!$J$25=1,'Debt Repayment '!F$5&lt;=Assumptions!$J$23),MIN('Balance sheet '!N37-'Debt Repayment '!F$18,MAX(F$23-SUM(F$26:F28),0)),0)</f>
        <v>0</v>
      </c>
      <c r="G29" s="17">
        <f>IF(AND(Assumptions!$J$25=1,'Debt Repayment '!G$5&lt;=Assumptions!$J$23),MIN('Balance sheet '!O37-'Debt Repayment '!G$18,MAX(G$23-SUM(G$26:G28),0)),0)</f>
        <v>0</v>
      </c>
      <c r="H29" s="17">
        <f>IF(AND(Assumptions!$J$25=1,'Debt Repayment '!H$5&lt;=Assumptions!$J$23),MIN('Balance sheet '!P37-'Debt Repayment '!H$18,MAX(H$23-SUM(H$26:H28),0)),0)</f>
        <v>0</v>
      </c>
      <c r="I29" s="17">
        <f>IF(AND(Assumptions!$J$25=1,'Debt Repayment '!I$5&lt;=Assumptions!$J$23),MIN('Balance sheet '!Q37-'Debt Repayment '!I$18,MAX(I$23-SUM(I$26:I28),0)),0)</f>
        <v>0</v>
      </c>
      <c r="J29" s="127">
        <f>IF(AND(Assumptions!$J$25=1,'Debt Repayment '!J$5&lt;=Assumptions!$J$23),MIN('Balance sheet '!R37-'Debt Repayment '!J$18,MAX(J$23-SUM(J$26:J28),0)),0)</f>
        <v>0</v>
      </c>
    </row>
    <row r="30" spans="2:10">
      <c r="B30" s="100" t="s">
        <v>51</v>
      </c>
      <c r="C30" s="17">
        <f>IF(AND(Assumptions!$J$31=1,'Debt Repayment '!C$5&lt;=Assumptions!$J$28),MIN('Balance sheet '!K38-'Debt Repayment '!C$19,MAX(C$23-SUM(C$26:C29),0)),0)</f>
        <v>0</v>
      </c>
      <c r="D30" s="17">
        <f>IF(AND(Assumptions!$J$31=1,'Debt Repayment '!D$5&lt;=Assumptions!$J$28),MIN('Balance sheet '!L38-'Debt Repayment '!D$19,MAX(D$23-SUM(D$26:D29),0)),0)</f>
        <v>0</v>
      </c>
      <c r="E30" s="17">
        <f>IF(AND(Assumptions!$J$31=1,'Debt Repayment '!E$5&lt;=Assumptions!$J$28),MIN('Balance sheet '!M38-'Debt Repayment '!E$19,MAX(E$23-SUM(E$26:E29),0)),0)</f>
        <v>0</v>
      </c>
      <c r="F30" s="17">
        <f>IF(AND(Assumptions!$J$31=1,'Debt Repayment '!F$5&lt;=Assumptions!$J$28),MIN('Balance sheet '!N38-'Debt Repayment '!F$19,MAX(F$23-SUM(F$26:F29),0)),0)</f>
        <v>0</v>
      </c>
      <c r="G30" s="17">
        <f>IF(AND(Assumptions!$J$31=1,'Debt Repayment '!G$5&lt;=Assumptions!$J$28),MIN('Balance sheet '!O38-'Debt Repayment '!G$19,MAX(G$23-SUM(G$26:G29),0)),0)</f>
        <v>0</v>
      </c>
      <c r="H30" s="17">
        <f>IF(AND(Assumptions!$J$31=1,'Debt Repayment '!H$5&lt;=Assumptions!$J$28),MIN('Balance sheet '!P38-'Debt Repayment '!H$19,MAX(H$23-SUM(H$26:H29),0)),0)</f>
        <v>0</v>
      </c>
      <c r="I30" s="17">
        <f>IF(AND(Assumptions!$J$31=1,'Debt Repayment '!I$5&lt;=Assumptions!$J$28),MIN('Balance sheet '!Q38-'Debt Repayment '!I$19,MAX(I$23-SUM(I$26:I29),0)),0)</f>
        <v>0</v>
      </c>
      <c r="J30" s="127">
        <f>IF(AND(Assumptions!$J$31=1,'Debt Repayment '!J$5&lt;=Assumptions!$J$28),MIN('Balance sheet '!R38-'Debt Repayment '!J$19,MAX(J$23-SUM(J$26:J29),0)),0)</f>
        <v>0</v>
      </c>
    </row>
    <row r="31" spans="2:10">
      <c r="B31" s="100" t="s">
        <v>52</v>
      </c>
      <c r="C31" s="17">
        <f>IF(AND(Assumptions!$J$37=1,'Debt Repayment '!C$5&lt;=Assumptions!$J$34),MIN('Balance sheet '!K39-'Debt Repayment '!C$20,MAX(C$23-SUM(C$26:C30),0)),0)</f>
        <v>0</v>
      </c>
      <c r="D31" s="17">
        <f>IF(AND(Assumptions!$J$37=1,'Debt Repayment '!D$5&lt;=Assumptions!$J$34),MIN('Balance sheet '!L39-'Debt Repayment '!D$20,MAX(D$23-SUM(D$26:D30),0)),0)</f>
        <v>11.763909374187165</v>
      </c>
      <c r="E31" s="17">
        <f>IF(AND(Assumptions!$J$37=1,'Debt Repayment '!E$5&lt;=Assumptions!$J$34),MIN('Balance sheet '!M39-'Debt Repayment '!E$20,MAX(E$23-SUM(E$26:E30),0)),0)</f>
        <v>0</v>
      </c>
      <c r="F31" s="17">
        <f>IF(AND(Assumptions!$J$37=1,'Debt Repayment '!F$5&lt;=Assumptions!$J$34),MIN('Balance sheet '!N39-'Debt Repayment '!F$20,MAX(F$23-SUM(F$26:F30),0)),0)</f>
        <v>0</v>
      </c>
      <c r="G31" s="17">
        <f>IF(AND(Assumptions!$J$37=1,'Debt Repayment '!G$5&lt;=Assumptions!$J$34),MIN('Balance sheet '!O39-'Debt Repayment '!G$20,MAX(G$23-SUM(G$26:G30),0)),0)</f>
        <v>0</v>
      </c>
      <c r="H31" s="17">
        <f>IF(AND(Assumptions!$J$37=1,'Debt Repayment '!H$5&lt;=Assumptions!$J$34),MIN('Balance sheet '!P39-'Debt Repayment '!H$20,MAX(H$23-SUM(H$26:H30),0)),0)</f>
        <v>0</v>
      </c>
      <c r="I31" s="17">
        <f>IF(AND(Assumptions!$J$37=1,'Debt Repayment '!I$5&lt;=Assumptions!$J$34),MIN('Balance sheet '!Q39-'Debt Repayment '!I$20,MAX(I$23-SUM(I$26:I30),0)),0)</f>
        <v>0</v>
      </c>
      <c r="J31" s="127">
        <f>IF(AND(Assumptions!$J$37=1,'Debt Repayment '!J$5&lt;=Assumptions!$J$34),MIN('Balance sheet '!R39-'Debt Repayment '!J$20,MAX(J$23-SUM(J$26:J30),0)),0)</f>
        <v>0</v>
      </c>
    </row>
    <row r="32" spans="2:10">
      <c r="B32" s="33" t="s">
        <v>60</v>
      </c>
      <c r="C32" s="17">
        <f>SUM(C26:C31)</f>
        <v>133.0335708905958</v>
      </c>
      <c r="D32" s="17">
        <f>SUM(D26:D31)</f>
        <v>97.697020843591417</v>
      </c>
      <c r="E32" s="17">
        <f>SUM(E26:E31)</f>
        <v>0</v>
      </c>
      <c r="F32" s="17">
        <f>SUM(F26:F31)</f>
        <v>0</v>
      </c>
      <c r="G32" s="17">
        <f t="shared" ref="G32:J32" si="4">SUM(G26:G31)</f>
        <v>0</v>
      </c>
      <c r="H32" s="17">
        <f t="shared" si="4"/>
        <v>0</v>
      </c>
      <c r="I32" s="17">
        <f t="shared" si="4"/>
        <v>0</v>
      </c>
      <c r="J32" s="127">
        <f t="shared" si="4"/>
        <v>0</v>
      </c>
    </row>
    <row r="33" spans="2:10">
      <c r="B33" s="33"/>
      <c r="J33" s="32"/>
    </row>
    <row r="34" spans="2:10">
      <c r="B34" s="33" t="s">
        <v>183</v>
      </c>
      <c r="C34" s="6">
        <f>(C23-C32)+C11</f>
        <v>10</v>
      </c>
      <c r="D34" s="6">
        <f>(D23-D32)+D11</f>
        <v>10</v>
      </c>
      <c r="E34" s="6">
        <f>(E23-E32)+E11</f>
        <v>208.67517023760172</v>
      </c>
      <c r="F34" s="6">
        <f>(F23-F32)+F11</f>
        <v>429.87549804742963</v>
      </c>
      <c r="G34" s="6">
        <f t="shared" ref="G34:J34" si="5">(G23-G32)+G11</f>
        <v>672.13500581000994</v>
      </c>
      <c r="H34" s="6">
        <f t="shared" si="5"/>
        <v>912.56421340254838</v>
      </c>
      <c r="I34" s="6">
        <f t="shared" si="5"/>
        <v>1162.0356929935265</v>
      </c>
      <c r="J34" s="86">
        <f t="shared" si="5"/>
        <v>1212.8188607650516</v>
      </c>
    </row>
    <row r="35" spans="2:10">
      <c r="B35" s="33"/>
      <c r="J35" s="32"/>
    </row>
    <row r="36" spans="2:10">
      <c r="B36" s="141" t="s">
        <v>184</v>
      </c>
      <c r="C36" s="220">
        <f>'Cash Flow Statement '!C38-'Debt Repayment '!C34</f>
        <v>0</v>
      </c>
      <c r="D36" s="220">
        <f>'Cash Flow Statement '!D38-'Debt Repayment '!D34</f>
        <v>0</v>
      </c>
      <c r="E36" s="220">
        <f>'Cash Flow Statement '!E38-'Debt Repayment '!E34</f>
        <v>0</v>
      </c>
      <c r="F36" s="220">
        <f>'Cash Flow Statement '!F38-'Debt Repayment '!F34</f>
        <v>0</v>
      </c>
      <c r="G36" s="220">
        <f>'Cash Flow Statement '!G38-'Debt Repayment '!G34</f>
        <v>0</v>
      </c>
      <c r="H36" s="220">
        <f>'Cash Flow Statement '!H38-'Debt Repayment '!H34</f>
        <v>0</v>
      </c>
      <c r="I36" s="220">
        <f>'Cash Flow Statement '!I38-'Debt Repayment '!I34</f>
        <v>0</v>
      </c>
      <c r="J36" s="175">
        <f>'Cash Flow Statement '!J38-'Debt Repayment '!J34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80AB-EE18-4B35-A699-2F013C676B36}">
  <dimension ref="B3:O59"/>
  <sheetViews>
    <sheetView showGridLines="0" workbookViewId="0">
      <selection activeCell="C5" sqref="C5"/>
    </sheetView>
  </sheetViews>
  <sheetFormatPr defaultRowHeight="14.45" outlineLevelRow="1"/>
  <cols>
    <col min="2" max="2" width="7.140625" bestFit="1" customWidth="1"/>
    <col min="3" max="3" width="17.7109375" customWidth="1"/>
    <col min="4" max="4" width="11.42578125" customWidth="1"/>
    <col min="6" max="6" width="9.5703125" customWidth="1"/>
    <col min="7" max="10" width="9" bestFit="1" customWidth="1"/>
    <col min="15" max="15" width="11.140625" hidden="1" customWidth="1"/>
  </cols>
  <sheetData>
    <row r="3" spans="2:15" ht="15" customHeight="1">
      <c r="B3" s="327" t="s">
        <v>185</v>
      </c>
      <c r="C3" s="327"/>
      <c r="D3" s="327"/>
      <c r="E3" s="156"/>
    </row>
    <row r="4" spans="2:15" ht="15" customHeight="1">
      <c r="B4" s="327"/>
      <c r="C4" s="327"/>
      <c r="D4" s="327"/>
      <c r="E4" s="156"/>
    </row>
    <row r="5" spans="2:15">
      <c r="B5" s="236" t="s">
        <v>186</v>
      </c>
      <c r="C5" s="237"/>
      <c r="D5" s="237"/>
      <c r="E5" s="238"/>
      <c r="F5" s="300">
        <v>2026</v>
      </c>
      <c r="G5" s="239">
        <v>2027</v>
      </c>
      <c r="H5" s="239">
        <v>2028</v>
      </c>
      <c r="I5" s="239">
        <v>2029</v>
      </c>
      <c r="J5" s="239">
        <v>2030</v>
      </c>
      <c r="K5" s="239">
        <v>2031</v>
      </c>
      <c r="L5" s="239">
        <v>2032</v>
      </c>
      <c r="M5" s="240">
        <v>2033</v>
      </c>
      <c r="O5" s="51" t="s">
        <v>187</v>
      </c>
    </row>
    <row r="6" spans="2:15">
      <c r="B6" s="33"/>
      <c r="F6" s="234">
        <v>1</v>
      </c>
      <c r="G6" s="234">
        <v>2</v>
      </c>
      <c r="H6" s="234">
        <v>3</v>
      </c>
      <c r="I6" s="234">
        <v>4</v>
      </c>
      <c r="J6" s="234">
        <v>5</v>
      </c>
      <c r="K6" s="235">
        <v>6</v>
      </c>
      <c r="L6" s="235">
        <v>7</v>
      </c>
      <c r="M6" s="235">
        <v>8</v>
      </c>
      <c r="O6" s="25">
        <f>'Balance sheet '!K14/'Balance sheet '!$K$18</f>
        <v>0.93336951278340563</v>
      </c>
    </row>
    <row r="7" spans="2:15">
      <c r="B7" s="33"/>
      <c r="M7" s="32"/>
      <c r="O7" s="25">
        <f>'Balance sheet '!K15/'Balance sheet '!$K$18</f>
        <v>1.2240713941148094E-2</v>
      </c>
    </row>
    <row r="8" spans="2:15" ht="15" customHeight="1">
      <c r="B8" s="241"/>
      <c r="C8" s="242" t="s">
        <v>188</v>
      </c>
      <c r="D8" s="242" t="s">
        <v>189</v>
      </c>
      <c r="M8" s="32"/>
      <c r="O8" s="25">
        <f>'Balance sheet '!K16/'Balance sheet '!$K$18</f>
        <v>4.4862518089725037E-2</v>
      </c>
    </row>
    <row r="9" spans="2:15">
      <c r="B9" s="241" t="s">
        <v>190</v>
      </c>
      <c r="C9" s="17">
        <f>'Balance sheet '!H14</f>
        <v>154.79</v>
      </c>
      <c r="D9" s="243">
        <v>8</v>
      </c>
      <c r="F9" s="16">
        <f>IF(F$6&gt;$D9,0,SLN($C9,0,$D9))</f>
        <v>19.348749999999999</v>
      </c>
      <c r="G9" s="16">
        <f t="shared" ref="G9:M11" si="0">IF(G$6&gt;$D9,0,SLN($C9,0,$D9))</f>
        <v>19.348749999999999</v>
      </c>
      <c r="H9" s="16">
        <f t="shared" si="0"/>
        <v>19.348749999999999</v>
      </c>
      <c r="I9" s="16">
        <f t="shared" si="0"/>
        <v>19.348749999999999</v>
      </c>
      <c r="J9" s="16">
        <f t="shared" si="0"/>
        <v>19.348749999999999</v>
      </c>
      <c r="K9" s="16">
        <f t="shared" si="0"/>
        <v>19.348749999999999</v>
      </c>
      <c r="L9" s="16">
        <f t="shared" si="0"/>
        <v>19.348749999999999</v>
      </c>
      <c r="M9" s="39">
        <f t="shared" si="0"/>
        <v>19.348749999999999</v>
      </c>
      <c r="O9" s="25">
        <f>'Balance sheet '!K17/'Balance sheet '!$K$18</f>
        <v>9.5272551857211781E-3</v>
      </c>
    </row>
    <row r="10" spans="2:15">
      <c r="B10" s="241" t="s">
        <v>191</v>
      </c>
      <c r="C10" s="17">
        <f>'Balance sheet '!H16</f>
        <v>7.44</v>
      </c>
      <c r="D10" s="243">
        <v>6</v>
      </c>
      <c r="F10" s="16">
        <f t="shared" ref="F10:F11" si="1">IF(F$6&gt;$D10,0,SLN($C10,0,$D10))</f>
        <v>1.24</v>
      </c>
      <c r="G10" s="16">
        <f t="shared" si="0"/>
        <v>1.24</v>
      </c>
      <c r="H10" s="16">
        <f t="shared" si="0"/>
        <v>1.24</v>
      </c>
      <c r="I10" s="16">
        <f t="shared" si="0"/>
        <v>1.24</v>
      </c>
      <c r="J10" s="16">
        <f t="shared" si="0"/>
        <v>1.24</v>
      </c>
      <c r="K10" s="16">
        <f t="shared" si="0"/>
        <v>1.24</v>
      </c>
      <c r="L10" s="16">
        <f t="shared" si="0"/>
        <v>0</v>
      </c>
      <c r="M10" s="39">
        <f t="shared" si="0"/>
        <v>0</v>
      </c>
    </row>
    <row r="11" spans="2:15">
      <c r="B11" s="241" t="s">
        <v>192</v>
      </c>
      <c r="C11" s="17">
        <f>'Balance sheet '!H17</f>
        <v>1.58</v>
      </c>
      <c r="D11" s="243">
        <v>5</v>
      </c>
      <c r="F11" s="16">
        <f t="shared" si="1"/>
        <v>0.316</v>
      </c>
      <c r="G11" s="16">
        <f t="shared" si="0"/>
        <v>0.316</v>
      </c>
      <c r="H11" s="16">
        <f t="shared" si="0"/>
        <v>0.316</v>
      </c>
      <c r="I11" s="16">
        <f t="shared" si="0"/>
        <v>0.316</v>
      </c>
      <c r="J11" s="16">
        <f t="shared" si="0"/>
        <v>0.316</v>
      </c>
      <c r="K11" s="16">
        <f t="shared" si="0"/>
        <v>0</v>
      </c>
      <c r="L11" s="16">
        <f t="shared" si="0"/>
        <v>0</v>
      </c>
      <c r="M11" s="39">
        <f t="shared" si="0"/>
        <v>0</v>
      </c>
    </row>
    <row r="12" spans="2:15">
      <c r="B12" s="241"/>
      <c r="C12" s="18"/>
      <c r="D12" s="244" t="s">
        <v>60</v>
      </c>
      <c r="F12" s="91">
        <f>SUM(F9:F11)</f>
        <v>20.904749999999996</v>
      </c>
      <c r="G12" s="91">
        <f t="shared" ref="G12:J12" si="2">SUM(G9:G11)</f>
        <v>20.904749999999996</v>
      </c>
      <c r="H12" s="91">
        <f t="shared" si="2"/>
        <v>20.904749999999996</v>
      </c>
      <c r="I12" s="91">
        <f t="shared" si="2"/>
        <v>20.904749999999996</v>
      </c>
      <c r="J12" s="91">
        <f t="shared" si="2"/>
        <v>20.904749999999996</v>
      </c>
      <c r="K12" s="91">
        <f t="shared" ref="K12:M12" si="3">SUM(K9:K11)</f>
        <v>20.588749999999997</v>
      </c>
      <c r="L12" s="91">
        <f t="shared" si="3"/>
        <v>19.348749999999999</v>
      </c>
      <c r="M12" s="92">
        <f t="shared" si="3"/>
        <v>19.348749999999999</v>
      </c>
    </row>
    <row r="13" spans="2:15">
      <c r="B13" s="241"/>
      <c r="C13" s="18"/>
      <c r="D13" s="18"/>
      <c r="M13" s="32"/>
    </row>
    <row r="14" spans="2:15">
      <c r="B14" s="241" t="s">
        <v>193</v>
      </c>
      <c r="C14" s="245" t="s">
        <v>58</v>
      </c>
      <c r="D14" s="18" t="s">
        <v>194</v>
      </c>
      <c r="M14" s="32"/>
    </row>
    <row r="15" spans="2:15">
      <c r="B15" s="241">
        <v>1</v>
      </c>
      <c r="C15" s="17">
        <f>'Income Statement'!J$6*Assumptions!$M$27</f>
        <v>28.460976058606519</v>
      </c>
      <c r="D15" s="18">
        <v>10</v>
      </c>
      <c r="F15" s="170">
        <f>IF($B15&gt;F$6,0,IF(F$6&gt;$D15+$B15-1,0,SLN($C15,0,$D15)))</f>
        <v>2.8460976058606517</v>
      </c>
      <c r="G15" s="170">
        <f t="shared" ref="G15:M19" si="4">IF($B15&gt;G$6,0,IF(G$6&gt;$D15+$B15-1,0,SLN($C15,0,$D15)))</f>
        <v>2.8460976058606517</v>
      </c>
      <c r="H15" s="170">
        <f t="shared" si="4"/>
        <v>2.8460976058606517</v>
      </c>
      <c r="I15" s="170">
        <f t="shared" si="4"/>
        <v>2.8460976058606517</v>
      </c>
      <c r="J15" s="170">
        <f t="shared" si="4"/>
        <v>2.8460976058606517</v>
      </c>
      <c r="K15" s="170">
        <f t="shared" si="4"/>
        <v>2.8460976058606517</v>
      </c>
      <c r="L15" s="170">
        <f t="shared" si="4"/>
        <v>2.8460976058606517</v>
      </c>
      <c r="M15" s="246">
        <f t="shared" si="4"/>
        <v>2.8460976058606517</v>
      </c>
    </row>
    <row r="16" spans="2:15">
      <c r="B16" s="241">
        <v>2</v>
      </c>
      <c r="C16" s="17">
        <f>'Income Statement'!K$6*Assumptions!$M$27</f>
        <v>32.580867555514267</v>
      </c>
      <c r="D16" s="18">
        <v>14</v>
      </c>
      <c r="F16" s="170">
        <f t="shared" ref="F16:M22" si="5">IF($B16&gt;F$6,0,IF(F$6&gt;$D16+$B16-1,0,SLN($C16,0,$D16)))</f>
        <v>0</v>
      </c>
      <c r="G16" s="170">
        <f t="shared" si="4"/>
        <v>2.3272048253938764</v>
      </c>
      <c r="H16" s="170">
        <f t="shared" si="4"/>
        <v>2.3272048253938764</v>
      </c>
      <c r="I16" s="170">
        <f t="shared" si="4"/>
        <v>2.3272048253938764</v>
      </c>
      <c r="J16" s="170">
        <f t="shared" si="4"/>
        <v>2.3272048253938764</v>
      </c>
      <c r="K16" s="170">
        <f t="shared" si="4"/>
        <v>2.3272048253938764</v>
      </c>
      <c r="L16" s="170">
        <f t="shared" si="4"/>
        <v>2.3272048253938764</v>
      </c>
      <c r="M16" s="246">
        <f t="shared" si="4"/>
        <v>2.3272048253938764</v>
      </c>
    </row>
    <row r="17" spans="2:14">
      <c r="B17" s="241">
        <v>3</v>
      </c>
      <c r="C17" s="17">
        <f>'Income Statement'!L$6*Assumptions!$M$27</f>
        <v>37.297137262056886</v>
      </c>
      <c r="D17" s="18">
        <v>16</v>
      </c>
      <c r="F17" s="170">
        <f t="shared" si="5"/>
        <v>0</v>
      </c>
      <c r="G17" s="170">
        <f t="shared" si="4"/>
        <v>0</v>
      </c>
      <c r="H17" s="170">
        <f t="shared" si="4"/>
        <v>2.3310710788785554</v>
      </c>
      <c r="I17" s="170">
        <f t="shared" si="4"/>
        <v>2.3310710788785554</v>
      </c>
      <c r="J17" s="170">
        <f t="shared" si="4"/>
        <v>2.3310710788785554</v>
      </c>
      <c r="K17" s="170">
        <f t="shared" si="4"/>
        <v>2.3310710788785554</v>
      </c>
      <c r="L17" s="170">
        <f t="shared" si="4"/>
        <v>2.3310710788785554</v>
      </c>
      <c r="M17" s="246">
        <f t="shared" si="4"/>
        <v>2.3310710788785554</v>
      </c>
    </row>
    <row r="18" spans="2:14">
      <c r="B18" s="241">
        <v>4</v>
      </c>
      <c r="C18" s="17">
        <f>'Income Statement'!M$6*Assumptions!$M$27</f>
        <v>42.69611438598033</v>
      </c>
      <c r="D18" s="18">
        <v>12</v>
      </c>
      <c r="F18" s="170">
        <f t="shared" si="5"/>
        <v>0</v>
      </c>
      <c r="G18" s="170">
        <f t="shared" si="4"/>
        <v>0</v>
      </c>
      <c r="H18" s="170">
        <f t="shared" si="4"/>
        <v>0</v>
      </c>
      <c r="I18" s="170">
        <f t="shared" si="4"/>
        <v>3.5580095321650274</v>
      </c>
      <c r="J18" s="170">
        <f t="shared" si="4"/>
        <v>3.5580095321650274</v>
      </c>
      <c r="K18" s="170">
        <f t="shared" si="4"/>
        <v>3.5580095321650274</v>
      </c>
      <c r="L18" s="170">
        <f t="shared" si="4"/>
        <v>3.5580095321650274</v>
      </c>
      <c r="M18" s="246">
        <f t="shared" si="4"/>
        <v>3.5580095321650274</v>
      </c>
    </row>
    <row r="19" spans="2:14">
      <c r="B19" s="241">
        <v>5</v>
      </c>
      <c r="C19" s="17">
        <f>'Income Statement'!N$6*Assumptions!$M$27</f>
        <v>48.876624788982063</v>
      </c>
      <c r="D19" s="18">
        <v>15</v>
      </c>
      <c r="F19" s="170">
        <f t="shared" si="5"/>
        <v>0</v>
      </c>
      <c r="G19" s="170">
        <f t="shared" si="4"/>
        <v>0</v>
      </c>
      <c r="H19" s="170">
        <f t="shared" si="4"/>
        <v>0</v>
      </c>
      <c r="I19" s="170">
        <f t="shared" si="4"/>
        <v>0</v>
      </c>
      <c r="J19" s="170">
        <f t="shared" si="4"/>
        <v>3.2584416525988043</v>
      </c>
      <c r="K19" s="170">
        <f t="shared" si="4"/>
        <v>3.2584416525988043</v>
      </c>
      <c r="L19" s="170">
        <f t="shared" si="4"/>
        <v>3.2584416525988043</v>
      </c>
      <c r="M19" s="246">
        <f t="shared" si="4"/>
        <v>3.2584416525988043</v>
      </c>
    </row>
    <row r="20" spans="2:14">
      <c r="B20" s="241">
        <v>6</v>
      </c>
      <c r="C20" s="17">
        <f>'Income Statement'!O$6*Assumptions!$M$27</f>
        <v>55.951799949912115</v>
      </c>
      <c r="D20" s="18">
        <v>8</v>
      </c>
      <c r="F20" s="170">
        <f t="shared" si="5"/>
        <v>0</v>
      </c>
      <c r="G20" s="170">
        <f t="shared" si="5"/>
        <v>0</v>
      </c>
      <c r="H20" s="170">
        <f t="shared" si="5"/>
        <v>0</v>
      </c>
      <c r="I20" s="170">
        <f t="shared" si="5"/>
        <v>0</v>
      </c>
      <c r="J20" s="170">
        <f t="shared" si="5"/>
        <v>0</v>
      </c>
      <c r="K20" s="170">
        <f t="shared" si="5"/>
        <v>6.9939749937390143</v>
      </c>
      <c r="L20" s="170">
        <f t="shared" si="5"/>
        <v>6.9939749937390143</v>
      </c>
      <c r="M20" s="246">
        <f t="shared" si="5"/>
        <v>6.9939749937390143</v>
      </c>
    </row>
    <row r="21" spans="2:14">
      <c r="B21" s="241">
        <v>7</v>
      </c>
      <c r="C21" s="17">
        <f>'Income Statement'!P$6*Assumptions!$M$27</f>
        <v>64.051147785898195</v>
      </c>
      <c r="D21" s="18">
        <v>13</v>
      </c>
      <c r="F21" s="170">
        <f t="shared" si="5"/>
        <v>0</v>
      </c>
      <c r="G21" s="170">
        <f t="shared" si="5"/>
        <v>0</v>
      </c>
      <c r="H21" s="170">
        <f t="shared" si="5"/>
        <v>0</v>
      </c>
      <c r="I21" s="170">
        <f t="shared" si="5"/>
        <v>0</v>
      </c>
      <c r="J21" s="170">
        <f t="shared" si="5"/>
        <v>0</v>
      </c>
      <c r="K21" s="170">
        <f t="shared" si="5"/>
        <v>0</v>
      </c>
      <c r="L21" s="170">
        <f t="shared" si="5"/>
        <v>4.9270113681460153</v>
      </c>
      <c r="M21" s="246">
        <f t="shared" si="5"/>
        <v>4.9270113681460153</v>
      </c>
    </row>
    <row r="22" spans="2:14">
      <c r="B22" s="241">
        <v>8</v>
      </c>
      <c r="C22" s="17">
        <f>'Income Statement'!Q$6*Assumptions!$M$27</f>
        <v>73.322923236849604</v>
      </c>
      <c r="D22" s="18">
        <v>10</v>
      </c>
      <c r="F22" s="170">
        <f t="shared" si="5"/>
        <v>0</v>
      </c>
      <c r="G22" s="170">
        <f t="shared" si="5"/>
        <v>0</v>
      </c>
      <c r="H22" s="170">
        <f t="shared" si="5"/>
        <v>0</v>
      </c>
      <c r="I22" s="170">
        <f t="shared" si="5"/>
        <v>0</v>
      </c>
      <c r="J22" s="170">
        <f t="shared" si="5"/>
        <v>0</v>
      </c>
      <c r="K22" s="170">
        <f t="shared" si="5"/>
        <v>0</v>
      </c>
      <c r="L22" s="170">
        <f t="shared" si="5"/>
        <v>0</v>
      </c>
      <c r="M22" s="246">
        <f t="shared" si="5"/>
        <v>7.3322923236849604</v>
      </c>
    </row>
    <row r="23" spans="2:14">
      <c r="B23" s="241"/>
      <c r="C23" s="17"/>
      <c r="D23" s="18"/>
      <c r="F23" s="6"/>
      <c r="G23" s="6"/>
      <c r="H23" s="6"/>
      <c r="I23" s="6"/>
      <c r="J23" s="6"/>
      <c r="K23" s="6"/>
      <c r="L23" s="6"/>
      <c r="M23" s="86"/>
    </row>
    <row r="24" spans="2:14">
      <c r="B24" s="33"/>
      <c r="D24" s="7" t="s">
        <v>60</v>
      </c>
      <c r="F24" s="87">
        <f>SUM(F15:F22)</f>
        <v>2.8460976058606517</v>
      </c>
      <c r="G24" s="87">
        <f t="shared" ref="G24:M24" si="6">SUM(G15:G22)</f>
        <v>5.1733024312545286</v>
      </c>
      <c r="H24" s="87">
        <f t="shared" si="6"/>
        <v>7.5043735101330835</v>
      </c>
      <c r="I24" s="87">
        <f t="shared" si="6"/>
        <v>11.06238304229811</v>
      </c>
      <c r="J24" s="87">
        <f t="shared" si="6"/>
        <v>14.320824694896915</v>
      </c>
      <c r="K24" s="87">
        <f t="shared" si="6"/>
        <v>21.314799688635929</v>
      </c>
      <c r="L24" s="87">
        <f t="shared" si="6"/>
        <v>26.241811056781945</v>
      </c>
      <c r="M24" s="88">
        <f t="shared" si="6"/>
        <v>33.574103380466909</v>
      </c>
    </row>
    <row r="25" spans="2:14">
      <c r="B25" s="33"/>
      <c r="M25" s="32"/>
    </row>
    <row r="26" spans="2:14">
      <c r="B26" s="33"/>
      <c r="D26" s="7" t="s">
        <v>195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86">
        <v>0</v>
      </c>
    </row>
    <row r="27" spans="2:14" ht="15.75" customHeight="1">
      <c r="B27" s="33"/>
      <c r="C27" s="145"/>
      <c r="D27" s="247" t="s">
        <v>60</v>
      </c>
      <c r="F27" s="248">
        <f>F12+F24+F26</f>
        <v>23.750847605860649</v>
      </c>
      <c r="G27" s="248">
        <f t="shared" ref="G27:M27" si="7">G12+G24+G26</f>
        <v>26.078052431254527</v>
      </c>
      <c r="H27" s="248">
        <f t="shared" si="7"/>
        <v>28.409123510133078</v>
      </c>
      <c r="I27" s="248">
        <f t="shared" si="7"/>
        <v>31.967133042298109</v>
      </c>
      <c r="J27" s="248">
        <f t="shared" si="7"/>
        <v>35.225574694896913</v>
      </c>
      <c r="K27" s="248">
        <f t="shared" si="7"/>
        <v>41.903549688635927</v>
      </c>
      <c r="L27" s="248">
        <f t="shared" si="7"/>
        <v>45.590561056781944</v>
      </c>
      <c r="M27" s="249">
        <f t="shared" si="7"/>
        <v>52.922853380466904</v>
      </c>
    </row>
    <row r="28" spans="2:14">
      <c r="B28" s="33"/>
      <c r="M28" s="32"/>
    </row>
    <row r="29" spans="2:14">
      <c r="B29" s="328" t="s">
        <v>196</v>
      </c>
      <c r="C29" s="329"/>
      <c r="D29" s="329"/>
      <c r="E29" s="220"/>
      <c r="F29" s="250">
        <f>SUM(F30:F35)</f>
        <v>3.0519331102079583</v>
      </c>
      <c r="G29" s="250">
        <f t="shared" ref="G29:M29" si="8">SUM(G30:G35)</f>
        <v>7.4312667574079603</v>
      </c>
      <c r="H29" s="250">
        <f t="shared" si="8"/>
        <v>1.715807001375959</v>
      </c>
      <c r="I29" s="250">
        <f t="shared" si="8"/>
        <v>1.5303293410239589</v>
      </c>
      <c r="J29" s="250">
        <f t="shared" si="8"/>
        <v>1.5303293410239589</v>
      </c>
      <c r="K29" s="250">
        <f t="shared" si="8"/>
        <v>1.5303293410239589</v>
      </c>
      <c r="L29" s="250">
        <f t="shared" si="8"/>
        <v>1.2950832729656252</v>
      </c>
      <c r="M29" s="251">
        <f t="shared" si="8"/>
        <v>1.0535759027156244</v>
      </c>
    </row>
    <row r="30" spans="2:14" ht="14.25" hidden="1" customHeight="1" outlineLevel="1">
      <c r="C30" s="101" t="s">
        <v>44</v>
      </c>
      <c r="F30" s="173">
        <f>IF(AND(-'Cash Flow Statement '!C28&gt;0,-'Cash Flow Statement '!D28=0),Assumptions!$O4-SUM($F30:F30),IF('Balance sheet '!L34&gt;0,Assumptions!$P4,0))</f>
        <v>1.4597778824000005</v>
      </c>
      <c r="G30" s="173">
        <f>IF(AND(-'Cash Flow Statement '!D28&gt;0,-'Cash Flow Statement '!E28=0),Assumptions!$O4-SUM($F30:F30),IF('Balance sheet '!M34&gt;0,Assumptions!$P4,0))</f>
        <v>5.839111529600002</v>
      </c>
      <c r="H30" s="173">
        <f>IF(AND(-'Cash Flow Statement '!E28&gt;0,-'Cash Flow Statement '!F28=0),Assumptions!$O4-SUM($F30:G30),IF('Balance sheet '!N34&gt;0,Assumptions!$P4,0))</f>
        <v>0</v>
      </c>
      <c r="I30" s="173">
        <f>IF(AND(-'Cash Flow Statement '!F28&gt;0,-'Cash Flow Statement '!G28=0),Assumptions!$O4-SUM($F30:H30),IF('Balance sheet '!O34&gt;0,Assumptions!$P4,0))</f>
        <v>0</v>
      </c>
      <c r="J30" s="173">
        <f>IF(AND(-'Cash Flow Statement '!G28&gt;0,-'Cash Flow Statement '!H28=0),Assumptions!$O4-SUM($F30:I30),IF('Balance sheet '!P34&gt;0,Assumptions!$P4,0))</f>
        <v>0</v>
      </c>
      <c r="K30" s="173">
        <f>IF(AND(-'Cash Flow Statement '!H28&gt;0,-'Cash Flow Statement '!I28=0),Assumptions!$O4-SUM($F30:J30),IF('Balance sheet '!Q34&gt;0,Assumptions!$P4,0))</f>
        <v>0</v>
      </c>
      <c r="L30" s="173">
        <f>IF(AND(-'Cash Flow Statement '!I28&gt;0,-'Cash Flow Statement '!J28=0),Assumptions!$O4-SUM($F30:K30),IF('Balance sheet '!R34&gt;0,Assumptions!$P4,0))</f>
        <v>0</v>
      </c>
      <c r="M30" s="173">
        <f>IF(AND(-'Cash Flow Statement '!J28&gt;0,-'Cash Flow Statement '!K28=0),Assumptions!$O4-SUM($F30:L30),IF('Balance sheet '!S34&gt;0,Assumptions!$P4,0))</f>
        <v>0</v>
      </c>
    </row>
    <row r="31" spans="2:14" hidden="1" outlineLevel="1">
      <c r="B31" s="7"/>
      <c r="C31" s="101" t="s">
        <v>45</v>
      </c>
      <c r="D31" s="229"/>
      <c r="F31" s="173">
        <f>IF(AND(-'Cash Flow Statement '!C29&gt;0,-'Cash Flow Statement '!D29=0),Assumptions!$O5-SUM($F31:F31),IF('Balance sheet '!L35&gt;0,Assumptions!$P5,0))</f>
        <v>0.6913148473406252</v>
      </c>
      <c r="G31" s="173">
        <f>IF(AND(-'Cash Flow Statement '!D29&gt;0,-'Cash Flow Statement '!E29=0),Assumptions!$O5-SUM($F31:F31),IF('Balance sheet '!M35&gt;0,Assumptions!$P5,0))</f>
        <v>0.6913148473406252</v>
      </c>
      <c r="H31" s="173">
        <f>IF(AND(-'Cash Flow Statement '!E29&gt;0,-'Cash Flow Statement '!F29=0),Assumptions!$O5-SUM($F31:G31),IF('Balance sheet '!N35&gt;0,Assumptions!$P5,0))</f>
        <v>0.6913148473406252</v>
      </c>
      <c r="I31" s="173">
        <f>IF(AND(-'Cash Flow Statement '!F29&gt;0,-'Cash Flow Statement '!G29=0),Assumptions!$O5-SUM($F31:H31),IF('Balance sheet '!O35&gt;0,Assumptions!$P5,0))</f>
        <v>0.6913148473406252</v>
      </c>
      <c r="J31" s="173">
        <f>IF(AND(-'Cash Flow Statement '!G29&gt;0,-'Cash Flow Statement '!H29=0),Assumptions!$O5-SUM($F31:I31),IF('Balance sheet '!P35&gt;0,Assumptions!$P5,0))</f>
        <v>0.6913148473406252</v>
      </c>
      <c r="K31" s="173">
        <f>IF(AND(-'Cash Flow Statement '!H29&gt;0,-'Cash Flow Statement '!I29=0),Assumptions!$O5-SUM($F31:J31),IF('Balance sheet '!Q35&gt;0,Assumptions!$P5,0))</f>
        <v>0.6913148473406252</v>
      </c>
      <c r="L31" s="173">
        <f>IF(AND(-'Cash Flow Statement '!I29&gt;0,-'Cash Flow Statement '!J29=0),Assumptions!$O5-SUM($F31:K31),IF('Balance sheet '!R35&gt;0,Assumptions!$P5,0))</f>
        <v>0.6913148473406252</v>
      </c>
      <c r="M31" s="173">
        <f>IF(AND(-'Cash Flow Statement '!J29&gt;0,-'Cash Flow Statement '!K29=0),Assumptions!$O5-SUM($F31:L31),IF('Balance sheet '!S35&gt;0,Assumptions!$P5,0))</f>
        <v>0.69131484734062454</v>
      </c>
      <c r="N31" s="16"/>
    </row>
    <row r="32" spans="2:14" hidden="1" outlineLevel="1">
      <c r="C32" s="101" t="s">
        <v>37</v>
      </c>
      <c r="F32" s="173">
        <f>IF(AND(-'Cash Flow Statement '!C30&gt;0,-'Cash Flow Statement '!D30=0),Assumptions!$O6-SUM($F32:F32),IF('Balance sheet '!L36&gt;0,Assumptions!$P6,0))</f>
        <v>0.36226105537500009</v>
      </c>
      <c r="G32" s="173">
        <f>IF(AND(-'Cash Flow Statement '!D30&gt;0,-'Cash Flow Statement '!E30=0),Assumptions!$O6-SUM($F32:F32),IF('Balance sheet '!M36&gt;0,Assumptions!$P6,0))</f>
        <v>0.36226105537500009</v>
      </c>
      <c r="H32" s="173">
        <f>IF(AND(-'Cash Flow Statement '!E30&gt;0,-'Cash Flow Statement '!F30=0),Assumptions!$O6-SUM($F32:G32),IF('Balance sheet '!N36&gt;0,Assumptions!$P6,0))</f>
        <v>0.36226105537500009</v>
      </c>
      <c r="I32" s="173">
        <f>IF(AND(-'Cash Flow Statement '!F30&gt;0,-'Cash Flow Statement '!G30=0),Assumptions!$O6-SUM($F32:H32),IF('Balance sheet '!O36&gt;0,Assumptions!$P6,0))</f>
        <v>0.36226105537500009</v>
      </c>
      <c r="J32" s="173">
        <f>IF(AND(-'Cash Flow Statement '!G30&gt;0,-'Cash Flow Statement '!H30=0),Assumptions!$O6-SUM($F32:I32),IF('Balance sheet '!P36&gt;0,Assumptions!$P6,0))</f>
        <v>0.36226105537500009</v>
      </c>
      <c r="K32" s="173">
        <f>IF(AND(-'Cash Flow Statement '!H30&gt;0,-'Cash Flow Statement '!I30=0),Assumptions!$O6-SUM($F32:J32),IF('Balance sheet '!Q36&gt;0,Assumptions!$P6,0))</f>
        <v>0.36226105537500009</v>
      </c>
      <c r="L32" s="173">
        <f>IF(AND(-'Cash Flow Statement '!I30&gt;0,-'Cash Flow Statement '!J30=0),Assumptions!$O6-SUM($F32:K32),IF('Balance sheet '!R36&gt;0,Assumptions!$P6,0))</f>
        <v>0.36226105537500009</v>
      </c>
      <c r="M32" s="173">
        <f>IF(AND(-'Cash Flow Statement '!J30&gt;0,-'Cash Flow Statement '!K30=0),Assumptions!$O6-SUM($F32:L32),IF('Balance sheet '!S36&gt;0,Assumptions!$P6,0))</f>
        <v>0.36226105537499986</v>
      </c>
    </row>
    <row r="33" spans="2:14" hidden="1" outlineLevel="1">
      <c r="C33" s="101" t="s">
        <v>49</v>
      </c>
      <c r="F33" s="173">
        <f>IF(AND(-'Cash Flow Statement '!C31&gt;0,-'Cash Flow Statement '!D31=0),Assumptions!$O7-SUM($F33:F33),IF('Balance sheet '!L37&gt;0,Assumptions!$P7,0))</f>
        <v>0.24150737025000008</v>
      </c>
      <c r="G33" s="173">
        <f>IF(AND(-'Cash Flow Statement '!D31&gt;0,-'Cash Flow Statement '!E31=0),Assumptions!$O7-SUM($F33:F33),IF('Balance sheet '!M37&gt;0,Assumptions!$P7,0))</f>
        <v>0.24150737025000008</v>
      </c>
      <c r="H33" s="173">
        <f>IF(AND(-'Cash Flow Statement '!E31&gt;0,-'Cash Flow Statement '!F31=0),Assumptions!$O7-SUM($F33:G33),IF('Balance sheet '!N37&gt;0,Assumptions!$P7,0))</f>
        <v>0.24150737025000008</v>
      </c>
      <c r="I33" s="173">
        <f>IF(AND(-'Cash Flow Statement '!F31&gt;0,-'Cash Flow Statement '!G31=0),Assumptions!$O7-SUM($F33:H33),IF('Balance sheet '!O37&gt;0,Assumptions!$P7,0))</f>
        <v>0.24150737025000008</v>
      </c>
      <c r="J33" s="173">
        <f>IF(AND(-'Cash Flow Statement '!G31&gt;0,-'Cash Flow Statement '!H31=0),Assumptions!$O7-SUM($F33:I33),IF('Balance sheet '!P37&gt;0,Assumptions!$P7,0))</f>
        <v>0.24150737025000008</v>
      </c>
      <c r="K33" s="173">
        <f>IF(AND(-'Cash Flow Statement '!H31&gt;0,-'Cash Flow Statement '!I31=0),Assumptions!$O7-SUM($F33:J33),IF('Balance sheet '!Q37&gt;0,Assumptions!$P7,0))</f>
        <v>0.24150737025000008</v>
      </c>
      <c r="L33" s="173">
        <f>IF(AND(-'Cash Flow Statement '!I31&gt;0,-'Cash Flow Statement '!J31=0),Assumptions!$O7-SUM($F33:K33),IF('Balance sheet '!R37&gt;0,Assumptions!$P7,0))</f>
        <v>0.24150737024999991</v>
      </c>
      <c r="M33" s="173">
        <f>IF(AND(-'Cash Flow Statement '!J31&gt;0,-'Cash Flow Statement '!K31=0),Assumptions!$O7-SUM($F33:L33),IF('Balance sheet '!S37&gt;0,Assumptions!$P7,0))</f>
        <v>0</v>
      </c>
    </row>
    <row r="34" spans="2:14" hidden="1" outlineLevel="1">
      <c r="C34" s="101" t="s">
        <v>51</v>
      </c>
      <c r="F34" s="173">
        <f>IF(AND(-'Cash Flow Statement '!C32&gt;0,-'Cash Flow Statement '!D32=0),Assumptions!$O8-SUM($F34:F34),IF('Balance sheet '!L38&gt;0,Assumptions!$P8,0))</f>
        <v>0.2352460680583334</v>
      </c>
      <c r="G34" s="173">
        <f>IF(AND(-'Cash Flow Statement '!D32&gt;0,-'Cash Flow Statement '!E32=0),Assumptions!$O8-SUM($F34:F34),IF('Balance sheet '!M38&gt;0,Assumptions!$P8,0))</f>
        <v>0.2352460680583334</v>
      </c>
      <c r="H34" s="173">
        <f>IF(AND(-'Cash Flow Statement '!E32&gt;0,-'Cash Flow Statement '!F32=0),Assumptions!$O8-SUM($F34:G34),IF('Balance sheet '!N38&gt;0,Assumptions!$P8,0))</f>
        <v>0.2352460680583334</v>
      </c>
      <c r="I34" s="173">
        <f>IF(AND(-'Cash Flow Statement '!F32&gt;0,-'Cash Flow Statement '!G32=0),Assumptions!$O8-SUM($F34:H34),IF('Balance sheet '!O38&gt;0,Assumptions!$P8,0))</f>
        <v>0.2352460680583334</v>
      </c>
      <c r="J34" s="173">
        <f>IF(AND(-'Cash Flow Statement '!G32&gt;0,-'Cash Flow Statement '!H32=0),Assumptions!$O8-SUM($F34:I34),IF('Balance sheet '!P38&gt;0,Assumptions!$P8,0))</f>
        <v>0.2352460680583334</v>
      </c>
      <c r="K34" s="173">
        <f>IF(AND(-'Cash Flow Statement '!H32&gt;0,-'Cash Flow Statement '!I32=0),Assumptions!$O8-SUM($F34:J34),IF('Balance sheet '!Q38&gt;0,Assumptions!$P8,0))</f>
        <v>0.23524606805833348</v>
      </c>
      <c r="L34" s="173">
        <f>IF(AND(-'Cash Flow Statement '!I32&gt;0,-'Cash Flow Statement '!J32=0),Assumptions!$O8-SUM($F34:K34),IF('Balance sheet '!R38&gt;0,Assumptions!$P8,0))</f>
        <v>0</v>
      </c>
      <c r="M34" s="173">
        <f>IF(AND(-'Cash Flow Statement '!J32&gt;0,-'Cash Flow Statement '!K32=0),Assumptions!$O8-SUM($F34:L34),IF('Balance sheet '!S38&gt;0,Assumptions!$P8,0))</f>
        <v>0</v>
      </c>
    </row>
    <row r="35" spans="2:14" hidden="1" outlineLevel="1">
      <c r="C35" s="101" t="s">
        <v>52</v>
      </c>
      <c r="F35" s="173">
        <f>IF(AND(-'Cash Flow Statement '!C33&gt;0,-'Cash Flow Statement '!D33=0),Assumptions!$O9-SUM($F35:F35),IF('Balance sheet '!L39&gt;0,Assumptions!$P9,0))</f>
        <v>6.1825886784000007E-2</v>
      </c>
      <c r="G35" s="173">
        <f>IF(AND(-'Cash Flow Statement '!D33&gt;0,-'Cash Flow Statement '!E33=0),Assumptions!$O9-SUM($F35:F35),IF('Balance sheet '!M39&gt;0,Assumptions!$P9,0))</f>
        <v>6.1825886784000007E-2</v>
      </c>
      <c r="H35" s="173">
        <f>IF(AND(-'Cash Flow Statement '!E33&gt;0,-'Cash Flow Statement '!F33=0),Assumptions!$O9-SUM($F35:G35),IF('Balance sheet '!N39&gt;0,Assumptions!$P9,0))</f>
        <v>0.18547766035200003</v>
      </c>
      <c r="I35" s="173">
        <f>IF(AND(-'Cash Flow Statement '!F33&gt;0,-'Cash Flow Statement '!G33=0),Assumptions!$O9-SUM($F35:H35),IF('Balance sheet '!O39&gt;0,Assumptions!$P9,0))</f>
        <v>0</v>
      </c>
      <c r="J35" s="173">
        <f>IF(AND(-'Cash Flow Statement '!G33&gt;0,-'Cash Flow Statement '!H33=0),Assumptions!$O9-SUM($F35:I35),IF('Balance sheet '!P39&gt;0,Assumptions!$P9,0))</f>
        <v>0</v>
      </c>
      <c r="K35" s="173">
        <f>IF(AND(-'Cash Flow Statement '!H33&gt;0,-'Cash Flow Statement '!I33=0),Assumptions!$O9-SUM($F35:J35),IF('Balance sheet '!Q39&gt;0,Assumptions!$P9,0))</f>
        <v>0</v>
      </c>
      <c r="L35" s="173">
        <f>IF(AND(-'Cash Flow Statement '!I33&gt;0,-'Cash Flow Statement '!J33=0),Assumptions!$O9-SUM($F35:K35),IF('Balance sheet '!R39&gt;0,Assumptions!$P9,0))</f>
        <v>0</v>
      </c>
      <c r="M35" s="173">
        <f>IF(AND(-'Cash Flow Statement '!J33&gt;0,-'Cash Flow Statement '!K33=0),Assumptions!$O9-SUM($F35:L35),IF('Balance sheet '!S39&gt;0,Assumptions!$P9,0))</f>
        <v>0</v>
      </c>
    </row>
    <row r="36" spans="2:14" collapsed="1">
      <c r="F36" s="173"/>
      <c r="G36" s="173"/>
      <c r="H36" s="173"/>
      <c r="I36" s="173"/>
      <c r="J36" s="173"/>
      <c r="K36" s="173"/>
      <c r="L36" s="173"/>
      <c r="M36" s="173"/>
      <c r="N36" s="16"/>
    </row>
    <row r="37" spans="2:14"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2:14">
      <c r="B38" s="65" t="s">
        <v>197</v>
      </c>
      <c r="C38" s="252"/>
      <c r="D38" s="252"/>
      <c r="E38" s="253"/>
      <c r="F38" s="99"/>
      <c r="G38" s="99"/>
      <c r="H38" s="99"/>
      <c r="I38" s="99"/>
      <c r="J38" s="99"/>
      <c r="K38" s="99"/>
      <c r="L38" s="99"/>
      <c r="M38" s="66"/>
    </row>
    <row r="39" spans="2:14">
      <c r="B39" s="33"/>
      <c r="E39" s="16"/>
      <c r="M39" s="32"/>
    </row>
    <row r="40" spans="2:14">
      <c r="B40" s="33"/>
      <c r="E40" s="16"/>
      <c r="M40" s="32"/>
    </row>
    <row r="41" spans="2:14">
      <c r="B41" s="33"/>
      <c r="C41" t="s">
        <v>188</v>
      </c>
      <c r="D41" t="s">
        <v>189</v>
      </c>
      <c r="E41" s="16"/>
      <c r="M41" s="32"/>
    </row>
    <row r="42" spans="2:14">
      <c r="B42" s="33" t="s">
        <v>190</v>
      </c>
      <c r="C42" s="6">
        <v>163.83000000000001</v>
      </c>
      <c r="D42">
        <v>8</v>
      </c>
      <c r="E42" s="16"/>
      <c r="F42" s="17">
        <f t="shared" ref="F42:M44" si="9">IF(F$6&gt;$D42,0,SLN($C42,0,$D42))</f>
        <v>20.478750000000002</v>
      </c>
      <c r="G42" s="17">
        <f t="shared" si="9"/>
        <v>20.478750000000002</v>
      </c>
      <c r="H42" s="17">
        <f t="shared" si="9"/>
        <v>20.478750000000002</v>
      </c>
      <c r="I42" s="17">
        <f t="shared" si="9"/>
        <v>20.478750000000002</v>
      </c>
      <c r="J42" s="17">
        <f t="shared" si="9"/>
        <v>20.478750000000002</v>
      </c>
      <c r="K42" s="17">
        <f t="shared" si="9"/>
        <v>20.478750000000002</v>
      </c>
      <c r="L42" s="17">
        <f t="shared" si="9"/>
        <v>20.478750000000002</v>
      </c>
      <c r="M42" s="127">
        <f t="shared" si="9"/>
        <v>20.478750000000002</v>
      </c>
    </row>
    <row r="43" spans="2:14">
      <c r="B43" s="33" t="s">
        <v>191</v>
      </c>
      <c r="C43">
        <v>9.27</v>
      </c>
      <c r="D43">
        <v>6</v>
      </c>
      <c r="F43" s="17">
        <f t="shared" si="9"/>
        <v>1.5449999999999999</v>
      </c>
      <c r="G43" s="17">
        <f t="shared" si="9"/>
        <v>1.5449999999999999</v>
      </c>
      <c r="H43" s="17">
        <f t="shared" si="9"/>
        <v>1.5449999999999999</v>
      </c>
      <c r="I43" s="17">
        <f t="shared" si="9"/>
        <v>1.5449999999999999</v>
      </c>
      <c r="J43" s="17">
        <f t="shared" si="9"/>
        <v>1.5449999999999999</v>
      </c>
      <c r="K43" s="17">
        <f t="shared" si="9"/>
        <v>1.5449999999999999</v>
      </c>
      <c r="L43" s="17">
        <f t="shared" si="9"/>
        <v>0</v>
      </c>
      <c r="M43" s="127">
        <f t="shared" si="9"/>
        <v>0</v>
      </c>
    </row>
    <row r="44" spans="2:14">
      <c r="B44" s="33" t="s">
        <v>192</v>
      </c>
      <c r="C44">
        <v>1.35</v>
      </c>
      <c r="D44">
        <v>5</v>
      </c>
      <c r="F44" s="17">
        <f t="shared" si="9"/>
        <v>0.27</v>
      </c>
      <c r="G44" s="17">
        <f t="shared" si="9"/>
        <v>0.27</v>
      </c>
      <c r="H44" s="17">
        <f t="shared" si="9"/>
        <v>0.27</v>
      </c>
      <c r="I44" s="17">
        <f t="shared" si="9"/>
        <v>0.27</v>
      </c>
      <c r="J44" s="17">
        <f t="shared" si="9"/>
        <v>0.27</v>
      </c>
      <c r="K44" s="17">
        <f t="shared" si="9"/>
        <v>0</v>
      </c>
      <c r="L44" s="17">
        <f t="shared" si="9"/>
        <v>0</v>
      </c>
      <c r="M44" s="127">
        <f t="shared" si="9"/>
        <v>0</v>
      </c>
    </row>
    <row r="45" spans="2:14">
      <c r="B45" s="33"/>
      <c r="D45" t="s">
        <v>60</v>
      </c>
      <c r="F45" s="248">
        <f t="shared" ref="F45:M45" si="10">SUM(F42:F44)</f>
        <v>22.293749999999999</v>
      </c>
      <c r="G45" s="248">
        <f t="shared" si="10"/>
        <v>22.293749999999999</v>
      </c>
      <c r="H45" s="248">
        <f t="shared" si="10"/>
        <v>22.293749999999999</v>
      </c>
      <c r="I45" s="248">
        <f t="shared" si="10"/>
        <v>22.293749999999999</v>
      </c>
      <c r="J45" s="248">
        <f t="shared" si="10"/>
        <v>22.293749999999999</v>
      </c>
      <c r="K45" s="248">
        <f t="shared" si="10"/>
        <v>22.02375</v>
      </c>
      <c r="L45" s="248">
        <f t="shared" si="10"/>
        <v>20.478750000000002</v>
      </c>
      <c r="M45" s="249">
        <f t="shared" si="10"/>
        <v>20.478750000000002</v>
      </c>
    </row>
    <row r="46" spans="2:14">
      <c r="B46" s="33"/>
      <c r="F46" s="18"/>
      <c r="G46" s="18"/>
      <c r="H46" s="18"/>
      <c r="I46" s="18"/>
      <c r="J46" s="18"/>
      <c r="K46" s="18"/>
      <c r="L46" s="18"/>
      <c r="M46" s="123"/>
    </row>
    <row r="47" spans="2:14">
      <c r="B47" s="241" t="s">
        <v>193</v>
      </c>
      <c r="C47" s="245" t="s">
        <v>58</v>
      </c>
      <c r="D47" s="18" t="s">
        <v>194</v>
      </c>
      <c r="F47" s="18"/>
      <c r="G47" s="18"/>
      <c r="H47" s="18"/>
      <c r="I47" s="18"/>
      <c r="J47" s="18"/>
      <c r="K47" s="18"/>
      <c r="L47" s="18"/>
      <c r="M47" s="123"/>
    </row>
    <row r="48" spans="2:14">
      <c r="B48" s="241">
        <v>1</v>
      </c>
      <c r="C48" s="17">
        <f>'Income Statement'!J$6*Assumptions!$M$27</f>
        <v>28.460976058606519</v>
      </c>
      <c r="D48" s="18">
        <v>8</v>
      </c>
      <c r="F48" s="178">
        <f>IF($B48&gt;F$6,0,IF(F$6&gt;$D48+$B48-1,0,SLN($C48,0,$D48)))</f>
        <v>3.5576220073258149</v>
      </c>
      <c r="G48" s="178">
        <f t="shared" ref="F48:M55" si="11">IF($B48&gt;G$6,0,IF(G$6&gt;$D48+$B48-1,0,SLN($C48,0,$D48)))</f>
        <v>3.5576220073258149</v>
      </c>
      <c r="H48" s="178">
        <f t="shared" si="11"/>
        <v>3.5576220073258149</v>
      </c>
      <c r="I48" s="178">
        <f t="shared" si="11"/>
        <v>3.5576220073258149</v>
      </c>
      <c r="J48" s="178">
        <f t="shared" si="11"/>
        <v>3.5576220073258149</v>
      </c>
      <c r="K48" s="178">
        <f t="shared" si="11"/>
        <v>3.5576220073258149</v>
      </c>
      <c r="L48" s="178">
        <f t="shared" si="11"/>
        <v>3.5576220073258149</v>
      </c>
      <c r="M48" s="254">
        <f t="shared" si="11"/>
        <v>3.5576220073258149</v>
      </c>
    </row>
    <row r="49" spans="2:13">
      <c r="B49" s="241">
        <v>2</v>
      </c>
      <c r="C49" s="17">
        <f>'Income Statement'!K$6*Assumptions!$M$27</f>
        <v>32.580867555514267</v>
      </c>
      <c r="D49" s="18">
        <v>12</v>
      </c>
      <c r="F49" s="178">
        <f t="shared" si="11"/>
        <v>0</v>
      </c>
      <c r="G49" s="178">
        <f t="shared" si="11"/>
        <v>2.7150722962928557</v>
      </c>
      <c r="H49" s="178">
        <f t="shared" si="11"/>
        <v>2.7150722962928557</v>
      </c>
      <c r="I49" s="178">
        <f t="shared" si="11"/>
        <v>2.7150722962928557</v>
      </c>
      <c r="J49" s="178">
        <f t="shared" si="11"/>
        <v>2.7150722962928557</v>
      </c>
      <c r="K49" s="178">
        <f t="shared" si="11"/>
        <v>2.7150722962928557</v>
      </c>
      <c r="L49" s="178">
        <f t="shared" si="11"/>
        <v>2.7150722962928557</v>
      </c>
      <c r="M49" s="254">
        <f t="shared" si="11"/>
        <v>2.7150722962928557</v>
      </c>
    </row>
    <row r="50" spans="2:13">
      <c r="B50" s="241">
        <v>3</v>
      </c>
      <c r="C50" s="17">
        <f>'Income Statement'!L$6*Assumptions!$M$27</f>
        <v>37.297137262056886</v>
      </c>
      <c r="D50" s="18">
        <v>7</v>
      </c>
      <c r="F50" s="178">
        <f t="shared" si="11"/>
        <v>0</v>
      </c>
      <c r="G50" s="178">
        <f t="shared" si="11"/>
        <v>0</v>
      </c>
      <c r="H50" s="178">
        <f t="shared" si="11"/>
        <v>5.3281624660081262</v>
      </c>
      <c r="I50" s="178">
        <f t="shared" si="11"/>
        <v>5.3281624660081262</v>
      </c>
      <c r="J50" s="178">
        <f t="shared" si="11"/>
        <v>5.3281624660081262</v>
      </c>
      <c r="K50" s="178">
        <f t="shared" si="11"/>
        <v>5.3281624660081262</v>
      </c>
      <c r="L50" s="178">
        <f t="shared" si="11"/>
        <v>5.3281624660081262</v>
      </c>
      <c r="M50" s="254">
        <f t="shared" si="11"/>
        <v>5.3281624660081262</v>
      </c>
    </row>
    <row r="51" spans="2:13">
      <c r="B51" s="241">
        <v>4</v>
      </c>
      <c r="C51" s="17">
        <f>'Income Statement'!M$6*Assumptions!$M$27</f>
        <v>42.69611438598033</v>
      </c>
      <c r="D51" s="18">
        <v>9</v>
      </c>
      <c r="F51" s="178">
        <f t="shared" si="11"/>
        <v>0</v>
      </c>
      <c r="G51" s="178">
        <f t="shared" si="11"/>
        <v>0</v>
      </c>
      <c r="H51" s="178">
        <f t="shared" si="11"/>
        <v>0</v>
      </c>
      <c r="I51" s="178">
        <f t="shared" si="11"/>
        <v>4.7440127095533704</v>
      </c>
      <c r="J51" s="178">
        <f t="shared" si="11"/>
        <v>4.7440127095533704</v>
      </c>
      <c r="K51" s="178">
        <f t="shared" si="11"/>
        <v>4.7440127095533704</v>
      </c>
      <c r="L51" s="178">
        <f t="shared" si="11"/>
        <v>4.7440127095533704</v>
      </c>
      <c r="M51" s="254">
        <f t="shared" si="11"/>
        <v>4.7440127095533704</v>
      </c>
    </row>
    <row r="52" spans="2:13">
      <c r="B52" s="241">
        <v>5</v>
      </c>
      <c r="C52" s="17">
        <f>'Income Statement'!N$6*Assumptions!$M$27</f>
        <v>48.876624788982063</v>
      </c>
      <c r="D52" s="18">
        <v>13</v>
      </c>
      <c r="F52" s="178">
        <f t="shared" si="11"/>
        <v>0</v>
      </c>
      <c r="G52" s="178">
        <f t="shared" si="11"/>
        <v>0</v>
      </c>
      <c r="H52" s="178">
        <f t="shared" si="11"/>
        <v>0</v>
      </c>
      <c r="I52" s="178">
        <f t="shared" si="11"/>
        <v>0</v>
      </c>
      <c r="J52" s="178">
        <f t="shared" si="11"/>
        <v>3.7597403683832358</v>
      </c>
      <c r="K52" s="178">
        <f t="shared" si="11"/>
        <v>3.7597403683832358</v>
      </c>
      <c r="L52" s="178">
        <f t="shared" si="11"/>
        <v>3.7597403683832358</v>
      </c>
      <c r="M52" s="254">
        <f t="shared" si="11"/>
        <v>3.7597403683832358</v>
      </c>
    </row>
    <row r="53" spans="2:13">
      <c r="B53" s="241">
        <v>6</v>
      </c>
      <c r="C53" s="17">
        <f>'Income Statement'!O$6*Assumptions!$M$27</f>
        <v>55.951799949912115</v>
      </c>
      <c r="D53" s="18">
        <v>10</v>
      </c>
      <c r="F53" s="178">
        <f t="shared" si="11"/>
        <v>0</v>
      </c>
      <c r="G53" s="178">
        <f t="shared" si="11"/>
        <v>0</v>
      </c>
      <c r="H53" s="178">
        <f t="shared" si="11"/>
        <v>0</v>
      </c>
      <c r="I53" s="178">
        <f t="shared" si="11"/>
        <v>0</v>
      </c>
      <c r="J53" s="178">
        <f t="shared" si="11"/>
        <v>0</v>
      </c>
      <c r="K53" s="178">
        <f t="shared" si="11"/>
        <v>5.5951799949912111</v>
      </c>
      <c r="L53" s="178">
        <f t="shared" si="11"/>
        <v>5.5951799949912111</v>
      </c>
      <c r="M53" s="254">
        <f t="shared" si="11"/>
        <v>5.5951799949912111</v>
      </c>
    </row>
    <row r="54" spans="2:13">
      <c r="B54" s="241">
        <v>7</v>
      </c>
      <c r="C54" s="17">
        <f>'Income Statement'!P$6*Assumptions!$M$27</f>
        <v>64.051147785898195</v>
      </c>
      <c r="D54" s="18">
        <v>15</v>
      </c>
      <c r="F54" s="178">
        <f t="shared" si="11"/>
        <v>0</v>
      </c>
      <c r="G54" s="178">
        <f t="shared" si="11"/>
        <v>0</v>
      </c>
      <c r="H54" s="178">
        <f t="shared" si="11"/>
        <v>0</v>
      </c>
      <c r="I54" s="178">
        <f t="shared" si="11"/>
        <v>0</v>
      </c>
      <c r="J54" s="178">
        <f t="shared" si="11"/>
        <v>0</v>
      </c>
      <c r="K54" s="178">
        <f t="shared" si="11"/>
        <v>0</v>
      </c>
      <c r="L54" s="178">
        <f t="shared" si="11"/>
        <v>4.2700765190598799</v>
      </c>
      <c r="M54" s="254">
        <f t="shared" si="11"/>
        <v>4.2700765190598799</v>
      </c>
    </row>
    <row r="55" spans="2:13">
      <c r="B55" s="241">
        <v>8</v>
      </c>
      <c r="C55" s="17">
        <f>'Income Statement'!Q$6*Assumptions!$M$27</f>
        <v>73.322923236849604</v>
      </c>
      <c r="D55" s="18">
        <v>12</v>
      </c>
      <c r="F55" s="178">
        <f t="shared" si="11"/>
        <v>0</v>
      </c>
      <c r="G55" s="178">
        <f t="shared" si="11"/>
        <v>0</v>
      </c>
      <c r="H55" s="178">
        <f t="shared" si="11"/>
        <v>0</v>
      </c>
      <c r="I55" s="178">
        <f t="shared" si="11"/>
        <v>0</v>
      </c>
      <c r="J55" s="178">
        <f t="shared" si="11"/>
        <v>0</v>
      </c>
      <c r="K55" s="178">
        <f t="shared" si="11"/>
        <v>0</v>
      </c>
      <c r="L55" s="178">
        <f t="shared" si="11"/>
        <v>0</v>
      </c>
      <c r="M55" s="254">
        <f t="shared" si="11"/>
        <v>6.1102436030708001</v>
      </c>
    </row>
    <row r="56" spans="2:13">
      <c r="B56" s="33"/>
      <c r="D56" s="247" t="s">
        <v>60</v>
      </c>
      <c r="F56" s="255">
        <f>SUM(F48:F54)</f>
        <v>3.5576220073258149</v>
      </c>
      <c r="G56" s="255">
        <f t="shared" ref="G56:M56" si="12">SUM(G48:G54)</f>
        <v>6.2726943036186711</v>
      </c>
      <c r="H56" s="255">
        <f t="shared" si="12"/>
        <v>11.600856769626798</v>
      </c>
      <c r="I56" s="255">
        <f t="shared" si="12"/>
        <v>16.344869479180169</v>
      </c>
      <c r="J56" s="255">
        <f t="shared" si="12"/>
        <v>20.104609847563403</v>
      </c>
      <c r="K56" s="255">
        <f t="shared" si="12"/>
        <v>25.699789842554615</v>
      </c>
      <c r="L56" s="255">
        <f t="shared" si="12"/>
        <v>29.969866361614496</v>
      </c>
      <c r="M56" s="256">
        <f t="shared" si="12"/>
        <v>29.969866361614496</v>
      </c>
    </row>
    <row r="57" spans="2:13">
      <c r="B57" s="33"/>
      <c r="M57" s="32"/>
    </row>
    <row r="58" spans="2:13">
      <c r="B58" s="33"/>
      <c r="D58" s="7" t="s">
        <v>195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86">
        <v>0</v>
      </c>
    </row>
    <row r="59" spans="2:13">
      <c r="B59" s="141"/>
      <c r="C59" s="257"/>
      <c r="D59" s="258" t="s">
        <v>60</v>
      </c>
      <c r="E59" s="257"/>
      <c r="F59" s="227">
        <f>F45+F56+F58</f>
        <v>25.851372007325814</v>
      </c>
      <c r="G59" s="227">
        <f t="shared" ref="G59:M59" si="13">G45+G56+G58</f>
        <v>28.56644430361867</v>
      </c>
      <c r="H59" s="227">
        <f t="shared" si="13"/>
        <v>33.894606769626797</v>
      </c>
      <c r="I59" s="227">
        <f t="shared" si="13"/>
        <v>38.638619479180164</v>
      </c>
      <c r="J59" s="227">
        <f t="shared" si="13"/>
        <v>42.398359847563398</v>
      </c>
      <c r="K59" s="227">
        <f t="shared" si="13"/>
        <v>47.723539842554615</v>
      </c>
      <c r="L59" s="227">
        <f t="shared" si="13"/>
        <v>50.448616361614498</v>
      </c>
      <c r="M59" s="228">
        <f t="shared" si="13"/>
        <v>50.448616361614498</v>
      </c>
    </row>
  </sheetData>
  <mergeCells count="2">
    <mergeCell ref="B3:D4"/>
    <mergeCell ref="B29:D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DD9-7757-4300-A860-1BCE8CF17055}">
  <dimension ref="B3:K39"/>
  <sheetViews>
    <sheetView showGridLines="0" workbookViewId="0">
      <selection activeCell="B3" sqref="B3"/>
    </sheetView>
  </sheetViews>
  <sheetFormatPr defaultRowHeight="14.45"/>
  <cols>
    <col min="2" max="2" width="20.85546875" bestFit="1" customWidth="1"/>
    <col min="5" max="5" width="12.5703125" bestFit="1" customWidth="1"/>
    <col min="6" max="6" width="11" bestFit="1" customWidth="1"/>
    <col min="8" max="8" width="16.85546875" bestFit="1" customWidth="1"/>
    <col min="9" max="9" width="10.42578125" bestFit="1" customWidth="1"/>
    <col min="11" max="11" width="9.42578125" customWidth="1"/>
  </cols>
  <sheetData>
    <row r="3" spans="2:11" ht="18">
      <c r="B3" s="275" t="s">
        <v>198</v>
      </c>
    </row>
    <row r="5" spans="2:11">
      <c r="B5" s="267" t="s">
        <v>199</v>
      </c>
      <c r="C5" s="153"/>
      <c r="D5" s="273" t="s">
        <v>200</v>
      </c>
      <c r="E5" s="273" t="s">
        <v>201</v>
      </c>
      <c r="F5" s="274" t="s">
        <v>202</v>
      </c>
      <c r="H5" s="267" t="s">
        <v>203</v>
      </c>
      <c r="I5" s="273" t="s">
        <v>204</v>
      </c>
      <c r="J5" s="273" t="s">
        <v>205</v>
      </c>
      <c r="K5" s="283" t="s">
        <v>206</v>
      </c>
    </row>
    <row r="6" spans="2:11">
      <c r="B6" s="33"/>
      <c r="F6" s="32"/>
      <c r="H6" s="33"/>
      <c r="K6" s="32"/>
    </row>
    <row r="7" spans="2:11">
      <c r="B7" s="33" t="s">
        <v>178</v>
      </c>
      <c r="D7" s="16">
        <f>Assumptions!C20</f>
        <v>364.9444706000001</v>
      </c>
      <c r="E7" s="25">
        <f>Assumptions!J7</f>
        <v>7.4999999999999997E-2</v>
      </c>
      <c r="F7" s="34">
        <f>E7*(D7/$D$14)</f>
        <v>3.4022681787858569E-2</v>
      </c>
      <c r="H7" s="33" t="s">
        <v>207</v>
      </c>
      <c r="I7" s="25">
        <f>D14/(D14+'Balance sheet '!K49)</f>
        <v>0.73637015200468092</v>
      </c>
      <c r="J7" s="25">
        <f>C17</f>
        <v>7.3327700302842733E-2</v>
      </c>
      <c r="K7" s="34">
        <f>I7*J7</f>
        <v>5.3996329818157988E-2</v>
      </c>
    </row>
    <row r="8" spans="2:11">
      <c r="B8" s="33" t="s">
        <v>179</v>
      </c>
      <c r="D8" s="16">
        <f>Assumptions!C21</f>
        <v>245.80083461000007</v>
      </c>
      <c r="E8" s="25">
        <f>Assumptions!J14</f>
        <v>8.5000000000000006E-2</v>
      </c>
      <c r="F8" s="34">
        <f t="shared" ref="F8:F12" si="0">E8*(D8/$D$14)</f>
        <v>2.5970647098065375E-2</v>
      </c>
      <c r="H8" s="33" t="s">
        <v>208</v>
      </c>
      <c r="I8" s="25">
        <f>'Balance sheet '!K49/(WACC!D14+'Balance sheet '!K49)</f>
        <v>0.26362984799531924</v>
      </c>
      <c r="J8" s="25">
        <f>C18</f>
        <v>0.16505432004601173</v>
      </c>
      <c r="K8" s="34">
        <f>I8*J8</f>
        <v>4.3513245304700847E-2</v>
      </c>
    </row>
    <row r="9" spans="2:11">
      <c r="B9" s="100" t="s">
        <v>37</v>
      </c>
      <c r="D9" s="16">
        <f>Assumptions!C22</f>
        <v>96.60294810000002</v>
      </c>
      <c r="E9" s="25">
        <f>Assumptions!J19</f>
        <v>0.1</v>
      </c>
      <c r="F9" s="34">
        <f t="shared" si="0"/>
        <v>1.200800533689126E-2</v>
      </c>
      <c r="H9" s="33"/>
      <c r="K9" s="32"/>
    </row>
    <row r="10" spans="2:11">
      <c r="B10" s="100" t="s">
        <v>49</v>
      </c>
      <c r="D10" s="16">
        <f>Assumptions!C23</f>
        <v>48.30147405000001</v>
      </c>
      <c r="E10" s="25">
        <f>Assumptions!J24</f>
        <v>0.115</v>
      </c>
      <c r="F10" s="34">
        <f t="shared" si="0"/>
        <v>6.9046030687124737E-3</v>
      </c>
      <c r="H10" s="267" t="s">
        <v>198</v>
      </c>
      <c r="I10" s="268"/>
      <c r="J10" s="268"/>
      <c r="K10" s="281">
        <f>SUM(K7:K8)</f>
        <v>9.7509575122858835E-2</v>
      </c>
    </row>
    <row r="11" spans="2:11">
      <c r="B11" s="100" t="s">
        <v>51</v>
      </c>
      <c r="D11" s="16">
        <f>Assumptions!C24</f>
        <v>28.229528167000005</v>
      </c>
      <c r="E11" s="25">
        <f>Assumptions!J29</f>
        <v>0.13</v>
      </c>
      <c r="F11" s="34">
        <f t="shared" si="0"/>
        <v>4.5617078052034681E-3</v>
      </c>
    </row>
    <row r="12" spans="2:11">
      <c r="B12" s="100" t="s">
        <v>52</v>
      </c>
      <c r="D12" s="16">
        <f>Assumptions!C25</f>
        <v>20.608628928000002</v>
      </c>
      <c r="E12" s="25">
        <f>Assumptions!J36</f>
        <v>0.06</v>
      </c>
      <c r="F12" s="34">
        <f t="shared" si="0"/>
        <v>1.5370246831220809E-3</v>
      </c>
    </row>
    <row r="13" spans="2:11">
      <c r="B13" s="33"/>
      <c r="F13" s="32"/>
    </row>
    <row r="14" spans="2:11">
      <c r="B14" s="267" t="s">
        <v>60</v>
      </c>
      <c r="C14" s="153"/>
      <c r="D14" s="277">
        <f>SUM(D7:D12)</f>
        <v>804.48788445500031</v>
      </c>
      <c r="E14" s="278"/>
      <c r="F14" s="279">
        <f>SUM(F7:F12)</f>
        <v>8.5004669779853242E-2</v>
      </c>
    </row>
    <row r="15" spans="2:11">
      <c r="B15" s="33"/>
      <c r="E15" s="280" t="s">
        <v>209</v>
      </c>
      <c r="F15" s="281">
        <f>F14*(1-Assumptions!M9)</f>
        <v>7.3327700302842733E-2</v>
      </c>
    </row>
    <row r="16" spans="2:11">
      <c r="B16" s="33"/>
      <c r="F16" s="32"/>
    </row>
    <row r="17" spans="2:6">
      <c r="B17" s="33" t="s">
        <v>210</v>
      </c>
      <c r="C17" s="25">
        <f>F15</f>
        <v>7.3327700302842733E-2</v>
      </c>
      <c r="F17" s="32"/>
    </row>
    <row r="18" spans="2:6">
      <c r="B18" s="33" t="s">
        <v>211</v>
      </c>
      <c r="C18" s="25">
        <f>(C39*C21)+C20</f>
        <v>0.16505432004601173</v>
      </c>
      <c r="D18" s="6"/>
      <c r="F18" s="32"/>
    </row>
    <row r="19" spans="2:6">
      <c r="B19" s="33"/>
      <c r="F19" s="32"/>
    </row>
    <row r="20" spans="2:6">
      <c r="B20" s="33" t="s">
        <v>212</v>
      </c>
      <c r="C20" s="25">
        <v>7.0000000000000007E-2</v>
      </c>
      <c r="F20" s="32"/>
    </row>
    <row r="21" spans="2:6">
      <c r="B21" s="33" t="s">
        <v>213</v>
      </c>
      <c r="C21" s="25">
        <v>3.5999999999999997E-2</v>
      </c>
      <c r="F21" s="32"/>
    </row>
    <row r="22" spans="2:6">
      <c r="B22" s="141" t="s">
        <v>214</v>
      </c>
      <c r="C22" s="257">
        <v>0.78</v>
      </c>
      <c r="D22" s="257"/>
      <c r="E22" s="257"/>
      <c r="F22" s="276"/>
    </row>
    <row r="24" spans="2:6">
      <c r="B24" s="98" t="s">
        <v>215</v>
      </c>
      <c r="C24" s="66"/>
    </row>
    <row r="25" spans="2:6">
      <c r="B25" s="33"/>
      <c r="C25" s="32"/>
    </row>
    <row r="26" spans="2:6">
      <c r="B26" s="233" t="s">
        <v>216</v>
      </c>
      <c r="C26" s="32"/>
    </row>
    <row r="27" spans="2:6">
      <c r="B27" s="33" t="s">
        <v>217</v>
      </c>
      <c r="C27" s="39">
        <f>'Balance sheet '!H29</f>
        <v>7.1</v>
      </c>
    </row>
    <row r="28" spans="2:6">
      <c r="B28" s="33" t="s">
        <v>218</v>
      </c>
      <c r="C28" s="39">
        <f>'Balance sheet '!H25-'Balance sheet '!H45</f>
        <v>850.60000000000014</v>
      </c>
    </row>
    <row r="29" spans="2:6">
      <c r="B29" s="33" t="s">
        <v>219</v>
      </c>
      <c r="C29" s="39">
        <f>C27/C28</f>
        <v>8.3470491417822704E-3</v>
      </c>
    </row>
    <row r="30" spans="2:6">
      <c r="B30" s="33"/>
      <c r="C30" s="32"/>
    </row>
    <row r="31" spans="2:6">
      <c r="B31" s="233" t="s">
        <v>220</v>
      </c>
      <c r="C31" s="32"/>
    </row>
    <row r="32" spans="2:6">
      <c r="B32" s="33" t="s">
        <v>217</v>
      </c>
      <c r="C32" s="39">
        <f>SUM('Balance sheet '!K34:K39)</f>
        <v>804.48788445500031</v>
      </c>
    </row>
    <row r="33" spans="2:3">
      <c r="B33" s="33" t="s">
        <v>221</v>
      </c>
      <c r="C33" s="86">
        <f>'Balance sheet '!K25-'Balance sheet '!K45</f>
        <v>288.01685961274484</v>
      </c>
    </row>
    <row r="34" spans="2:3">
      <c r="B34" s="33" t="s">
        <v>219</v>
      </c>
      <c r="C34" s="39">
        <f>C32/C33</f>
        <v>2.7931971952498902</v>
      </c>
    </row>
    <row r="35" spans="2:3">
      <c r="B35" s="33"/>
      <c r="C35" s="32"/>
    </row>
    <row r="36" spans="2:3">
      <c r="B36" s="33" t="s">
        <v>20</v>
      </c>
      <c r="C36" s="34">
        <f>Assumptions!M9</f>
        <v>0.13736856465946812</v>
      </c>
    </row>
    <row r="37" spans="2:3">
      <c r="B37" s="33"/>
      <c r="C37" s="32"/>
    </row>
    <row r="38" spans="2:3">
      <c r="B38" s="33" t="s">
        <v>222</v>
      </c>
      <c r="C38" s="39">
        <f>C22/(1+(1-C36)*C29)</f>
        <v>0.77442381784644898</v>
      </c>
    </row>
    <row r="39" spans="2:3">
      <c r="B39" s="141" t="s">
        <v>223</v>
      </c>
      <c r="C39" s="175">
        <f>C38*(1+(1-C36)*C34)</f>
        <v>2.6403977790558817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8D21-814E-44B6-8399-22058F34702F}">
  <dimension ref="B3:J33"/>
  <sheetViews>
    <sheetView showGridLines="0" workbookViewId="0">
      <selection activeCell="B3" sqref="B3"/>
    </sheetView>
  </sheetViews>
  <sheetFormatPr defaultRowHeight="14.45"/>
  <cols>
    <col min="2" max="2" width="32" bestFit="1" customWidth="1"/>
  </cols>
  <sheetData>
    <row r="3" spans="2:10" ht="15.6">
      <c r="B3" s="319" t="s">
        <v>224</v>
      </c>
      <c r="C3" s="300">
        <v>2026</v>
      </c>
      <c r="D3" s="239">
        <v>2027</v>
      </c>
      <c r="E3" s="239">
        <v>2028</v>
      </c>
      <c r="F3" s="239">
        <v>2029</v>
      </c>
      <c r="G3" s="239">
        <v>2030</v>
      </c>
      <c r="H3" s="239">
        <v>2031</v>
      </c>
      <c r="I3" s="239">
        <v>2032</v>
      </c>
      <c r="J3" s="240">
        <v>2033</v>
      </c>
    </row>
    <row r="4" spans="2:10">
      <c r="B4" s="33"/>
      <c r="C4" s="176"/>
      <c r="D4" s="177"/>
      <c r="E4" s="177"/>
      <c r="F4" s="177"/>
      <c r="G4" s="177"/>
      <c r="H4" s="177"/>
      <c r="I4" s="177"/>
      <c r="J4" s="259"/>
    </row>
    <row r="5" spans="2:10">
      <c r="B5" s="33" t="s">
        <v>225</v>
      </c>
      <c r="C5" s="16">
        <f>SUM('Income Statement'!J11,'Income Statement'!J14,'Income Statement'!J21)</f>
        <v>257.55710081547448</v>
      </c>
      <c r="D5" s="16">
        <f>SUM('Income Statement'!K11,'Income Statement'!K14,'Income Statement'!K21)</f>
        <v>302.82506489147409</v>
      </c>
      <c r="E5" s="16">
        <f>SUM('Income Statement'!L11,'Income Statement'!L14,'Income Statement'!L21)</f>
        <v>349.0801391034704</v>
      </c>
      <c r="F5" s="16">
        <f>SUM('Income Statement'!M11,'Income Statement'!M14,'Income Statement'!M21)</f>
        <v>387.06072586620564</v>
      </c>
      <c r="G5" s="16">
        <f>SUM('Income Statement'!N11,'Income Statement'!N14,'Income Statement'!N21)</f>
        <v>429.84936628290677</v>
      </c>
      <c r="H5" s="16">
        <f>SUM('Income Statement'!O11,'Income Statement'!O14,'Income Statement'!O21)</f>
        <v>478.3305260387225</v>
      </c>
      <c r="I5" s="16">
        <f>SUM('Income Statement'!P11,'Income Statement'!P14,'Income Statement'!P21)</f>
        <v>536.98935547917176</v>
      </c>
      <c r="J5" s="39">
        <f>SUM('Income Statement'!Q11,'Income Statement'!Q14,'Income Statement'!Q21)</f>
        <v>604.973994689243</v>
      </c>
    </row>
    <row r="6" spans="2:10">
      <c r="B6" s="33"/>
      <c r="J6" s="32"/>
    </row>
    <row r="7" spans="2:10">
      <c r="B7" s="33" t="s">
        <v>226</v>
      </c>
      <c r="C7" s="16">
        <f>'D&amp;A'!F27</f>
        <v>23.750847605860649</v>
      </c>
      <c r="D7" s="16">
        <f>'D&amp;A'!G27</f>
        <v>26.078052431254527</v>
      </c>
      <c r="E7" s="16">
        <f>'D&amp;A'!H27</f>
        <v>28.409123510133078</v>
      </c>
      <c r="F7" s="16">
        <f>'D&amp;A'!I27</f>
        <v>31.967133042298109</v>
      </c>
      <c r="G7" s="16">
        <f>'D&amp;A'!J27</f>
        <v>35.225574694896913</v>
      </c>
      <c r="H7" s="16">
        <f>'D&amp;A'!K27</f>
        <v>41.903549688635927</v>
      </c>
      <c r="I7" s="16">
        <f>'D&amp;A'!L27</f>
        <v>45.590561056781944</v>
      </c>
      <c r="J7" s="39">
        <f>'D&amp;A'!M27</f>
        <v>52.922853380466904</v>
      </c>
    </row>
    <row r="8" spans="2:10">
      <c r="B8" s="33" t="s">
        <v>227</v>
      </c>
      <c r="C8" s="16">
        <f>-'D&amp;A'!F59</f>
        <v>-25.851372007325814</v>
      </c>
      <c r="D8" s="16">
        <f>-'D&amp;A'!G59</f>
        <v>-28.56644430361867</v>
      </c>
      <c r="E8" s="16">
        <f>-'D&amp;A'!H59</f>
        <v>-33.894606769626797</v>
      </c>
      <c r="F8" s="16">
        <f>-'D&amp;A'!I59</f>
        <v>-38.638619479180164</v>
      </c>
      <c r="G8" s="16">
        <f>-'D&amp;A'!J59</f>
        <v>-42.398359847563398</v>
      </c>
      <c r="H8" s="16">
        <f>-'D&amp;A'!K59</f>
        <v>-47.723539842554615</v>
      </c>
      <c r="I8" s="16">
        <f>-'D&amp;A'!L59</f>
        <v>-50.448616361614498</v>
      </c>
      <c r="J8" s="39">
        <f>-'D&amp;A'!M59</f>
        <v>-50.448616361614498</v>
      </c>
    </row>
    <row r="9" spans="2:10">
      <c r="B9" s="33"/>
      <c r="J9" s="32"/>
    </row>
    <row r="10" spans="2:10">
      <c r="B10" s="33" t="s">
        <v>228</v>
      </c>
      <c r="C10" s="16">
        <f>C32</f>
        <v>0.5</v>
      </c>
      <c r="D10" s="16">
        <f t="shared" ref="D10:J10" si="0">D32</f>
        <v>0.60000000000000009</v>
      </c>
      <c r="E10" s="16">
        <f t="shared" si="0"/>
        <v>0.70000000000000018</v>
      </c>
      <c r="F10" s="16">
        <f t="shared" si="0"/>
        <v>0.79999999999999982</v>
      </c>
      <c r="G10" s="16">
        <f t="shared" si="0"/>
        <v>0.90000000000000036</v>
      </c>
      <c r="H10" s="16">
        <f t="shared" si="0"/>
        <v>1</v>
      </c>
      <c r="I10" s="16">
        <f t="shared" si="0"/>
        <v>1.2000000000000002</v>
      </c>
      <c r="J10" s="39">
        <f t="shared" si="0"/>
        <v>1.2999999999999998</v>
      </c>
    </row>
    <row r="11" spans="2:10">
      <c r="B11" s="33" t="s">
        <v>229</v>
      </c>
      <c r="C11" s="16">
        <f>-C33</f>
        <v>-0.60000000000000009</v>
      </c>
      <c r="D11" s="16">
        <f t="shared" ref="D11:J11" si="1">-D33</f>
        <v>-0.70000000000000018</v>
      </c>
      <c r="E11" s="16">
        <f t="shared" si="1"/>
        <v>-0.79999999999999982</v>
      </c>
      <c r="F11" s="16">
        <f t="shared" si="1"/>
        <v>-1</v>
      </c>
      <c r="G11" s="16">
        <f t="shared" si="1"/>
        <v>-1.2999999999999998</v>
      </c>
      <c r="H11" s="16">
        <f t="shared" si="1"/>
        <v>-1.4000000000000004</v>
      </c>
      <c r="I11" s="16">
        <f t="shared" si="1"/>
        <v>-1.4000000000000004</v>
      </c>
      <c r="J11" s="39">
        <f t="shared" si="1"/>
        <v>-1.5999999999999996</v>
      </c>
    </row>
    <row r="12" spans="2:10">
      <c r="B12" s="33"/>
      <c r="J12" s="32"/>
    </row>
    <row r="13" spans="2:10">
      <c r="B13" s="33" t="s">
        <v>230</v>
      </c>
      <c r="C13" s="6">
        <f>'D&amp;A'!F26</f>
        <v>0</v>
      </c>
      <c r="D13" s="6">
        <f>'D&amp;A'!G26</f>
        <v>0</v>
      </c>
      <c r="E13" s="6">
        <f>'D&amp;A'!H26</f>
        <v>0</v>
      </c>
      <c r="F13" s="6">
        <f>'D&amp;A'!I26</f>
        <v>0</v>
      </c>
      <c r="G13" s="6">
        <f>'D&amp;A'!J26</f>
        <v>0</v>
      </c>
      <c r="H13" s="6">
        <f>'D&amp;A'!K26</f>
        <v>0</v>
      </c>
      <c r="I13" s="6">
        <f>'D&amp;A'!L26</f>
        <v>0</v>
      </c>
      <c r="J13" s="86">
        <f>'D&amp;A'!M26</f>
        <v>0</v>
      </c>
    </row>
    <row r="14" spans="2:10">
      <c r="B14" s="33"/>
      <c r="J14" s="32"/>
    </row>
    <row r="15" spans="2:10">
      <c r="B15" s="33" t="s">
        <v>231</v>
      </c>
      <c r="C15" s="16">
        <f>SUM(C5,C7:C8,C10:C11,C13)</f>
        <v>255.35657641400934</v>
      </c>
      <c r="D15" s="16">
        <f t="shared" ref="D15:J15" si="2">SUM(D5,D7:D8,D10:D11,D13)</f>
        <v>300.23667301911001</v>
      </c>
      <c r="E15" s="16">
        <f t="shared" si="2"/>
        <v>343.49465584397666</v>
      </c>
      <c r="F15" s="16">
        <f t="shared" si="2"/>
        <v>380.18923942932355</v>
      </c>
      <c r="G15" s="16">
        <f t="shared" si="2"/>
        <v>422.27658113024023</v>
      </c>
      <c r="H15" s="16">
        <f t="shared" si="2"/>
        <v>472.11053588480388</v>
      </c>
      <c r="I15" s="16">
        <f t="shared" si="2"/>
        <v>531.93130017433919</v>
      </c>
      <c r="J15" s="39">
        <f t="shared" si="2"/>
        <v>607.1482317080953</v>
      </c>
    </row>
    <row r="16" spans="2:10">
      <c r="B16" s="33"/>
      <c r="J16" s="32"/>
    </row>
    <row r="17" spans="2:10">
      <c r="B17" s="33" t="s">
        <v>232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86">
        <v>0</v>
      </c>
    </row>
    <row r="18" spans="2:10">
      <c r="B18" s="33" t="s">
        <v>233</v>
      </c>
      <c r="C18" s="16">
        <f>C15-C17</f>
        <v>255.35657641400934</v>
      </c>
      <c r="D18" s="16">
        <f t="shared" ref="D18:J18" si="3">D15-D17</f>
        <v>300.23667301911001</v>
      </c>
      <c r="E18" s="16">
        <f t="shared" si="3"/>
        <v>343.49465584397666</v>
      </c>
      <c r="F18" s="16">
        <f t="shared" si="3"/>
        <v>380.18923942932355</v>
      </c>
      <c r="G18" s="16">
        <f t="shared" si="3"/>
        <v>422.27658113024023</v>
      </c>
      <c r="H18" s="16">
        <f t="shared" si="3"/>
        <v>472.11053588480388</v>
      </c>
      <c r="I18" s="16">
        <f t="shared" si="3"/>
        <v>531.93130017433919</v>
      </c>
      <c r="J18" s="39">
        <f t="shared" si="3"/>
        <v>607.1482317080953</v>
      </c>
    </row>
    <row r="19" spans="2:10">
      <c r="B19" s="33"/>
      <c r="J19" s="32"/>
    </row>
    <row r="20" spans="2:10">
      <c r="B20" s="33" t="s">
        <v>234</v>
      </c>
      <c r="C20" s="16">
        <f>C18*Assumptions!$M$9</f>
        <v>35.07796637834825</v>
      </c>
      <c r="D20" s="16">
        <f>D18*Assumptions!$M$9</f>
        <v>41.243080830769202</v>
      </c>
      <c r="E20" s="16">
        <f>E18*Assumptions!$M$9</f>
        <v>47.185367841485053</v>
      </c>
      <c r="F20" s="16">
        <f>F18*Assumptions!$M$9</f>
        <v>52.226050119381036</v>
      </c>
      <c r="G20" s="16">
        <f>G18*Assumptions!$M$9</f>
        <v>58.007527839168539</v>
      </c>
      <c r="H20" s="16">
        <f>H18*Assumptions!$M$9</f>
        <v>64.853146675107823</v>
      </c>
      <c r="I20" s="16">
        <f>I18*Assumptions!$M$9</f>
        <v>73.07063920239365</v>
      </c>
      <c r="J20" s="39">
        <f>J18*Assumptions!$M$9</f>
        <v>83.403081125275222</v>
      </c>
    </row>
    <row r="21" spans="2:10">
      <c r="B21" s="33"/>
      <c r="J21" s="32"/>
    </row>
    <row r="22" spans="2:10">
      <c r="B22" s="33" t="s">
        <v>235</v>
      </c>
      <c r="C22" s="16">
        <f>(C5+C13)*Assumptions!$M$9</f>
        <v>35.380249256875658</v>
      </c>
      <c r="D22" s="16">
        <f>(D5+D13)*Assumptions!$M$9</f>
        <v>41.598644507052086</v>
      </c>
      <c r="E22" s="16">
        <f>(E5+E13)*Assumptions!$M$9</f>
        <v>47.952637659771199</v>
      </c>
      <c r="F22" s="16">
        <f>(F5+F13)*Assumptions!$M$9</f>
        <v>53.169976348292536</v>
      </c>
      <c r="G22" s="16">
        <f>(G5+G13)*Assumptions!$M$9</f>
        <v>59.047790466064875</v>
      </c>
      <c r="H22" s="16">
        <f>(H5+H13)*Assumptions!$M$9</f>
        <v>65.70757779474765</v>
      </c>
      <c r="I22" s="16">
        <f>(I5+I13)*Assumptions!$M$9</f>
        <v>73.765456999586718</v>
      </c>
      <c r="J22" s="39">
        <f>(J5+J13)*Assumptions!$M$9</f>
        <v>83.104409306766001</v>
      </c>
    </row>
    <row r="23" spans="2:10">
      <c r="B23" s="141" t="s">
        <v>236</v>
      </c>
      <c r="C23" s="220">
        <f>C20-C22</f>
        <v>-0.30228287852740721</v>
      </c>
      <c r="D23" s="220">
        <f t="shared" ref="D23:J23" si="4">D20-D22</f>
        <v>-0.35556367628288399</v>
      </c>
      <c r="E23" s="220">
        <f t="shared" si="4"/>
        <v>-0.76726981828614527</v>
      </c>
      <c r="F23" s="220">
        <f t="shared" si="4"/>
        <v>-0.94392622891150069</v>
      </c>
      <c r="G23" s="220">
        <f t="shared" si="4"/>
        <v>-1.040262626896336</v>
      </c>
      <c r="H23" s="220">
        <f t="shared" si="4"/>
        <v>-0.85443111963982687</v>
      </c>
      <c r="I23" s="220">
        <f t="shared" si="4"/>
        <v>-0.69481779719306758</v>
      </c>
      <c r="J23" s="175">
        <f t="shared" si="4"/>
        <v>0.29867181850922009</v>
      </c>
    </row>
    <row r="26" spans="2:10">
      <c r="B26" s="65" t="s">
        <v>237</v>
      </c>
      <c r="C26" s="99"/>
      <c r="D26" s="99"/>
      <c r="E26" s="99"/>
      <c r="F26" s="99"/>
      <c r="G26" s="99"/>
      <c r="H26" s="99"/>
      <c r="I26" s="99"/>
      <c r="J26" s="66"/>
    </row>
    <row r="27" spans="2:10">
      <c r="B27" s="33" t="s">
        <v>238</v>
      </c>
      <c r="C27" s="6">
        <v>3</v>
      </c>
      <c r="D27" s="6">
        <v>3.5</v>
      </c>
      <c r="E27" s="6">
        <v>4</v>
      </c>
      <c r="F27" s="6">
        <v>4.5</v>
      </c>
      <c r="G27" s="6">
        <v>5</v>
      </c>
      <c r="H27" s="6">
        <v>5.5</v>
      </c>
      <c r="I27" s="6">
        <v>6</v>
      </c>
      <c r="J27" s="86">
        <v>6.5</v>
      </c>
    </row>
    <row r="28" spans="2:10">
      <c r="B28" s="33"/>
      <c r="J28" s="32"/>
    </row>
    <row r="29" spans="2:10">
      <c r="B29" s="33" t="s">
        <v>239</v>
      </c>
      <c r="C29">
        <v>2.5</v>
      </c>
      <c r="D29">
        <v>2.9</v>
      </c>
      <c r="E29">
        <v>3.3</v>
      </c>
      <c r="F29">
        <v>3.7</v>
      </c>
      <c r="G29">
        <v>4.0999999999999996</v>
      </c>
      <c r="H29">
        <v>4.5</v>
      </c>
      <c r="I29">
        <v>4.8</v>
      </c>
      <c r="J29" s="32">
        <v>5.2</v>
      </c>
    </row>
    <row r="30" spans="2:10">
      <c r="B30" s="33" t="s">
        <v>240</v>
      </c>
      <c r="C30">
        <v>2.4</v>
      </c>
      <c r="D30">
        <v>2.8</v>
      </c>
      <c r="E30">
        <v>3.2</v>
      </c>
      <c r="F30">
        <v>3.5</v>
      </c>
      <c r="G30">
        <v>3.7</v>
      </c>
      <c r="H30">
        <v>4.0999999999999996</v>
      </c>
      <c r="I30">
        <v>4.5999999999999996</v>
      </c>
      <c r="J30" s="32">
        <v>4.9000000000000004</v>
      </c>
    </row>
    <row r="31" spans="2:10">
      <c r="B31" s="33"/>
      <c r="J31" s="32"/>
    </row>
    <row r="32" spans="2:10">
      <c r="B32" s="33" t="s">
        <v>241</v>
      </c>
      <c r="C32" s="6">
        <f>C27-C29</f>
        <v>0.5</v>
      </c>
      <c r="D32" s="6">
        <f t="shared" ref="D32:J32" si="5">D27-D29</f>
        <v>0.60000000000000009</v>
      </c>
      <c r="E32" s="6">
        <f t="shared" si="5"/>
        <v>0.70000000000000018</v>
      </c>
      <c r="F32" s="6">
        <f t="shared" si="5"/>
        <v>0.79999999999999982</v>
      </c>
      <c r="G32" s="6">
        <f t="shared" si="5"/>
        <v>0.90000000000000036</v>
      </c>
      <c r="H32" s="6">
        <f t="shared" si="5"/>
        <v>1</v>
      </c>
      <c r="I32" s="6">
        <f t="shared" si="5"/>
        <v>1.2000000000000002</v>
      </c>
      <c r="J32" s="86">
        <f t="shared" si="5"/>
        <v>1.2999999999999998</v>
      </c>
    </row>
    <row r="33" spans="2:10">
      <c r="B33" s="141" t="s">
        <v>242</v>
      </c>
      <c r="C33" s="260">
        <f>C27-C30</f>
        <v>0.60000000000000009</v>
      </c>
      <c r="D33" s="260">
        <f t="shared" ref="D33:J33" si="6">D27-D30</f>
        <v>0.70000000000000018</v>
      </c>
      <c r="E33" s="260">
        <f t="shared" si="6"/>
        <v>0.79999999999999982</v>
      </c>
      <c r="F33" s="260">
        <f t="shared" si="6"/>
        <v>1</v>
      </c>
      <c r="G33" s="260">
        <f t="shared" si="6"/>
        <v>1.2999999999999998</v>
      </c>
      <c r="H33" s="260">
        <f t="shared" si="6"/>
        <v>1.4000000000000004</v>
      </c>
      <c r="I33" s="260">
        <f t="shared" si="6"/>
        <v>1.4000000000000004</v>
      </c>
      <c r="J33" s="261">
        <f t="shared" si="6"/>
        <v>1.5999999999999996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70F-888B-4D74-A47E-F96B108311BD}">
  <dimension ref="B2:T42"/>
  <sheetViews>
    <sheetView showGridLines="0" zoomScale="122" workbookViewId="0">
      <selection activeCell="B2" sqref="B2"/>
    </sheetView>
  </sheetViews>
  <sheetFormatPr defaultRowHeight="14.45"/>
  <cols>
    <col min="2" max="2" width="15.7109375" customWidth="1"/>
    <col min="3" max="3" width="8.85546875" customWidth="1"/>
    <col min="4" max="4" width="10.140625" customWidth="1"/>
    <col min="5" max="6" width="10" bestFit="1" customWidth="1"/>
    <col min="9" max="11" width="10" bestFit="1" customWidth="1"/>
    <col min="12" max="13" width="9.42578125" bestFit="1" customWidth="1"/>
    <col min="14" max="14" width="21.85546875" customWidth="1"/>
  </cols>
  <sheetData>
    <row r="2" spans="2:13" ht="18">
      <c r="B2" s="318" t="s">
        <v>243</v>
      </c>
      <c r="C2" s="317"/>
    </row>
    <row r="4" spans="2:13">
      <c r="B4" s="346" t="s">
        <v>244</v>
      </c>
      <c r="C4" s="347"/>
      <c r="D4" s="346"/>
    </row>
    <row r="5" spans="2:13">
      <c r="B5" s="282" t="s">
        <v>245</v>
      </c>
      <c r="C5" s="66"/>
      <c r="D5" s="290">
        <f>NPV($C24,'Cash Flow Statement '!$C$50:$J$50)</f>
        <v>1652.5130705402985</v>
      </c>
    </row>
    <row r="6" spans="2:13">
      <c r="B6" s="282" t="s">
        <v>246</v>
      </c>
      <c r="C6" s="66"/>
      <c r="D6" s="290">
        <f>NPV($C25,'Cash Flow Statement '!$C$50:$J$50)</f>
        <v>1526.0710915169175</v>
      </c>
    </row>
    <row r="7" spans="2:13">
      <c r="B7" s="282" t="s">
        <v>247</v>
      </c>
      <c r="C7" s="269"/>
      <c r="D7" s="290">
        <f>NPV($C26,'Cash Flow Statement '!$C$50:$J$50)</f>
        <v>1413.8661004969142</v>
      </c>
    </row>
    <row r="9" spans="2:13">
      <c r="B9" s="346" t="s">
        <v>248</v>
      </c>
      <c r="C9" s="347"/>
      <c r="D9" s="346"/>
      <c r="H9" s="347" t="s">
        <v>249</v>
      </c>
      <c r="I9" s="347"/>
      <c r="J9" s="347"/>
      <c r="K9" s="346"/>
      <c r="L9" s="346"/>
      <c r="M9" s="346"/>
    </row>
    <row r="10" spans="2:13">
      <c r="B10" s="282" t="s">
        <v>250</v>
      </c>
      <c r="C10" s="262"/>
      <c r="D10" s="290">
        <f>('Cash Flow Statement '!$J$44+'Cash Flow Statement '!$J$47)*10</f>
        <v>6840.6266892377143</v>
      </c>
      <c r="H10" s="287"/>
      <c r="I10" s="273"/>
      <c r="J10" s="274"/>
      <c r="K10" s="285" t="s">
        <v>251</v>
      </c>
      <c r="L10" s="235" t="s">
        <v>252</v>
      </c>
      <c r="M10" s="235" t="s">
        <v>253</v>
      </c>
    </row>
    <row r="11" spans="2:13">
      <c r="B11" s="282" t="s">
        <v>254</v>
      </c>
      <c r="C11" s="262"/>
      <c r="D11" s="290">
        <f>('Cash Flow Statement '!$J$44+'Cash Flow Statement '!$J$47)*12</f>
        <v>8208.7520270852565</v>
      </c>
      <c r="H11" s="286" t="s">
        <v>255</v>
      </c>
      <c r="I11" s="286"/>
      <c r="J11" s="286"/>
      <c r="K11" s="284">
        <f>D10/(1+$C24)^'Debt Repayment '!$J$5</f>
        <v>3695.7777506889038</v>
      </c>
      <c r="L11" s="284">
        <f>D11/(1+$C24)^'Debt Repayment '!$J$5</f>
        <v>4434.933300826684</v>
      </c>
      <c r="M11" s="284">
        <f>D12/(1+$C24)^'Debt Repayment '!$J$5</f>
        <v>5174.0888509644647</v>
      </c>
    </row>
    <row r="12" spans="2:13">
      <c r="B12" s="282" t="s">
        <v>256</v>
      </c>
      <c r="C12" s="262"/>
      <c r="D12" s="290">
        <f>('Cash Flow Statement '!$J$44+'Cash Flow Statement '!$J$47)*14</f>
        <v>9576.8773649327995</v>
      </c>
      <c r="H12" s="262" t="s">
        <v>257</v>
      </c>
      <c r="I12" s="262"/>
      <c r="J12" s="262"/>
      <c r="K12" s="284">
        <f>D10/(1+$C25)^'Debt Repayment '!$J$5</f>
        <v>3191.2028357890667</v>
      </c>
      <c r="L12" s="284">
        <f>D11/(1+$C25)^'Debt Repayment '!$J$5</f>
        <v>3829.4434029468798</v>
      </c>
      <c r="M12" s="284">
        <f>D12/(1+$C25)^'Debt Repayment '!$J$5</f>
        <v>4467.6839701046929</v>
      </c>
    </row>
    <row r="13" spans="2:13">
      <c r="H13" s="262" t="s">
        <v>258</v>
      </c>
      <c r="I13" s="262"/>
      <c r="J13" s="262"/>
      <c r="K13" s="284">
        <f>D10/(1+$C26)^'Debt Repayment '!$J$5</f>
        <v>2762.814388651153</v>
      </c>
      <c r="L13" s="284">
        <f>D11/(1+$C26)^'Debt Repayment '!$J$5</f>
        <v>3315.3772663813829</v>
      </c>
      <c r="M13" s="284">
        <f>D12/(1+$C26)^'Debt Repayment '!$J$5</f>
        <v>3867.9401441116138</v>
      </c>
    </row>
    <row r="15" spans="2:13">
      <c r="B15" s="346" t="s">
        <v>259</v>
      </c>
      <c r="C15" s="347"/>
      <c r="D15" s="346"/>
      <c r="E15" s="346"/>
      <c r="F15" s="346"/>
      <c r="H15" s="347" t="s">
        <v>260</v>
      </c>
      <c r="I15" s="347"/>
      <c r="J15" s="347"/>
      <c r="K15" s="346"/>
      <c r="L15" s="346"/>
      <c r="M15" s="346"/>
    </row>
    <row r="16" spans="2:13">
      <c r="B16" s="282"/>
      <c r="C16" s="99"/>
      <c r="D16" s="288">
        <f>I23</f>
        <v>2.5000000000000001E-2</v>
      </c>
      <c r="E16" s="288">
        <f>J23</f>
        <v>0.03</v>
      </c>
      <c r="F16" s="288">
        <f>K23</f>
        <v>3.5000000000000003E-2</v>
      </c>
      <c r="H16" s="282"/>
      <c r="I16" s="153"/>
      <c r="J16" s="269"/>
      <c r="K16" s="289">
        <f>I23</f>
        <v>2.5000000000000001E-2</v>
      </c>
      <c r="L16" s="288">
        <f>J23</f>
        <v>0.03</v>
      </c>
      <c r="M16" s="288">
        <f>K23</f>
        <v>3.5000000000000003E-2</v>
      </c>
    </row>
    <row r="17" spans="2:18">
      <c r="B17" s="282" t="s">
        <v>255</v>
      </c>
      <c r="C17" s="99"/>
      <c r="D17" s="284">
        <f>('Cash Flow Statement '!$J$50*(1+'DCF Analysis '!D$16))/('DCF Analysis '!$C24-'DCF Analysis '!D$16)</f>
        <v>6996.8159872352744</v>
      </c>
      <c r="E17" s="284">
        <f>('Cash Flow Statement '!$J$50*(1+'DCF Analysis '!E$16))/('DCF Analysis '!$C24-'DCF Analysis '!E$16)</f>
        <v>7734.0414766220156</v>
      </c>
      <c r="F17" s="284">
        <f>('Cash Flow Statement '!$J$50*(1+'DCF Analysis '!F$16))/('DCF Analysis '!$C24-'DCF Analysis '!F$16)</f>
        <v>8635.0948525391432</v>
      </c>
      <c r="H17" s="286" t="s">
        <v>255</v>
      </c>
      <c r="I17" s="286"/>
      <c r="J17" s="286"/>
      <c r="K17" s="284">
        <f>D17/(1+$C24)^'Debt Repayment '!$J$5</f>
        <v>3780.1619684891921</v>
      </c>
      <c r="L17" s="284">
        <f>E17/(1+$C24)^'Debt Repayment '!$J$5</f>
        <v>4178.4619612665902</v>
      </c>
      <c r="M17" s="284">
        <f>F17/(1+$C24)^'Debt Repayment '!$J$5</f>
        <v>4665.2730635500757</v>
      </c>
    </row>
    <row r="18" spans="2:18">
      <c r="B18" s="282" t="s">
        <v>257</v>
      </c>
      <c r="C18" s="99"/>
      <c r="D18" s="284">
        <f>('Cash Flow Statement '!$J$50*(1+'DCF Analysis '!D$16))/('DCF Analysis '!$C25-'DCF Analysis '!D$16)</f>
        <v>5130.9983906391999</v>
      </c>
      <c r="E18" s="284">
        <f>('Cash Flow Statement '!$J$50*(1+'DCF Analysis '!E$16))/('DCF Analysis '!$C25-'DCF Analysis '!E$16)</f>
        <v>5524.3153404442965</v>
      </c>
      <c r="F18" s="284">
        <f>('Cash Flow Statement '!$J$50*(1+'DCF Analysis '!F$16))/('DCF Analysis '!$C25-'DCF Analysis '!F$16)</f>
        <v>5978.1425902194069</v>
      </c>
      <c r="H18" s="262" t="s">
        <v>257</v>
      </c>
      <c r="I18" s="262"/>
      <c r="J18" s="262"/>
      <c r="K18" s="284">
        <f>D18/(1+$C25)^'Debt Repayment '!$J$5</f>
        <v>2393.6486170774501</v>
      </c>
      <c r="L18" s="284">
        <f>E18/(1+$C25)^'Debt Repayment '!$J$5</f>
        <v>2577.1338769231088</v>
      </c>
      <c r="M18" s="284">
        <f>F18/(1+$C25)^'Debt Repayment '!$J$5</f>
        <v>2788.8476382834838</v>
      </c>
    </row>
    <row r="19" spans="2:18">
      <c r="B19" s="282" t="s">
        <v>258</v>
      </c>
      <c r="C19" s="99"/>
      <c r="D19" s="284">
        <f>('Cash Flow Statement '!$J$50*(1+'DCF Analysis '!D$16))/('DCF Analysis '!$C26-'DCF Analysis '!D$16)</f>
        <v>4050.7882031362115</v>
      </c>
      <c r="E19" s="284">
        <f>('Cash Flow Statement '!$J$50*(1+'DCF Analysis '!E$16))/('DCF Analysis '!$C26-'DCF Analysis '!E$16)</f>
        <v>4296.6897092344534</v>
      </c>
      <c r="F19" s="284">
        <f>('Cash Flow Statement '!$J$50*(1+'DCF Analysis '!F$16))/('DCF Analysis '!$C26-'DCF Analysis '!F$16)</f>
        <v>4571.5208042854292</v>
      </c>
      <c r="H19" s="262" t="s">
        <v>258</v>
      </c>
      <c r="I19" s="262"/>
      <c r="J19" s="262"/>
      <c r="K19" s="284">
        <f>D19/(1+$C26)^'Debt Repayment '!$J$5</f>
        <v>1636.0454153434014</v>
      </c>
      <c r="L19" s="284">
        <f>E19/(1+$C26)^'Debt Repayment '!$J$5</f>
        <v>1735.3609093913481</v>
      </c>
      <c r="M19" s="284">
        <f>F19/(1+$C26)^'Debt Repayment '!$J$5</f>
        <v>1846.3605792096409</v>
      </c>
    </row>
    <row r="20" spans="2:18">
      <c r="C20" s="99"/>
    </row>
    <row r="21" spans="2:18">
      <c r="C21" s="335" t="s">
        <v>261</v>
      </c>
      <c r="D21" s="336"/>
      <c r="E21" s="336"/>
      <c r="F21" s="336"/>
      <c r="G21" s="336"/>
      <c r="H21" s="336"/>
      <c r="I21" s="336"/>
      <c r="J21" s="336"/>
      <c r="K21" s="337"/>
      <c r="N21" s="341" t="s">
        <v>262</v>
      </c>
      <c r="O21" s="342"/>
      <c r="P21" s="342"/>
      <c r="Q21" s="343"/>
    </row>
    <row r="22" spans="2:18">
      <c r="C22" s="334" t="s">
        <v>263</v>
      </c>
      <c r="D22" s="330"/>
      <c r="E22" s="330"/>
      <c r="F22" s="330"/>
      <c r="G22" s="99"/>
      <c r="H22" s="330" t="s">
        <v>264</v>
      </c>
      <c r="I22" s="330"/>
      <c r="J22" s="330"/>
      <c r="K22" s="331"/>
      <c r="N22" s="33"/>
      <c r="O22" s="344" t="s">
        <v>265</v>
      </c>
      <c r="P22" s="344"/>
      <c r="Q22" s="345"/>
      <c r="R22" s="7"/>
    </row>
    <row r="23" spans="2:18">
      <c r="C23" s="33"/>
      <c r="D23" s="291">
        <v>10</v>
      </c>
      <c r="E23" s="291">
        <v>12</v>
      </c>
      <c r="F23" s="291">
        <v>14</v>
      </c>
      <c r="G23" s="18"/>
      <c r="H23" s="18"/>
      <c r="I23" s="292">
        <v>2.5000000000000001E-2</v>
      </c>
      <c r="J23" s="292">
        <v>0.03</v>
      </c>
      <c r="K23" s="293">
        <v>3.5000000000000003E-2</v>
      </c>
      <c r="L23" s="18"/>
      <c r="N23" s="33" t="s">
        <v>266</v>
      </c>
      <c r="O23" s="196">
        <f>D23</f>
        <v>10</v>
      </c>
      <c r="P23" s="196">
        <f>E23</f>
        <v>12</v>
      </c>
      <c r="Q23" s="126">
        <f>F23</f>
        <v>14</v>
      </c>
    </row>
    <row r="24" spans="2:18">
      <c r="C24" s="294">
        <v>0.08</v>
      </c>
      <c r="D24" s="17">
        <f t="shared" ref="D24:F26" si="0">$D5+K11</f>
        <v>5348.2908212292023</v>
      </c>
      <c r="E24" s="17">
        <f t="shared" si="0"/>
        <v>6087.4463713669829</v>
      </c>
      <c r="F24" s="17">
        <f t="shared" si="0"/>
        <v>6826.6019215047636</v>
      </c>
      <c r="H24" s="25">
        <v>0.08</v>
      </c>
      <c r="I24" s="16">
        <f t="shared" ref="I24:K26" si="1">$D5+K17</f>
        <v>5432.675039029491</v>
      </c>
      <c r="J24" s="16">
        <f t="shared" si="1"/>
        <v>5830.9750318068891</v>
      </c>
      <c r="K24" s="39">
        <f t="shared" si="1"/>
        <v>6317.7861340903746</v>
      </c>
      <c r="N24" s="33" t="s">
        <v>245</v>
      </c>
      <c r="O24" s="25">
        <f t="shared" ref="O24:Q26" si="2">$D5/D24</f>
        <v>0.30897965832016966</v>
      </c>
      <c r="P24" s="25">
        <f t="shared" si="2"/>
        <v>0.27146244413964571</v>
      </c>
      <c r="Q24" s="34">
        <f t="shared" si="2"/>
        <v>0.24206964014331173</v>
      </c>
    </row>
    <row r="25" spans="2:18">
      <c r="C25" s="294">
        <v>0.1</v>
      </c>
      <c r="D25" s="17">
        <f t="shared" si="0"/>
        <v>4717.2739273059842</v>
      </c>
      <c r="E25" s="17">
        <f t="shared" si="0"/>
        <v>5355.5144944637977</v>
      </c>
      <c r="F25" s="17">
        <f t="shared" si="0"/>
        <v>5993.7550616216104</v>
      </c>
      <c r="H25" s="25">
        <v>0.1</v>
      </c>
      <c r="I25" s="16">
        <f t="shared" si="1"/>
        <v>3919.7197085943676</v>
      </c>
      <c r="J25" s="16">
        <f t="shared" si="1"/>
        <v>4103.2049684400263</v>
      </c>
      <c r="K25" s="39">
        <f t="shared" si="1"/>
        <v>4314.9187298004017</v>
      </c>
      <c r="N25" s="33" t="s">
        <v>246</v>
      </c>
      <c r="O25" s="25">
        <f t="shared" si="2"/>
        <v>0.32350699048517001</v>
      </c>
      <c r="P25" s="25">
        <f t="shared" si="2"/>
        <v>0.28495321842457455</v>
      </c>
      <c r="Q25" s="34">
        <f t="shared" si="2"/>
        <v>0.25461018607324254</v>
      </c>
    </row>
    <row r="26" spans="2:18">
      <c r="C26" s="294">
        <v>0.12</v>
      </c>
      <c r="D26" s="17">
        <f t="shared" si="0"/>
        <v>4176.680489148067</v>
      </c>
      <c r="E26" s="17">
        <f t="shared" si="0"/>
        <v>4729.2433668782969</v>
      </c>
      <c r="F26" s="17">
        <f t="shared" si="0"/>
        <v>5281.8062446085278</v>
      </c>
      <c r="H26" s="25">
        <v>0.12</v>
      </c>
      <c r="I26" s="16">
        <f t="shared" si="1"/>
        <v>3049.9115158403156</v>
      </c>
      <c r="J26" s="16">
        <f t="shared" si="1"/>
        <v>3149.2270098882623</v>
      </c>
      <c r="K26" s="39">
        <f t="shared" si="1"/>
        <v>3260.2266797065549</v>
      </c>
      <c r="N26" s="33" t="s">
        <v>247</v>
      </c>
      <c r="O26" s="25">
        <f t="shared" si="2"/>
        <v>0.3385143067970961</v>
      </c>
      <c r="P26" s="25">
        <f t="shared" si="2"/>
        <v>0.29896243242609571</v>
      </c>
      <c r="Q26" s="34">
        <f t="shared" si="2"/>
        <v>0.26768609733462606</v>
      </c>
    </row>
    <row r="27" spans="2:18">
      <c r="C27" s="141"/>
      <c r="D27" s="257"/>
      <c r="E27" s="257"/>
      <c r="F27" s="257"/>
      <c r="G27" s="257"/>
      <c r="H27" s="257"/>
      <c r="I27" s="257"/>
      <c r="J27" s="257"/>
      <c r="K27" s="276"/>
      <c r="N27" s="33"/>
      <c r="Q27" s="32"/>
    </row>
    <row r="28" spans="2:18">
      <c r="N28" s="33" t="s">
        <v>267</v>
      </c>
      <c r="Q28" s="32"/>
    </row>
    <row r="29" spans="2:18">
      <c r="C29" s="338" t="s">
        <v>268</v>
      </c>
      <c r="D29" s="339"/>
      <c r="E29" s="339"/>
      <c r="F29" s="339"/>
      <c r="G29" s="339"/>
      <c r="H29" s="339"/>
      <c r="I29" s="339"/>
      <c r="J29" s="339"/>
      <c r="K29" s="340"/>
      <c r="N29" s="33" t="s">
        <v>255</v>
      </c>
      <c r="O29" s="25">
        <f t="shared" ref="O29:Q31" si="3">K11/D24</f>
        <v>0.6910203416798304</v>
      </c>
      <c r="P29" s="25">
        <f t="shared" si="3"/>
        <v>0.72853755586035418</v>
      </c>
      <c r="Q29" s="34">
        <f t="shared" si="3"/>
        <v>0.75793035985668822</v>
      </c>
    </row>
    <row r="30" spans="2:18">
      <c r="C30" s="334" t="s">
        <v>263</v>
      </c>
      <c r="D30" s="330"/>
      <c r="E30" s="330"/>
      <c r="F30" s="330"/>
      <c r="G30" s="301"/>
      <c r="H30" s="330" t="s">
        <v>264</v>
      </c>
      <c r="I30" s="330"/>
      <c r="J30" s="330"/>
      <c r="K30" s="331"/>
      <c r="N30" s="33" t="s">
        <v>257</v>
      </c>
      <c r="O30" s="25">
        <f t="shared" si="3"/>
        <v>0.67649300951483005</v>
      </c>
      <c r="P30" s="25">
        <f t="shared" si="3"/>
        <v>0.71504678157542534</v>
      </c>
      <c r="Q30" s="34">
        <f t="shared" si="3"/>
        <v>0.74538981392675752</v>
      </c>
    </row>
    <row r="31" spans="2:18">
      <c r="C31" s="33"/>
      <c r="D31" s="295">
        <f>D23</f>
        <v>10</v>
      </c>
      <c r="E31" s="295">
        <f>E23</f>
        <v>12</v>
      </c>
      <c r="F31" s="295">
        <f>F23</f>
        <v>14</v>
      </c>
      <c r="G31" s="18"/>
      <c r="H31" s="18"/>
      <c r="I31" s="292">
        <f>I23</f>
        <v>2.5000000000000001E-2</v>
      </c>
      <c r="J31" s="292">
        <f>J23</f>
        <v>0.03</v>
      </c>
      <c r="K31" s="293">
        <f>K23</f>
        <v>3.5000000000000003E-2</v>
      </c>
      <c r="N31" s="33" t="s">
        <v>258</v>
      </c>
      <c r="O31" s="25">
        <f t="shared" si="3"/>
        <v>0.66148569320290396</v>
      </c>
      <c r="P31" s="25">
        <f t="shared" si="3"/>
        <v>0.70103756757390434</v>
      </c>
      <c r="Q31" s="34">
        <f t="shared" si="3"/>
        <v>0.73231390266537399</v>
      </c>
    </row>
    <row r="32" spans="2:18">
      <c r="C32" s="294">
        <f>C24</f>
        <v>0.08</v>
      </c>
      <c r="D32" s="16">
        <f>K11-Assumptions!$M$32</f>
        <v>2907.7198662339033</v>
      </c>
      <c r="E32" s="16">
        <f>L11-Assumptions!$M$32</f>
        <v>3646.8754163716835</v>
      </c>
      <c r="F32" s="16">
        <f>M11-Assumptions!$M$32</f>
        <v>4386.0309665094646</v>
      </c>
      <c r="H32" s="25">
        <v>0.08</v>
      </c>
      <c r="I32" s="17">
        <f>K17-Assumptions!$M$32</f>
        <v>2992.1040840341916</v>
      </c>
      <c r="J32" s="17">
        <f>L17-Assumptions!$M$32</f>
        <v>3390.4040768115897</v>
      </c>
      <c r="K32" s="127">
        <f>M17-Assumptions!$M$32</f>
        <v>3877.2151790950752</v>
      </c>
      <c r="N32" s="33"/>
      <c r="Q32" s="32"/>
    </row>
    <row r="33" spans="3:20">
      <c r="C33" s="294">
        <f>C25</f>
        <v>0.1</v>
      </c>
      <c r="D33" s="16">
        <f>K12-Assumptions!$M$32</f>
        <v>2403.1449513340663</v>
      </c>
      <c r="E33" s="16">
        <f>L12-Assumptions!$M$32</f>
        <v>3041.3855184918793</v>
      </c>
      <c r="F33" s="16">
        <f>M12-Assumptions!$M$32</f>
        <v>3679.6260856496924</v>
      </c>
      <c r="H33" s="25">
        <v>0.1</v>
      </c>
      <c r="I33" s="17">
        <f>K18-Assumptions!$M$32</f>
        <v>1605.5907326224497</v>
      </c>
      <c r="J33" s="17">
        <f>L18-Assumptions!$M$32</f>
        <v>1789.0759924681083</v>
      </c>
      <c r="K33" s="127">
        <f>M18-Assumptions!$M$32</f>
        <v>2000.7897538284833</v>
      </c>
      <c r="N33" s="33"/>
      <c r="O33" s="344" t="s">
        <v>264</v>
      </c>
      <c r="P33" s="344"/>
      <c r="Q33" s="345"/>
    </row>
    <row r="34" spans="3:20">
      <c r="C34" s="294">
        <f>C26</f>
        <v>0.12</v>
      </c>
      <c r="D34" s="16">
        <f>K13-Assumptions!$M$32</f>
        <v>1974.7565041961525</v>
      </c>
      <c r="E34" s="16">
        <f>L13-Assumptions!$M$32</f>
        <v>2527.3193819263824</v>
      </c>
      <c r="F34" s="16">
        <f>M13-Assumptions!$M$32</f>
        <v>3079.8822596566133</v>
      </c>
      <c r="H34" s="25">
        <v>0.12</v>
      </c>
      <c r="I34" s="17">
        <f>K19-Assumptions!$M$32</f>
        <v>847.98753088840101</v>
      </c>
      <c r="J34" s="17">
        <f>L19-Assumptions!$M$32</f>
        <v>947.3030249363477</v>
      </c>
      <c r="K34" s="127">
        <f>M19-Assumptions!$M$32</f>
        <v>1058.3026947546405</v>
      </c>
      <c r="N34" s="33" t="s">
        <v>266</v>
      </c>
      <c r="O34" s="25">
        <f>K16</f>
        <v>2.5000000000000001E-2</v>
      </c>
      <c r="P34" s="25">
        <f>L16</f>
        <v>0.03</v>
      </c>
      <c r="Q34" s="34">
        <f>M16</f>
        <v>3.5000000000000003E-2</v>
      </c>
    </row>
    <row r="35" spans="3:20">
      <c r="C35" s="141"/>
      <c r="D35" s="257"/>
      <c r="E35" s="257"/>
      <c r="F35" s="257"/>
      <c r="G35" s="257"/>
      <c r="H35" s="257"/>
      <c r="I35" s="257"/>
      <c r="J35" s="257"/>
      <c r="K35" s="276"/>
      <c r="N35" s="33" t="s">
        <v>245</v>
      </c>
      <c r="O35" s="25">
        <f t="shared" ref="O35:Q37" si="4">$D5/I24</f>
        <v>0.30418036394010201</v>
      </c>
      <c r="P35" s="25">
        <f t="shared" si="4"/>
        <v>0.28340252899834861</v>
      </c>
      <c r="Q35" s="34">
        <f t="shared" si="4"/>
        <v>0.26156521215927875</v>
      </c>
    </row>
    <row r="36" spans="3:20">
      <c r="N36" s="33" t="s">
        <v>246</v>
      </c>
      <c r="O36" s="25">
        <f t="shared" si="4"/>
        <v>0.38933168822527231</v>
      </c>
      <c r="P36" s="25">
        <f t="shared" si="4"/>
        <v>0.37192173027054642</v>
      </c>
      <c r="Q36" s="34">
        <f t="shared" si="4"/>
        <v>0.35367319457891855</v>
      </c>
      <c r="R36" s="25"/>
      <c r="S36" s="25"/>
      <c r="T36" s="25"/>
    </row>
    <row r="37" spans="3:20">
      <c r="C37" s="341" t="s">
        <v>269</v>
      </c>
      <c r="D37" s="342"/>
      <c r="E37" s="342"/>
      <c r="F37" s="342"/>
      <c r="G37" s="342"/>
      <c r="H37" s="342"/>
      <c r="I37" s="342"/>
      <c r="J37" s="342"/>
      <c r="K37" s="343"/>
      <c r="N37" s="33" t="s">
        <v>247</v>
      </c>
      <c r="O37" s="25">
        <f t="shared" si="4"/>
        <v>0.46357610479967121</v>
      </c>
      <c r="P37" s="25">
        <f t="shared" si="4"/>
        <v>0.44895655221345243</v>
      </c>
      <c r="Q37" s="34">
        <f t="shared" si="4"/>
        <v>0.43367110308543727</v>
      </c>
      <c r="R37" s="25"/>
      <c r="S37" s="25"/>
      <c r="T37" s="25"/>
    </row>
    <row r="38" spans="3:20">
      <c r="C38" s="332" t="s">
        <v>263</v>
      </c>
      <c r="D38" s="333"/>
      <c r="E38" s="333"/>
      <c r="F38" s="333"/>
      <c r="H38" s="330" t="s">
        <v>264</v>
      </c>
      <c r="I38" s="330"/>
      <c r="J38" s="330"/>
      <c r="K38" s="331"/>
      <c r="N38" s="33"/>
      <c r="Q38" s="32"/>
      <c r="R38" s="25"/>
      <c r="S38" s="25"/>
      <c r="T38" s="25"/>
    </row>
    <row r="39" spans="3:20">
      <c r="C39" s="33"/>
      <c r="D39" s="291">
        <f>D23</f>
        <v>10</v>
      </c>
      <c r="E39" s="291">
        <f>E23</f>
        <v>12</v>
      </c>
      <c r="F39" s="291">
        <f>F23</f>
        <v>14</v>
      </c>
      <c r="G39" s="18"/>
      <c r="H39" s="18"/>
      <c r="I39" s="292">
        <f>I23</f>
        <v>2.5000000000000001E-2</v>
      </c>
      <c r="J39" s="292">
        <f>J23</f>
        <v>0.03</v>
      </c>
      <c r="K39" s="293">
        <f>K23</f>
        <v>3.5000000000000003E-2</v>
      </c>
      <c r="N39" s="33" t="s">
        <v>267</v>
      </c>
      <c r="Q39" s="32"/>
    </row>
    <row r="40" spans="3:20">
      <c r="C40" s="294">
        <f>C24</f>
        <v>0.08</v>
      </c>
      <c r="D40" s="16">
        <f>D32/'Balance sheet '!$H$54</f>
        <v>203.26598156126553</v>
      </c>
      <c r="E40" s="16">
        <f>E32/'Balance sheet '!$H$54</f>
        <v>254.93711404206107</v>
      </c>
      <c r="F40" s="16">
        <f>F32/'Balance sheet '!$H$54</f>
        <v>306.60824652285669</v>
      </c>
      <c r="H40" s="25">
        <v>0.08</v>
      </c>
      <c r="I40" s="16">
        <f>I32/'Balance sheet '!$H$54</f>
        <v>209.16491324950658</v>
      </c>
      <c r="J40" s="16">
        <f>J32/'Balance sheet '!$H$54</f>
        <v>237.00832413922333</v>
      </c>
      <c r="K40" s="39">
        <f>K32/'Balance sheet '!$H$54</f>
        <v>271.0391596710993</v>
      </c>
      <c r="N40" s="33" t="s">
        <v>255</v>
      </c>
      <c r="O40" s="25">
        <f t="shared" ref="O40:Q42" si="5">K17/I24</f>
        <v>0.69581963605989794</v>
      </c>
      <c r="P40" s="25">
        <f t="shared" si="5"/>
        <v>0.71659747100165128</v>
      </c>
      <c r="Q40" s="34">
        <f t="shared" si="5"/>
        <v>0.73843478784072114</v>
      </c>
    </row>
    <row r="41" spans="3:20">
      <c r="C41" s="294">
        <f>C25</f>
        <v>0.1</v>
      </c>
      <c r="D41" s="16">
        <f>D33/'Balance sheet '!$H$54</f>
        <v>167.99335556337408</v>
      </c>
      <c r="E41" s="16">
        <f>E33/'Balance sheet '!$H$54</f>
        <v>212.60996284459137</v>
      </c>
      <c r="F41" s="16">
        <f>F33/'Balance sheet '!$H$54</f>
        <v>257.22657012580862</v>
      </c>
      <c r="H41" s="25">
        <v>0.1</v>
      </c>
      <c r="I41" s="16">
        <f>I33/'Balance sheet '!$H$54</f>
        <v>112.2398275164243</v>
      </c>
      <c r="J41" s="16">
        <f>J33/'Balance sheet '!$H$54</f>
        <v>125.06647972513865</v>
      </c>
      <c r="K41" s="39">
        <f>K33/'Balance sheet '!$H$54</f>
        <v>139.86646304288593</v>
      </c>
      <c r="N41" s="33" t="s">
        <v>257</v>
      </c>
      <c r="O41" s="25">
        <f t="shared" si="5"/>
        <v>0.61066831177472769</v>
      </c>
      <c r="P41" s="25">
        <f t="shared" si="5"/>
        <v>0.62807826972945358</v>
      </c>
      <c r="Q41" s="34">
        <f t="shared" si="5"/>
        <v>0.64632680542108134</v>
      </c>
    </row>
    <row r="42" spans="3:20">
      <c r="C42" s="296">
        <f>C26</f>
        <v>0.12</v>
      </c>
      <c r="D42" s="220">
        <f>D34/'Balance sheet '!$H$54</f>
        <v>138.04659239399876</v>
      </c>
      <c r="E42" s="220">
        <f>E34/'Balance sheet '!$H$54</f>
        <v>176.67384704134096</v>
      </c>
      <c r="F42" s="220">
        <f>F34/'Balance sheet '!$H$54</f>
        <v>215.30110168868322</v>
      </c>
      <c r="G42" s="257"/>
      <c r="H42" s="96">
        <v>0.12</v>
      </c>
      <c r="I42" s="220">
        <f>I34/'Balance sheet '!$H$54</f>
        <v>59.279100376679551</v>
      </c>
      <c r="J42" s="220">
        <f>J34/'Balance sheet '!$H$54</f>
        <v>66.221812298940776</v>
      </c>
      <c r="K42" s="175">
        <f>K34/'Balance sheet '!$H$54</f>
        <v>73.981313859115033</v>
      </c>
      <c r="N42" s="141" t="s">
        <v>258</v>
      </c>
      <c r="O42" s="96">
        <f t="shared" si="5"/>
        <v>0.53642389520032874</v>
      </c>
      <c r="P42" s="96">
        <f t="shared" si="5"/>
        <v>0.55104344778654757</v>
      </c>
      <c r="Q42" s="97">
        <f t="shared" si="5"/>
        <v>0.56632889691456278</v>
      </c>
    </row>
  </sheetData>
  <mergeCells count="17">
    <mergeCell ref="N21:Q21"/>
    <mergeCell ref="O22:Q22"/>
    <mergeCell ref="O33:Q33"/>
    <mergeCell ref="B4:D4"/>
    <mergeCell ref="B9:D9"/>
    <mergeCell ref="H9:M9"/>
    <mergeCell ref="H15:M15"/>
    <mergeCell ref="B15:F15"/>
    <mergeCell ref="H38:K38"/>
    <mergeCell ref="C38:F38"/>
    <mergeCell ref="C30:F30"/>
    <mergeCell ref="H30:K30"/>
    <mergeCell ref="C21:K21"/>
    <mergeCell ref="C29:K29"/>
    <mergeCell ref="C37:K37"/>
    <mergeCell ref="C22:F22"/>
    <mergeCell ref="H22:K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8 s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P 1 9 L P R h 3 F t 9 K F + s A M A A A D / / w M A U E s D B B Q A A g A I A A A A I Q A y e H F R e Q E A A H I C A A A T A A A A R m 9 y b X V s Y X M v U 2 V j d G l v b j E u b Z x Q y 2 r j M B T d B / o P F 2 V j g 8 f k M d N F g x f C d i e B T m J s Z 1 H i E F T 7 O j X I U p D k Y d K Q f x + 7 c V N K u 6 o 2 g n s e n H M 0 5 q a S A p L L P 5 4 N B v q Z K S x g S F L 2 x H E 0 u g U r Y n u E X z 9 u b Q I e c D Q 3 A 2 h f I h u V Y 3 u J i t J 9 J W v r v u L o + l I Y F E Z b x L / L 1 h q V z o 5 y j z p b C Q x U 9 R e z Q O Z N 3 V G y O U 2 T 9 R L o 7 3 g F T I i G c V B 4 k M p 8 Q O h y u a Y P u z i M V n G 6 m 4 w m P 6 G s B H s R e c W 4 B i n 4 0 T 0 U J b E d 2 C z q A 8 f O n H W N P D J 2 p 2 R r O 5 f M 1 0 5 e H / + 0 W R T e t S r Z n j c B M 2 z b 0 4 c k U r K W p t 1 j j q x o m 3 Q L v L L d H u n v 1 p t F m 6 B H K O d J z j h T 2 j O q w W u G I f G f m d i 3 n u n x g O + G q W J C l 1 L V v u R N L T p Q W 1 8 k c E 4 n E t E 4 X f j r B x o n x A H T U s H g P 3 N 2 4 E Q u 8 s m n + / 0 q h n Q e w m N I Y w i X Q R g M L V 7 a f 2 j s z 2 E 6 d q D b 9 V u q 6 Z t K N P U T q v P Z v h l U 4 s u 2 s / 8 A A A D / / w M A U E s B A i 0 A F A A G A A g A A A A h A C r d q k D S A A A A N w E A A B M A A A A A A A A A A A A A A A A A A A A A A F t D b 2 5 0 Z W 5 0 X 1 R 5 c G V z X S 5 4 b W x Q S w E C L Q A U A A I A C A A A A C E A Y w 8 s j q 0 A A A D 3 A A A A E g A A A A A A A A A A A A A A A A A L A w A A Q 2 9 u Z m l n L 1 B h Y 2 t h Z 2 U u e G 1 s U E s B A i 0 A F A A C A A g A A A A h A D J 4 c V F 5 A Q A A c g I A A B M A A A A A A A A A A A A A A A A A 6 A M A A E Z v c m 1 1 b G F z L 1 N l Y 3 R p b 2 4 x L m 1 Q S w U G A A A A A A M A A w D C A A A A k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L A A A A A A A A 1 w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N i U y M C h Q Y W d l J T I w N S 0 2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Z U M D c 6 M T c 6 M T Y u N D k 5 M z g z N V o i L z 4 8 R W 5 0 c n k g V H l w Z T 0 i R m l s b E N v b H V t b l R 5 c G V z I i B W Y W x 1 Z T 0 i c 0 J n W U d C U T 0 9 I i 8 + P E V u d H J 5 I F R 5 c G U 9 I k Z p b G x D b 2 x 1 b W 5 O Y W 1 l c y I g V m F s d W U 9 I n N b J n F 1 b 3 Q 7 U E F S V E l D V U x B U l M m c X V v d D s s J n F 1 b 3 Q 7 Q 2 9 s d W 1 u M i Z x d W 9 0 O y w m c X V v d D t G T 1 I g V E h F I F l F Q V I g R U 5 E R U R c b k 1 B U k N I I D M x L C A y M D I 0 J n F 1 b 3 Q 7 L C Z x d W 9 0 O 0 Z P U i B U S E U g W U V B U i B F T k R F R F x u T U F S Q 0 g g M z E s I D I w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A 4 N G E y M j g 1 L T U y N z I t N D k 3 N S 0 5 N 2 N l L W M 1 N z V i N W F l O W M 5 M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L T Y p L 0 N o Y W 5 n Z W Q g V H l w Z S 5 7 U E F S V E l D V U x B U l M s M H 0 m c X V v d D s s J n F 1 b 3 Q 7 U 2 V j d G l v b j E v V G F i b G U w M D Y g K F B h Z 2 U g N S 0 2 K S 9 D a G F u Z 2 V k I F R 5 c G U u e 0 N v b H V t b j I s M X 0 m c X V v d D s s J n F 1 b 3 Q 7 U 2 V j d G l v b j E v V G F i b G U w M D Y g K F B h Z 2 U g N S 0 2 K S 9 D a G F u Z 2 V k I F R 5 c G U u e 0 Z P U i B U S E U g W U V B U i B F T k R F R F x u T U F S Q 0 g g M z E s I D I w M j Q s M n 0 m c X V v d D s s J n F 1 b 3 Q 7 U 2 V j d G l v b j E v V G F i b G U w M D Y g K F B h Z 2 U g N S 0 2 K S 9 D a G F u Z 2 V k I F R 5 c G U u e 0 Z P U i B U S E U g W U V B U i B F T k R F R F x u T U F S Q 0 g g M z E s I D I w M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Y g K F B h Z 2 U g N S 0 2 K S 9 D a G F u Z 2 V k I F R 5 c G U u e 1 B B U l R J Q 1 V M Q V J T L D B 9 J n F 1 b 3 Q 7 L C Z x d W 9 0 O 1 N l Y 3 R p b 2 4 x L 1 R h Y m x l M D A 2 I C h Q Y W d l I D U t N i k v Q 2 h h b m d l Z C B U e X B l L n t D b 2 x 1 b W 4 y L D F 9 J n F 1 b 3 Q 7 L C Z x d W 9 0 O 1 N l Y 3 R p b 2 4 x L 1 R h Y m x l M D A 2 I C h Q Y W d l I D U t N i k v Q 2 h h b m d l Z C B U e X B l L n t G T 1 I g V E h F I F l F Q V I g R U 5 E R U R c b k 1 B U k N I I D M x L C A y M D I 0 L D J 9 J n F 1 b 3 Q 7 L C Z x d W 9 0 O 1 N l Y 3 R p b 2 4 x L 1 R h Y m x l M D A 2 I C h Q Y W d l I D U t N i k v Q 2 h h b m d l Z C B U e X B l L n t G T 1 I g V E h F I F l F Q V I g R U 5 E R U R c b k 1 B U k N I I D M x L C A y M D I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0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1 L T Y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N S 0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1 L T Y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z v T U J c Q T S Y l 4 L e d 1 e N e b A A A A A A I A A A A A A B B m A A A A A Q A A I A A A A E + K 7 1 p L e W 8 M c i M p r 5 Y 5 3 f O O 5 m x G t w Z w w s B h N 5 P i 1 Y i M A A A A A A 6 A A A A A A g A A I A A A A K w B U 9 S L z O D K j 3 u Q + 0 4 A n i w K o h 5 S f O 6 4 2 V C u z e 1 s 3 X M M U A A A A M D y x s 1 N P f D k v W 1 U 8 d 8 x F f l h n 6 d U V X B N 0 D P q S r T f A d B S d u t V z U A i + v o K i D M t z i P + R q D Q c a L U j x z p x C z e G n / h O l z Q g O p W H e o c C i j G V 1 g A A m 1 I Q A A A A L O V l v q X l i w w h Z f q v w Y d 0 0 8 v 2 l y O F b w + 8 m b X H K 3 x m d A 0 X 2 n 0 y B 8 C q c E r f S w t j h V j w I G e T w O + U W p G 5 v 7 q x w G l 2 K U = < / D a t a M a s h u p > 
</file>

<file path=customXml/itemProps1.xml><?xml version="1.0" encoding="utf-8"?>
<ds:datastoreItem xmlns:ds="http://schemas.openxmlformats.org/officeDocument/2006/customXml" ds:itemID="{F14951D9-33FC-4D7D-807B-2AF4F8DB8B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thamizh k</dc:creator>
  <cp:keywords/>
  <dc:description/>
  <cp:lastModifiedBy/>
  <cp:revision/>
  <dcterms:created xsi:type="dcterms:W3CDTF">2025-06-14T05:46:48Z</dcterms:created>
  <dcterms:modified xsi:type="dcterms:W3CDTF">2025-07-13T11:13:33Z</dcterms:modified>
  <cp:category/>
  <cp:contentStatus/>
</cp:coreProperties>
</file>