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codeName="ThisWorkbook" autoCompressPictures="0"/>
  <bookViews>
    <workbookView xWindow="0" yWindow="-460" windowWidth="25600" windowHeight="16000" tabRatio="1000" firstSheet="7" activeTab="18"/>
  </bookViews>
  <sheets>
    <sheet name="Forecasting P-1" sheetId="1" r:id="rId1"/>
    <sheet name="Agregate Planning P-1" sheetId="3" r:id="rId2"/>
    <sheet name="AR-1" sheetId="4" r:id="rId3"/>
    <sheet name="Linear regression_HID" sheetId="6" state="hidden" r:id="rId4"/>
    <sheet name="Linear regression_HID1" sheetId="7" state="hidden" r:id="rId5"/>
    <sheet name="Linear regression1_HID" sheetId="10" state="hidden" r:id="rId6"/>
    <sheet name="Linear regression1_HID1" sheetId="11" state="hidden" r:id="rId7"/>
    <sheet name="Forecasting P-2" sheetId="18" r:id="rId8"/>
    <sheet name="Aggregate Planning P-2" sheetId="19" r:id="rId9"/>
    <sheet name="AR-2" sheetId="20" r:id="rId10"/>
    <sheet name="Forecasting P-3" sheetId="21" r:id="rId11"/>
    <sheet name="Aggregate Planning P-3" sheetId="22" r:id="rId12"/>
    <sheet name="AR-3" sheetId="23" r:id="rId13"/>
    <sheet name="Forecasting P-4" sheetId="24" r:id="rId14"/>
    <sheet name="Aggregte Planning P-4" sheetId="25" r:id="rId15"/>
    <sheet name="AR-4" sheetId="26" r:id="rId16"/>
    <sheet name="MRP" sheetId="13" r:id="rId17"/>
    <sheet name="MPS" sheetId="15" r:id="rId18"/>
    <sheet name="Capacity Planning" sheetId="12" r:id="rId19"/>
    <sheet name="Scheduling" sheetId="27" r:id="rId20"/>
    <sheet name="Total Cost" sheetId="28" r:id="rId21"/>
  </sheets>
  <externalReferences>
    <externalReference r:id="rId22"/>
    <externalReference r:id="rId23"/>
  </externalReferences>
  <definedNames>
    <definedName name="solver_eng" localSheetId="2" hidden="1">1</definedName>
    <definedName name="solver_lin" localSheetId="2" hidden="1">2</definedName>
    <definedName name="solver_neg" localSheetId="2" hidden="1">1</definedName>
    <definedName name="solver_num" localSheetId="2" hidden="1">0</definedName>
    <definedName name="solver_opt" localSheetId="2" hidden="1">'AR-1'!$F$5</definedName>
    <definedName name="solver_typ" localSheetId="2" hidden="1">1</definedName>
    <definedName name="solver_val" localSheetId="2" hidden="1">0</definedName>
    <definedName name="solver_ver" localSheetId="2" hidden="1">2</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55" i="22" l="1"/>
  <c r="L14" i="12"/>
  <c r="L15" i="12"/>
  <c r="L16" i="12"/>
  <c r="L17" i="12"/>
  <c r="E19" i="13"/>
  <c r="F21" i="13"/>
  <c r="G20" i="13"/>
  <c r="F20" i="13"/>
  <c r="D21" i="13"/>
  <c r="H10" i="13"/>
  <c r="G3" i="15"/>
  <c r="H5" i="12"/>
  <c r="L7" i="12"/>
  <c r="D7" i="12"/>
  <c r="D16" i="12"/>
  <c r="D36" i="12"/>
  <c r="D5" i="27"/>
  <c r="D8" i="27"/>
  <c r="E32" i="13"/>
  <c r="D32" i="13"/>
  <c r="E31" i="13"/>
  <c r="F31" i="13"/>
  <c r="D31" i="13"/>
  <c r="D17" i="13"/>
  <c r="D20" i="13"/>
  <c r="E17" i="13"/>
  <c r="E20" i="13"/>
  <c r="D25" i="13"/>
  <c r="D19" i="13"/>
  <c r="F17" i="13"/>
  <c r="G17" i="13"/>
  <c r="F19" i="13"/>
  <c r="G19" i="13"/>
  <c r="H17" i="13"/>
  <c r="H20" i="13"/>
  <c r="H21" i="13"/>
  <c r="H19" i="13"/>
  <c r="H5" i="13"/>
  <c r="H8" i="13"/>
  <c r="H9" i="13"/>
  <c r="C22" i="13"/>
  <c r="C13" i="12"/>
  <c r="D22" i="13"/>
  <c r="C4" i="15"/>
  <c r="D13" i="12"/>
  <c r="E22" i="13"/>
  <c r="D4" i="15"/>
  <c r="E13" i="12"/>
  <c r="F22" i="13"/>
  <c r="E4" i="15"/>
  <c r="F13" i="12"/>
  <c r="G22" i="13"/>
  <c r="F4" i="15"/>
  <c r="G13" i="12"/>
  <c r="C16" i="12"/>
  <c r="C5" i="27"/>
  <c r="C8" i="27"/>
  <c r="D5" i="13"/>
  <c r="D13" i="13"/>
  <c r="D8" i="13"/>
  <c r="D9" i="13"/>
  <c r="D10" i="13"/>
  <c r="C3" i="15"/>
  <c r="D5" i="12"/>
  <c r="E5" i="13"/>
  <c r="E8" i="13"/>
  <c r="E9" i="13"/>
  <c r="E10" i="13"/>
  <c r="D3" i="15"/>
  <c r="E5" i="12"/>
  <c r="F5" i="13"/>
  <c r="F8" i="13"/>
  <c r="F9" i="13"/>
  <c r="F10" i="13"/>
  <c r="E3" i="15"/>
  <c r="F5" i="12"/>
  <c r="G5" i="13"/>
  <c r="G8" i="13"/>
  <c r="G9" i="13"/>
  <c r="G10" i="13"/>
  <c r="F3" i="15"/>
  <c r="G5" i="12"/>
  <c r="D47" i="13"/>
  <c r="E45" i="13"/>
  <c r="D46" i="13"/>
  <c r="C6" i="15"/>
  <c r="D29" i="12"/>
  <c r="F45" i="13"/>
  <c r="E46" i="13"/>
  <c r="D6" i="15"/>
  <c r="E29" i="12"/>
  <c r="L32" i="12"/>
  <c r="D32" i="12"/>
  <c r="D29" i="13"/>
  <c r="D33" i="13"/>
  <c r="D34" i="13"/>
  <c r="C5" i="15"/>
  <c r="D21" i="12"/>
  <c r="D35" i="13"/>
  <c r="E33" i="13"/>
  <c r="E34" i="13"/>
  <c r="D5" i="15"/>
  <c r="E21" i="12"/>
  <c r="L23" i="12"/>
  <c r="D23" i="12"/>
  <c r="D7" i="27"/>
  <c r="D11" i="27"/>
  <c r="D13" i="27"/>
  <c r="E7" i="12"/>
  <c r="E16" i="12"/>
  <c r="E32" i="12"/>
  <c r="E23" i="12"/>
  <c r="E36" i="12"/>
  <c r="E5" i="27"/>
  <c r="E8" i="27"/>
  <c r="E7" i="27"/>
  <c r="E11" i="27"/>
  <c r="E13" i="27"/>
  <c r="F7" i="12"/>
  <c r="F16" i="12"/>
  <c r="F46" i="13"/>
  <c r="E6" i="15"/>
  <c r="F29" i="12"/>
  <c r="F32" i="12"/>
  <c r="F29" i="13"/>
  <c r="F32" i="13"/>
  <c r="F33" i="13"/>
  <c r="F34" i="13"/>
  <c r="E5" i="15"/>
  <c r="F21" i="12"/>
  <c r="F23" i="12"/>
  <c r="F36" i="12"/>
  <c r="F5" i="27"/>
  <c r="F8" i="27"/>
  <c r="F7" i="27"/>
  <c r="F11" i="27"/>
  <c r="F13" i="27"/>
  <c r="G7" i="12"/>
  <c r="G16" i="12"/>
  <c r="H45" i="13"/>
  <c r="G46" i="13"/>
  <c r="F6" i="15"/>
  <c r="G29" i="12"/>
  <c r="G32" i="12"/>
  <c r="G29" i="13"/>
  <c r="G32" i="13"/>
  <c r="G33" i="13"/>
  <c r="G34" i="13"/>
  <c r="F5" i="15"/>
  <c r="G21" i="12"/>
  <c r="G23" i="12"/>
  <c r="G36" i="12"/>
  <c r="G5" i="27"/>
  <c r="G8" i="27"/>
  <c r="G7" i="27"/>
  <c r="G11" i="27"/>
  <c r="G13" i="27"/>
  <c r="H7" i="12"/>
  <c r="H22" i="13"/>
  <c r="G4" i="15"/>
  <c r="H13" i="12"/>
  <c r="H16" i="12"/>
  <c r="H46" i="13"/>
  <c r="G6" i="15"/>
  <c r="H29" i="12"/>
  <c r="H32" i="12"/>
  <c r="H29" i="13"/>
  <c r="H32" i="13"/>
  <c r="H33" i="13"/>
  <c r="H34" i="13"/>
  <c r="G5" i="15"/>
  <c r="H21" i="12"/>
  <c r="H23" i="12"/>
  <c r="H36" i="12"/>
  <c r="H5" i="27"/>
  <c r="H8" i="27"/>
  <c r="H7" i="27"/>
  <c r="H11" i="27"/>
  <c r="H13" i="27"/>
  <c r="C11" i="27"/>
  <c r="C13" i="27"/>
  <c r="I13" i="27"/>
  <c r="D12" i="27"/>
  <c r="D14" i="27"/>
  <c r="E12" i="27"/>
  <c r="E14" i="27"/>
  <c r="F12" i="27"/>
  <c r="F14" i="27"/>
  <c r="G12" i="27"/>
  <c r="G14" i="27"/>
  <c r="H12" i="27"/>
  <c r="H14" i="27"/>
  <c r="C12" i="27"/>
  <c r="C14" i="27"/>
  <c r="I14" i="27"/>
  <c r="D10" i="27"/>
  <c r="D15" i="27"/>
  <c r="E10" i="27"/>
  <c r="E15" i="27"/>
  <c r="F10" i="27"/>
  <c r="F15" i="27"/>
  <c r="G10" i="27"/>
  <c r="G15" i="27"/>
  <c r="H10" i="27"/>
  <c r="H15" i="27"/>
  <c r="C10" i="27"/>
  <c r="C15" i="27"/>
  <c r="I15" i="27"/>
  <c r="I16" i="27"/>
  <c r="C4" i="28"/>
  <c r="L9" i="12"/>
  <c r="D9" i="12"/>
  <c r="D15" i="12"/>
  <c r="L30" i="12"/>
  <c r="D30" i="12"/>
  <c r="L24" i="12"/>
  <c r="D24" i="12"/>
  <c r="D37" i="12"/>
  <c r="D20" i="27"/>
  <c r="D23" i="27"/>
  <c r="C15" i="12"/>
  <c r="C20" i="27"/>
  <c r="C23" i="27"/>
  <c r="D22" i="27"/>
  <c r="D26" i="27"/>
  <c r="D28" i="27"/>
  <c r="E9" i="12"/>
  <c r="E15" i="12"/>
  <c r="E30" i="12"/>
  <c r="E24" i="12"/>
  <c r="E37" i="12"/>
  <c r="E20" i="27"/>
  <c r="E23" i="27"/>
  <c r="E22" i="27"/>
  <c r="E26" i="27"/>
  <c r="E28" i="27"/>
  <c r="F9" i="12"/>
  <c r="F15" i="12"/>
  <c r="F30" i="12"/>
  <c r="F24" i="12"/>
  <c r="F37" i="12"/>
  <c r="F20" i="27"/>
  <c r="F23" i="27"/>
  <c r="F22" i="27"/>
  <c r="F26" i="27"/>
  <c r="F28" i="27"/>
  <c r="G9" i="12"/>
  <c r="G15" i="12"/>
  <c r="G30" i="12"/>
  <c r="G24" i="12"/>
  <c r="G37" i="12"/>
  <c r="G20" i="27"/>
  <c r="G23" i="27"/>
  <c r="G22" i="27"/>
  <c r="G26" i="27"/>
  <c r="G28" i="27"/>
  <c r="H9" i="12"/>
  <c r="H15" i="12"/>
  <c r="H30" i="12"/>
  <c r="H24" i="12"/>
  <c r="H37" i="12"/>
  <c r="H20" i="27"/>
  <c r="H23" i="27"/>
  <c r="H22" i="27"/>
  <c r="H26" i="27"/>
  <c r="H28" i="27"/>
  <c r="C26" i="27"/>
  <c r="C28" i="27"/>
  <c r="I28" i="27"/>
  <c r="D27" i="27"/>
  <c r="D29" i="27"/>
  <c r="E27" i="27"/>
  <c r="E29" i="27"/>
  <c r="F27" i="27"/>
  <c r="F29" i="27"/>
  <c r="G27" i="27"/>
  <c r="G29" i="27"/>
  <c r="H27" i="27"/>
  <c r="H29" i="27"/>
  <c r="C27" i="27"/>
  <c r="C29" i="27"/>
  <c r="I29" i="27"/>
  <c r="D25" i="27"/>
  <c r="D30" i="27"/>
  <c r="E25" i="27"/>
  <c r="E30" i="27"/>
  <c r="F25" i="27"/>
  <c r="F30" i="27"/>
  <c r="G25" i="27"/>
  <c r="G30" i="27"/>
  <c r="H25" i="27"/>
  <c r="H30" i="27"/>
  <c r="C25" i="27"/>
  <c r="C30" i="27"/>
  <c r="I30" i="27"/>
  <c r="I31" i="27"/>
  <c r="C5" i="28"/>
  <c r="L8" i="12"/>
  <c r="D8" i="12"/>
  <c r="D14" i="12"/>
  <c r="L25" i="12"/>
  <c r="D25" i="12"/>
  <c r="D38" i="12"/>
  <c r="D35" i="27"/>
  <c r="D38" i="27"/>
  <c r="C14" i="12"/>
  <c r="C35" i="27"/>
  <c r="C38" i="27"/>
  <c r="D37" i="27"/>
  <c r="D41" i="27"/>
  <c r="D43" i="27"/>
  <c r="E8" i="12"/>
  <c r="E14" i="12"/>
  <c r="E25" i="12"/>
  <c r="E38" i="12"/>
  <c r="E35" i="27"/>
  <c r="E38" i="27"/>
  <c r="E37" i="27"/>
  <c r="E41" i="27"/>
  <c r="E43" i="27"/>
  <c r="F8" i="12"/>
  <c r="F14" i="12"/>
  <c r="F25" i="12"/>
  <c r="F38" i="12"/>
  <c r="F35" i="27"/>
  <c r="F38" i="27"/>
  <c r="F37" i="27"/>
  <c r="F41" i="27"/>
  <c r="F43" i="27"/>
  <c r="G8" i="12"/>
  <c r="G14" i="12"/>
  <c r="G25" i="12"/>
  <c r="G38" i="12"/>
  <c r="G35" i="27"/>
  <c r="G38" i="27"/>
  <c r="G37" i="27"/>
  <c r="G41" i="27"/>
  <c r="G43" i="27"/>
  <c r="H8" i="12"/>
  <c r="H14" i="12"/>
  <c r="H25" i="12"/>
  <c r="H38" i="12"/>
  <c r="H35" i="27"/>
  <c r="H38" i="27"/>
  <c r="H37" i="27"/>
  <c r="H41" i="27"/>
  <c r="H43" i="27"/>
  <c r="C41" i="27"/>
  <c r="C43" i="27"/>
  <c r="I43" i="27"/>
  <c r="D42" i="27"/>
  <c r="D44" i="27"/>
  <c r="E42" i="27"/>
  <c r="E44" i="27"/>
  <c r="F42" i="27"/>
  <c r="F44" i="27"/>
  <c r="G42" i="27"/>
  <c r="G44" i="27"/>
  <c r="H42" i="27"/>
  <c r="H44" i="27"/>
  <c r="C42" i="27"/>
  <c r="C44" i="27"/>
  <c r="I44" i="27"/>
  <c r="D40" i="27"/>
  <c r="D45" i="27"/>
  <c r="E40" i="27"/>
  <c r="E45" i="27"/>
  <c r="F40" i="27"/>
  <c r="F45" i="27"/>
  <c r="G40" i="27"/>
  <c r="G45" i="27"/>
  <c r="H40" i="27"/>
  <c r="H45" i="27"/>
  <c r="C40" i="27"/>
  <c r="C45" i="27"/>
  <c r="I45" i="27"/>
  <c r="I46" i="27"/>
  <c r="C6" i="28"/>
  <c r="L6" i="12"/>
  <c r="D6" i="12"/>
  <c r="D17" i="12"/>
  <c r="L31" i="12"/>
  <c r="D31" i="12"/>
  <c r="L22" i="12"/>
  <c r="D22" i="12"/>
  <c r="D39" i="12"/>
  <c r="D50" i="27"/>
  <c r="D53" i="27"/>
  <c r="C17" i="12"/>
  <c r="C50" i="27"/>
  <c r="C53" i="27"/>
  <c r="D52" i="27"/>
  <c r="D56" i="27"/>
  <c r="D58" i="27"/>
  <c r="E6" i="12"/>
  <c r="E17" i="12"/>
  <c r="E31" i="12"/>
  <c r="E22" i="12"/>
  <c r="E39" i="12"/>
  <c r="E50" i="27"/>
  <c r="E53" i="27"/>
  <c r="E52" i="27"/>
  <c r="E56" i="27"/>
  <c r="E58" i="27"/>
  <c r="F6" i="12"/>
  <c r="F17" i="12"/>
  <c r="F31" i="12"/>
  <c r="F22" i="12"/>
  <c r="F39" i="12"/>
  <c r="F50" i="27"/>
  <c r="F53" i="27"/>
  <c r="F52" i="27"/>
  <c r="F56" i="27"/>
  <c r="F58" i="27"/>
  <c r="G6" i="12"/>
  <c r="G17" i="12"/>
  <c r="G31" i="12"/>
  <c r="G22" i="12"/>
  <c r="G39" i="12"/>
  <c r="G50" i="27"/>
  <c r="G53" i="27"/>
  <c r="G52" i="27"/>
  <c r="G56" i="27"/>
  <c r="G58" i="27"/>
  <c r="H6" i="12"/>
  <c r="H17" i="12"/>
  <c r="H31" i="12"/>
  <c r="H22" i="12"/>
  <c r="H39" i="12"/>
  <c r="H50" i="27"/>
  <c r="H53" i="27"/>
  <c r="H52" i="27"/>
  <c r="H56" i="27"/>
  <c r="H58" i="27"/>
  <c r="C56" i="27"/>
  <c r="C58" i="27"/>
  <c r="I58" i="27"/>
  <c r="D57" i="27"/>
  <c r="D59" i="27"/>
  <c r="E57" i="27"/>
  <c r="E59" i="27"/>
  <c r="F57" i="27"/>
  <c r="F59" i="27"/>
  <c r="G57" i="27"/>
  <c r="G59" i="27"/>
  <c r="H57" i="27"/>
  <c r="H59" i="27"/>
  <c r="C57" i="27"/>
  <c r="C59" i="27"/>
  <c r="I59" i="27"/>
  <c r="D55" i="27"/>
  <c r="D60" i="27"/>
  <c r="E55" i="27"/>
  <c r="E60" i="27"/>
  <c r="F55" i="27"/>
  <c r="F60" i="27"/>
  <c r="G55" i="27"/>
  <c r="G60" i="27"/>
  <c r="H55" i="27"/>
  <c r="H60" i="27"/>
  <c r="C55" i="27"/>
  <c r="C60" i="27"/>
  <c r="I60" i="27"/>
  <c r="I61" i="27"/>
  <c r="C7" i="28"/>
  <c r="C8" i="28"/>
  <c r="G11" i="28"/>
  <c r="C11" i="28"/>
  <c r="D11" i="28"/>
  <c r="E11" i="28"/>
  <c r="F11" i="28"/>
  <c r="H11" i="28"/>
  <c r="I11" i="28"/>
  <c r="C12" i="28"/>
  <c r="D12" i="28"/>
  <c r="E12" i="28"/>
  <c r="F12" i="28"/>
  <c r="G12" i="28"/>
  <c r="H12" i="28"/>
  <c r="I12" i="28"/>
  <c r="C13" i="28"/>
  <c r="D13" i="28"/>
  <c r="E13" i="28"/>
  <c r="F13" i="28"/>
  <c r="G13" i="28"/>
  <c r="H13" i="28"/>
  <c r="I13" i="28"/>
  <c r="C14" i="28"/>
  <c r="D14" i="28"/>
  <c r="E14" i="28"/>
  <c r="F14" i="28"/>
  <c r="G14" i="28"/>
  <c r="H14" i="28"/>
  <c r="I14" i="28"/>
  <c r="I15" i="28"/>
  <c r="E22" i="28"/>
  <c r="C22" i="3"/>
  <c r="D22" i="3"/>
  <c r="E22" i="3"/>
  <c r="F22" i="3"/>
  <c r="B22" i="3"/>
  <c r="C5" i="3"/>
  <c r="D5" i="3"/>
  <c r="E5" i="3"/>
  <c r="F5" i="3"/>
  <c r="B5" i="3"/>
  <c r="D26" i="19"/>
  <c r="E26" i="19"/>
  <c r="F26" i="19"/>
  <c r="G26" i="19"/>
  <c r="C26" i="19"/>
  <c r="D8" i="19"/>
  <c r="E8" i="19"/>
  <c r="F8" i="19"/>
  <c r="G8" i="19"/>
  <c r="C8" i="19"/>
  <c r="D39" i="22"/>
  <c r="E39" i="22"/>
  <c r="F39" i="22"/>
  <c r="G39" i="22"/>
  <c r="C39" i="22"/>
  <c r="D14" i="22"/>
  <c r="E14" i="22"/>
  <c r="F14" i="22"/>
  <c r="G14" i="22"/>
  <c r="C14" i="22"/>
  <c r="E41" i="13"/>
  <c r="F41" i="13"/>
  <c r="G41" i="13"/>
  <c r="H41" i="13"/>
  <c r="E29" i="13"/>
  <c r="B4" i="25"/>
  <c r="O8" i="27"/>
  <c r="P8" i="27"/>
  <c r="D54" i="27"/>
  <c r="E54" i="27"/>
  <c r="F54" i="27"/>
  <c r="G54" i="27"/>
  <c r="H54" i="27"/>
  <c r="C54" i="27"/>
  <c r="O5" i="27"/>
  <c r="P5" i="27"/>
  <c r="C9" i="27"/>
  <c r="D9" i="27"/>
  <c r="E9" i="27"/>
  <c r="F9" i="27"/>
  <c r="G9" i="27"/>
  <c r="H9" i="27"/>
  <c r="O7" i="27"/>
  <c r="P7" i="27"/>
  <c r="C39" i="27"/>
  <c r="D39" i="27"/>
  <c r="E39" i="27"/>
  <c r="F39" i="27"/>
  <c r="G39" i="27"/>
  <c r="H39" i="27"/>
  <c r="O6" i="27"/>
  <c r="P6" i="27"/>
  <c r="C24" i="27"/>
  <c r="D24" i="27"/>
  <c r="E24" i="27"/>
  <c r="F24" i="27"/>
  <c r="G24" i="27"/>
  <c r="H24" i="27"/>
  <c r="C6" i="27"/>
  <c r="D6" i="27"/>
  <c r="E6" i="27"/>
  <c r="F6" i="27"/>
  <c r="G6" i="27"/>
  <c r="H6" i="27"/>
  <c r="D51" i="27"/>
  <c r="E51" i="27"/>
  <c r="F51" i="27"/>
  <c r="G51" i="27"/>
  <c r="H51" i="27"/>
  <c r="C51" i="27"/>
  <c r="D36" i="27"/>
  <c r="E36" i="27"/>
  <c r="F36" i="27"/>
  <c r="G36" i="27"/>
  <c r="H36" i="27"/>
  <c r="C36" i="27"/>
  <c r="D21" i="27"/>
  <c r="E21" i="27"/>
  <c r="F21" i="27"/>
  <c r="G21" i="27"/>
  <c r="H21" i="27"/>
  <c r="C21" i="27"/>
  <c r="D41" i="13"/>
  <c r="D43" i="13"/>
  <c r="D7" i="13"/>
  <c r="G5" i="25"/>
  <c r="C4" i="25"/>
  <c r="B11" i="25"/>
  <c r="C14" i="25"/>
  <c r="D3" i="25"/>
  <c r="D4" i="25"/>
  <c r="D14" i="25"/>
  <c r="E3" i="25"/>
  <c r="E4" i="25"/>
  <c r="E14" i="25"/>
  <c r="F3" i="25"/>
  <c r="F4" i="25"/>
  <c r="G4" i="25"/>
  <c r="H4" i="25"/>
  <c r="Q4" i="25"/>
  <c r="R4" i="25"/>
  <c r="Q5" i="25"/>
  <c r="B6" i="25"/>
  <c r="C6" i="25"/>
  <c r="D6" i="25"/>
  <c r="E6" i="25"/>
  <c r="F6" i="25"/>
  <c r="G8" i="25"/>
  <c r="Q8" i="25"/>
  <c r="G9" i="25"/>
  <c r="H9" i="25"/>
  <c r="Q9" i="25"/>
  <c r="R9" i="25"/>
  <c r="Q10" i="25"/>
  <c r="R10" i="25"/>
  <c r="G11" i="25"/>
  <c r="H11" i="25"/>
  <c r="G13" i="25"/>
  <c r="H13" i="25"/>
  <c r="Q13" i="25"/>
  <c r="R13" i="25"/>
  <c r="F14" i="25"/>
  <c r="G14" i="25"/>
  <c r="H14" i="25"/>
  <c r="B15" i="25"/>
  <c r="C15" i="25"/>
  <c r="D15" i="25"/>
  <c r="E15" i="25"/>
  <c r="F15" i="25"/>
  <c r="G15" i="25"/>
  <c r="H17" i="25"/>
  <c r="R17" i="25"/>
  <c r="E6" i="24"/>
  <c r="E7" i="24"/>
  <c r="E8" i="24"/>
  <c r="C9" i="24"/>
  <c r="D9" i="24"/>
  <c r="E9" i="24"/>
  <c r="C10" i="24"/>
  <c r="D10" i="24"/>
  <c r="E10" i="24"/>
  <c r="F10" i="24"/>
  <c r="G10" i="24"/>
  <c r="C11" i="24"/>
  <c r="D11" i="24"/>
  <c r="E11" i="24"/>
  <c r="F11" i="24"/>
  <c r="G11" i="24"/>
  <c r="C12" i="24"/>
  <c r="D12" i="24"/>
  <c r="E12" i="24"/>
  <c r="F12" i="24"/>
  <c r="G12" i="24"/>
  <c r="H12" i="24"/>
  <c r="C13" i="24"/>
  <c r="D13" i="24"/>
  <c r="E13" i="24"/>
  <c r="F13" i="24"/>
  <c r="G13" i="24"/>
  <c r="H13" i="24"/>
  <c r="C14" i="24"/>
  <c r="D14" i="24"/>
  <c r="E14" i="24"/>
  <c r="G14" i="24"/>
  <c r="H14" i="24"/>
  <c r="C15" i="24"/>
  <c r="D15" i="24"/>
  <c r="E15" i="24"/>
  <c r="G15" i="24"/>
  <c r="H15" i="24"/>
  <c r="C16" i="24"/>
  <c r="D16" i="24"/>
  <c r="E16" i="24"/>
  <c r="G16" i="24"/>
  <c r="H16" i="24"/>
  <c r="C17" i="24"/>
  <c r="D17" i="24"/>
  <c r="E17" i="24"/>
  <c r="G17" i="24"/>
  <c r="H17" i="24"/>
  <c r="C18" i="24"/>
  <c r="D18" i="24"/>
  <c r="E18" i="24"/>
  <c r="G18" i="24"/>
  <c r="H18" i="24"/>
  <c r="C19" i="24"/>
  <c r="D19" i="24"/>
  <c r="E19" i="24"/>
  <c r="G19" i="24"/>
  <c r="H19" i="24"/>
  <c r="C20" i="24"/>
  <c r="D20" i="24"/>
  <c r="E20" i="24"/>
  <c r="G20" i="24"/>
  <c r="H20" i="24"/>
  <c r="C21" i="24"/>
  <c r="D21" i="24"/>
  <c r="E21" i="24"/>
  <c r="G21" i="24"/>
  <c r="H21" i="24"/>
  <c r="K21" i="24"/>
  <c r="E22" i="24"/>
  <c r="G22" i="24"/>
  <c r="G23" i="24"/>
  <c r="G24" i="24"/>
  <c r="G25" i="24"/>
  <c r="G26" i="24"/>
  <c r="D20" i="22"/>
  <c r="E20" i="22"/>
  <c r="F20" i="22"/>
  <c r="G20" i="22"/>
  <c r="C23" i="22"/>
  <c r="D23" i="22"/>
  <c r="E23" i="22"/>
  <c r="F23" i="22"/>
  <c r="G23" i="22"/>
  <c r="C27" i="22"/>
  <c r="F27" i="22"/>
  <c r="F28" i="22"/>
  <c r="C29" i="22"/>
  <c r="F29" i="22"/>
  <c r="C30" i="22"/>
  <c r="F30" i="22"/>
  <c r="F31" i="22"/>
  <c r="C48" i="22"/>
  <c r="D48" i="22"/>
  <c r="E48" i="22"/>
  <c r="F48" i="22"/>
  <c r="G48" i="22"/>
  <c r="G52" i="22"/>
  <c r="G53" i="22"/>
  <c r="C54" i="22"/>
  <c r="G54" i="22"/>
  <c r="C3" i="21"/>
  <c r="D3" i="21"/>
  <c r="E3" i="21"/>
  <c r="F3" i="21"/>
  <c r="C4" i="21"/>
  <c r="D4" i="21"/>
  <c r="E4" i="21"/>
  <c r="F4" i="21"/>
  <c r="C5" i="21"/>
  <c r="D5" i="21"/>
  <c r="E5" i="21"/>
  <c r="F5" i="21"/>
  <c r="C6" i="21"/>
  <c r="D6" i="21"/>
  <c r="E6" i="21"/>
  <c r="F6" i="21"/>
  <c r="C7" i="21"/>
  <c r="D7" i="21"/>
  <c r="E7" i="21"/>
  <c r="F7" i="21"/>
  <c r="C8" i="21"/>
  <c r="D8" i="21"/>
  <c r="E8" i="21"/>
  <c r="F8" i="21"/>
  <c r="C9" i="21"/>
  <c r="D9" i="21"/>
  <c r="E9" i="21"/>
  <c r="F9" i="21"/>
  <c r="C10" i="21"/>
  <c r="D10" i="21"/>
  <c r="E10" i="21"/>
  <c r="F10" i="21"/>
  <c r="C11" i="21"/>
  <c r="D11" i="21"/>
  <c r="E11" i="21"/>
  <c r="F11" i="21"/>
  <c r="C12" i="21"/>
  <c r="D12" i="21"/>
  <c r="E12" i="21"/>
  <c r="F12" i="21"/>
  <c r="C13" i="21"/>
  <c r="D13" i="21"/>
  <c r="E13" i="21"/>
  <c r="F13" i="21"/>
  <c r="C14" i="21"/>
  <c r="D14" i="21"/>
  <c r="E14" i="21"/>
  <c r="F14" i="21"/>
  <c r="C15" i="21"/>
  <c r="D15" i="21"/>
  <c r="E15" i="21"/>
  <c r="F15" i="21"/>
  <c r="C16" i="21"/>
  <c r="D16" i="21"/>
  <c r="E16" i="21"/>
  <c r="F16" i="21"/>
  <c r="C17" i="21"/>
  <c r="D17" i="21"/>
  <c r="E17" i="21"/>
  <c r="F17" i="21"/>
  <c r="C18" i="21"/>
  <c r="D18" i="21"/>
  <c r="E18" i="21"/>
  <c r="F18" i="21"/>
  <c r="C19" i="21"/>
  <c r="D19" i="21"/>
  <c r="E19" i="21"/>
  <c r="F19" i="21"/>
  <c r="C20" i="21"/>
  <c r="D20" i="21"/>
  <c r="E20" i="21"/>
  <c r="F20" i="21"/>
  <c r="C21" i="21"/>
  <c r="D21" i="21"/>
  <c r="E21" i="21"/>
  <c r="F21" i="21"/>
  <c r="J5" i="21"/>
  <c r="C22" i="21"/>
  <c r="D22" i="21"/>
  <c r="E22" i="21"/>
  <c r="F22" i="21"/>
  <c r="C23" i="21"/>
  <c r="D23" i="21"/>
  <c r="E23" i="21"/>
  <c r="F23" i="21"/>
  <c r="C24" i="21"/>
  <c r="D24" i="21"/>
  <c r="E24" i="21"/>
  <c r="F24" i="21"/>
  <c r="C25" i="21"/>
  <c r="D25" i="21"/>
  <c r="E25" i="21"/>
  <c r="F25" i="21"/>
  <c r="C26" i="21"/>
  <c r="D26" i="21"/>
  <c r="E26" i="21"/>
  <c r="F26" i="21"/>
  <c r="E10" i="20"/>
  <c r="F10" i="20"/>
  <c r="E11" i="20"/>
  <c r="F11" i="20"/>
  <c r="E12" i="20"/>
  <c r="F12" i="20"/>
  <c r="E13" i="20"/>
  <c r="F13" i="20"/>
  <c r="E14" i="20"/>
  <c r="F14" i="20"/>
  <c r="E15" i="20"/>
  <c r="F15" i="20"/>
  <c r="E16" i="20"/>
  <c r="F16" i="20"/>
  <c r="E17" i="20"/>
  <c r="F17" i="20"/>
  <c r="E18" i="20"/>
  <c r="F18" i="20"/>
  <c r="E19" i="20"/>
  <c r="F19" i="20"/>
  <c r="B20" i="20"/>
  <c r="E20" i="20"/>
  <c r="B21" i="20"/>
  <c r="E21" i="20"/>
  <c r="F21" i="20"/>
  <c r="B22" i="20"/>
  <c r="E22" i="20"/>
  <c r="I22" i="20"/>
  <c r="B23" i="20"/>
  <c r="E23" i="20"/>
  <c r="B24" i="20"/>
  <c r="E24" i="20"/>
  <c r="I8" i="19"/>
  <c r="H9" i="19"/>
  <c r="I13" i="19"/>
  <c r="I15" i="19"/>
  <c r="H17" i="19"/>
  <c r="I17" i="19"/>
  <c r="I18" i="19"/>
  <c r="H27" i="19"/>
  <c r="I31" i="19"/>
  <c r="H35" i="19"/>
  <c r="I35" i="19"/>
  <c r="I36" i="19"/>
  <c r="C2" i="18"/>
  <c r="E2" i="18"/>
  <c r="C3" i="18"/>
  <c r="E3" i="18"/>
  <c r="C4" i="18"/>
  <c r="E4" i="18"/>
  <c r="J4" i="18"/>
  <c r="C5" i="18"/>
  <c r="E5" i="18"/>
  <c r="C6" i="18"/>
  <c r="E6" i="18"/>
  <c r="C7" i="18"/>
  <c r="E7" i="18"/>
  <c r="C8" i="18"/>
  <c r="E8" i="18"/>
  <c r="C9" i="18"/>
  <c r="E9" i="18"/>
  <c r="C10" i="18"/>
  <c r="E10" i="18"/>
  <c r="C11" i="18"/>
  <c r="E11" i="18"/>
  <c r="D12" i="18"/>
  <c r="E12" i="18"/>
  <c r="G12" i="18"/>
  <c r="D13" i="18"/>
  <c r="E13" i="18"/>
  <c r="G13" i="18"/>
  <c r="D14" i="18"/>
  <c r="E14" i="18"/>
  <c r="G14" i="18"/>
  <c r="D15" i="18"/>
  <c r="E15" i="18"/>
  <c r="G15" i="18"/>
  <c r="D16" i="18"/>
  <c r="E16" i="18"/>
  <c r="G16" i="18"/>
  <c r="D17" i="18"/>
  <c r="E17" i="18"/>
  <c r="G17" i="18"/>
  <c r="D18" i="18"/>
  <c r="E18" i="18"/>
  <c r="G18" i="18"/>
  <c r="D19" i="18"/>
  <c r="E19" i="18"/>
  <c r="G19" i="18"/>
  <c r="D20" i="18"/>
  <c r="E20" i="18"/>
  <c r="G20" i="18"/>
  <c r="D21" i="18"/>
  <c r="E21" i="18"/>
  <c r="G21" i="18"/>
  <c r="F22" i="18"/>
  <c r="F23" i="18"/>
  <c r="F24" i="18"/>
  <c r="F25" i="18"/>
  <c r="F26" i="18"/>
  <c r="E28" i="18"/>
  <c r="H31" i="3"/>
  <c r="G44" i="13"/>
  <c r="E43" i="13"/>
  <c r="F44" i="13"/>
  <c r="F43" i="13"/>
  <c r="G43" i="13"/>
  <c r="H44" i="13"/>
  <c r="E44" i="13"/>
  <c r="H43" i="13"/>
  <c r="D44" i="13"/>
  <c r="H31" i="13"/>
  <c r="G31" i="13"/>
  <c r="E7" i="13"/>
  <c r="F7" i="13"/>
  <c r="G7" i="13"/>
  <c r="H7" i="13"/>
  <c r="D49" i="13"/>
  <c r="D48" i="13"/>
  <c r="D37" i="13"/>
  <c r="D36" i="13"/>
  <c r="D24" i="13"/>
  <c r="D12" i="13"/>
  <c r="G32" i="3"/>
  <c r="C32" i="3"/>
  <c r="D32" i="3"/>
  <c r="E32" i="3"/>
  <c r="F32" i="3"/>
  <c r="B32" i="3"/>
  <c r="I36" i="12"/>
  <c r="I37" i="12"/>
  <c r="I38" i="12"/>
  <c r="I39" i="12"/>
  <c r="I40" i="12"/>
  <c r="K36" i="12"/>
  <c r="K37" i="12"/>
  <c r="K38" i="12"/>
  <c r="K39" i="12"/>
  <c r="K40" i="12"/>
  <c r="D40" i="12"/>
  <c r="E40" i="12"/>
  <c r="F40" i="12"/>
  <c r="G40" i="12"/>
  <c r="H40" i="12"/>
  <c r="E9" i="4"/>
  <c r="F9" i="4"/>
  <c r="E10" i="4"/>
  <c r="F10" i="4"/>
  <c r="E11" i="4"/>
  <c r="F11" i="4"/>
  <c r="E12" i="4"/>
  <c r="F12" i="4"/>
  <c r="E13" i="4"/>
  <c r="F13" i="4"/>
  <c r="E14" i="4"/>
  <c r="F14" i="4"/>
  <c r="E15" i="4"/>
  <c r="F15" i="4"/>
  <c r="E16" i="4"/>
  <c r="F16" i="4"/>
  <c r="E17" i="4"/>
  <c r="F17" i="4"/>
  <c r="E18" i="4"/>
  <c r="F18" i="4"/>
  <c r="E19" i="4"/>
  <c r="F19" i="4"/>
  <c r="F20" i="4"/>
  <c r="B22" i="4"/>
  <c r="B23" i="4"/>
  <c r="B24" i="4"/>
  <c r="B25" i="4"/>
  <c r="B26" i="4"/>
  <c r="C1" i="11"/>
  <c r="C2" i="11"/>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B1" i="11"/>
  <c r="B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C1" i="10"/>
  <c r="C2"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B1" i="10"/>
  <c r="B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C1"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B1"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C1" i="6"/>
  <c r="C2" i="6"/>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B1" i="6"/>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D12" i="1"/>
  <c r="C2" i="1"/>
  <c r="D23" i="1"/>
  <c r="B15" i="3"/>
  <c r="C15" i="3"/>
  <c r="D15" i="3"/>
  <c r="E15" i="3"/>
  <c r="F15" i="3"/>
  <c r="G15" i="3"/>
  <c r="H15" i="3"/>
  <c r="H27" i="3"/>
  <c r="H26" i="3"/>
  <c r="G22" i="3"/>
  <c r="H22" i="3"/>
  <c r="G27" i="3"/>
  <c r="G28" i="3"/>
  <c r="G31" i="3"/>
  <c r="G26" i="3"/>
  <c r="H33" i="3"/>
  <c r="G5" i="3"/>
  <c r="H5" i="3"/>
  <c r="G9" i="3"/>
  <c r="H9" i="3"/>
  <c r="G10" i="3"/>
  <c r="H10" i="3"/>
  <c r="G12" i="3"/>
  <c r="H12" i="3"/>
  <c r="B11" i="3"/>
  <c r="B14" i="3"/>
  <c r="C4" i="3"/>
  <c r="C11" i="3"/>
  <c r="C14" i="3"/>
  <c r="D4" i="3"/>
  <c r="D11" i="3"/>
  <c r="D14" i="3"/>
  <c r="E4" i="3"/>
  <c r="E11" i="3"/>
  <c r="E14" i="3"/>
  <c r="F4" i="3"/>
  <c r="F11" i="3"/>
  <c r="F14" i="3"/>
  <c r="G14" i="3"/>
  <c r="H14" i="3"/>
  <c r="J12" i="3"/>
  <c r="G7" i="3"/>
  <c r="J13" i="3"/>
  <c r="J15" i="3"/>
  <c r="H16" i="3"/>
  <c r="C30" i="1"/>
  <c r="D30" i="1"/>
  <c r="C31" i="1"/>
  <c r="D31" i="1"/>
  <c r="C32" i="1"/>
  <c r="D32" i="1"/>
  <c r="C33" i="1"/>
  <c r="D33" i="1"/>
  <c r="C29" i="1"/>
  <c r="D29" i="1"/>
  <c r="C12" i="1"/>
  <c r="C13" i="1"/>
  <c r="D13" i="1"/>
  <c r="C14" i="1"/>
  <c r="D14" i="1"/>
  <c r="C15" i="1"/>
  <c r="D15" i="1"/>
  <c r="C16" i="1"/>
  <c r="D16" i="1"/>
  <c r="C17" i="1"/>
  <c r="D17" i="1"/>
  <c r="C18" i="1"/>
  <c r="D18" i="1"/>
  <c r="C19" i="1"/>
  <c r="D19" i="1"/>
  <c r="C20" i="1"/>
  <c r="D20" i="1"/>
  <c r="C21" i="1"/>
  <c r="D21" i="1"/>
  <c r="C3" i="1"/>
  <c r="C4" i="1"/>
  <c r="C5" i="1"/>
  <c r="C6" i="1"/>
  <c r="C7" i="1"/>
  <c r="C8" i="1"/>
  <c r="C9" i="1"/>
  <c r="C10" i="1"/>
  <c r="C11" i="1"/>
</calcChain>
</file>

<file path=xl/sharedStrings.xml><?xml version="1.0" encoding="utf-8"?>
<sst xmlns="http://schemas.openxmlformats.org/spreadsheetml/2006/main" count="689" uniqueCount="289">
  <si>
    <t>Product 1</t>
  </si>
  <si>
    <t>History Horizon</t>
  </si>
  <si>
    <t>Linear regression</t>
  </si>
  <si>
    <t>MAD = 8</t>
  </si>
  <si>
    <t>Bo=26.226</t>
  </si>
  <si>
    <t>B1=7.8594</t>
  </si>
  <si>
    <t>y=Bo+B1(x)</t>
  </si>
  <si>
    <t>Forecasting for next 5 weeks</t>
  </si>
  <si>
    <t>MAD ==&gt;</t>
  </si>
  <si>
    <t>History horizon</t>
  </si>
  <si>
    <t>Beg Inv</t>
  </si>
  <si>
    <t>Regular Production</t>
  </si>
  <si>
    <t>Demand</t>
  </si>
  <si>
    <t>Workers needed</t>
  </si>
  <si>
    <t>Workers available</t>
  </si>
  <si>
    <t>Workers Hire</t>
  </si>
  <si>
    <t>Workers Fired</t>
  </si>
  <si>
    <t>Back order</t>
  </si>
  <si>
    <t>Undertime</t>
  </si>
  <si>
    <t>Total</t>
  </si>
  <si>
    <t>Regular cost</t>
  </si>
  <si>
    <t>Holding/week</t>
  </si>
  <si>
    <t>Backorder/week</t>
  </si>
  <si>
    <t>Undertime cost</t>
  </si>
  <si>
    <t>Hiring cost</t>
  </si>
  <si>
    <t>Regular production</t>
  </si>
  <si>
    <t>Initial workforce</t>
  </si>
  <si>
    <t>Time / unit</t>
  </si>
  <si>
    <t>Firing Cost</t>
  </si>
  <si>
    <t>Level Policy for Product 1</t>
  </si>
  <si>
    <t>Total Capacity</t>
  </si>
  <si>
    <t>Total Production Time</t>
  </si>
  <si>
    <t>Cost</t>
  </si>
  <si>
    <t>Chase Policy for Product 1</t>
  </si>
  <si>
    <t>Beginning Inventory</t>
  </si>
  <si>
    <t>Ending Inventory</t>
  </si>
  <si>
    <t>Average Inventory</t>
  </si>
  <si>
    <t>Overtime</t>
  </si>
  <si>
    <t>Y t -1</t>
  </si>
  <si>
    <t>Y t -2</t>
  </si>
  <si>
    <t>Observations</t>
  </si>
  <si>
    <t>Sum of weights</t>
  </si>
  <si>
    <t>DF</t>
  </si>
  <si>
    <t>R²</t>
  </si>
  <si>
    <t>Adjusted R²</t>
  </si>
  <si>
    <t>MSE</t>
  </si>
  <si>
    <t>RMSE</t>
  </si>
  <si>
    <t>MAPE</t>
  </si>
  <si>
    <t>DW</t>
  </si>
  <si>
    <t>Cp</t>
  </si>
  <si>
    <t>AIC</t>
  </si>
  <si>
    <t>SBC</t>
  </si>
  <si>
    <t>PC</t>
  </si>
  <si>
    <t>Source</t>
  </si>
  <si>
    <t>Sum of squares</t>
  </si>
  <si>
    <t>Mean squares</t>
  </si>
  <si>
    <t>F</t>
  </si>
  <si>
    <t>Pr &gt; F</t>
  </si>
  <si>
    <t>Model</t>
  </si>
  <si>
    <t>Error</t>
  </si>
  <si>
    <t>Corrected Total</t>
  </si>
  <si>
    <t>&lt; 0.0001</t>
  </si>
  <si>
    <t>Computed against model Y=Mean(Y)</t>
  </si>
  <si>
    <t>Value</t>
  </si>
  <si>
    <t>Standard error</t>
  </si>
  <si>
    <t>t</t>
  </si>
  <si>
    <t>Pr &gt; |t|</t>
  </si>
  <si>
    <t>Lower bound (95%)</t>
  </si>
  <si>
    <t>Upper bound (95%)</t>
  </si>
  <si>
    <t>Intercept</t>
  </si>
  <si>
    <t>Analysis of variance  (Product 1):</t>
  </si>
  <si>
    <t>Model parameters (Product 1):</t>
  </si>
  <si>
    <t>b0</t>
  </si>
  <si>
    <t>b1</t>
  </si>
  <si>
    <t>b2</t>
  </si>
  <si>
    <t>Autoregressive mode</t>
  </si>
  <si>
    <t>MAD</t>
  </si>
  <si>
    <t>Forcasted</t>
  </si>
  <si>
    <t>[F-A]</t>
  </si>
  <si>
    <t>Forcasting for next five weeks</t>
  </si>
  <si>
    <t>Yt=B0+B1*(Yt-1)+B2*(Yt-2)</t>
  </si>
  <si>
    <t>Round-up</t>
  </si>
  <si>
    <t>Capacity Planning</t>
  </si>
  <si>
    <t>Sub-product 1</t>
  </si>
  <si>
    <t>Sub-product 1
processing time</t>
  </si>
  <si>
    <t>Sub- product 1 
setup times</t>
  </si>
  <si>
    <t>Sub-product 1
setup time per unit</t>
  </si>
  <si>
    <t>Planned Order Receipt</t>
  </si>
  <si>
    <t>Sub-product 2</t>
  </si>
  <si>
    <t>Sub-product 2
processing time</t>
  </si>
  <si>
    <t>Sub-product 2
setup time</t>
  </si>
  <si>
    <t>Sub-product2
setup time per unit</t>
  </si>
  <si>
    <t>Sub-product 3</t>
  </si>
  <si>
    <t>Sub-product 3
 processing time</t>
  </si>
  <si>
    <t>sub-product 3
setup time</t>
  </si>
  <si>
    <t>Sub-product3
setup time per
unit</t>
  </si>
  <si>
    <t>Sub-product 4</t>
  </si>
  <si>
    <t>Sub-product4
processing time</t>
  </si>
  <si>
    <t>Sub-product 4
setup time</t>
  </si>
  <si>
    <t>Sub-product 4 
setup time
 per unit</t>
  </si>
  <si>
    <t>Allocations using routing</t>
  </si>
  <si>
    <t>Work Stations</t>
  </si>
  <si>
    <t>Gross requirements</t>
  </si>
  <si>
    <t>Scheduled Receipt</t>
  </si>
  <si>
    <t>Net Requirements</t>
  </si>
  <si>
    <t>Planned Order Release</t>
  </si>
  <si>
    <t>Sub-Product 1</t>
  </si>
  <si>
    <t>PAB/240</t>
  </si>
  <si>
    <t>Period</t>
  </si>
  <si>
    <t>Sub-Product 2</t>
  </si>
  <si>
    <t>PAB/310</t>
  </si>
  <si>
    <t>Sub-Product 3</t>
  </si>
  <si>
    <t>Sub-Product 4</t>
  </si>
  <si>
    <t>PAB/110</t>
  </si>
  <si>
    <t>PAB/640</t>
  </si>
  <si>
    <t>Sub Product</t>
  </si>
  <si>
    <t>Product 2</t>
  </si>
  <si>
    <t>Product 3</t>
  </si>
  <si>
    <t>Product 4</t>
  </si>
  <si>
    <t>BILL OF MATERIALS</t>
  </si>
  <si>
    <t>Week</t>
  </si>
  <si>
    <t>Lot for Lot</t>
  </si>
  <si>
    <t>Fixed 2 periods</t>
  </si>
  <si>
    <t>Total time required on workstation</t>
  </si>
  <si>
    <t>Downtime(mins/machine)</t>
  </si>
  <si>
    <t>Periods</t>
  </si>
  <si>
    <t>Machines purchase cost</t>
  </si>
  <si>
    <t>Workstation 4</t>
  </si>
  <si>
    <t>Machines resale cost</t>
  </si>
  <si>
    <t>Work station available time (mins)</t>
  </si>
  <si>
    <t>Workstation 3</t>
  </si>
  <si>
    <t>Workstation 2</t>
  </si>
  <si>
    <t>Workstation 1</t>
  </si>
  <si>
    <t>Lowest Cost</t>
  </si>
  <si>
    <t>MPS</t>
  </si>
  <si>
    <t>Sub Product 1</t>
  </si>
  <si>
    <t>Sub Product 2</t>
  </si>
  <si>
    <t>Sub Product 3</t>
  </si>
  <si>
    <t>Sub Product 4</t>
  </si>
  <si>
    <t>MAD (F11-F20)</t>
  </si>
  <si>
    <t>-</t>
  </si>
  <si>
    <t>B(20)=</t>
  </si>
  <si>
    <t>B(10)=</t>
  </si>
  <si>
    <t>Grand Average</t>
  </si>
  <si>
    <t>Actual - Forecast</t>
  </si>
  <si>
    <t>Ft 2</t>
  </si>
  <si>
    <t>Si 2</t>
  </si>
  <si>
    <t>Ft</t>
  </si>
  <si>
    <t>Si</t>
  </si>
  <si>
    <t>TOTAL</t>
  </si>
  <si>
    <t>Average Inven.</t>
  </si>
  <si>
    <t>End Inven.</t>
  </si>
  <si>
    <t>Beginning Inven.</t>
  </si>
  <si>
    <t>Chase Policy for Product 2</t>
  </si>
  <si>
    <t>TOTAL ($)</t>
  </si>
  <si>
    <t>Undertime Production</t>
  </si>
  <si>
    <t>Avg Inven.</t>
  </si>
  <si>
    <t>Layoff Cost</t>
  </si>
  <si>
    <t>Backorder/unit/week</t>
  </si>
  <si>
    <t>Holding/unit/week</t>
  </si>
  <si>
    <t xml:space="preserve">Cost in $ </t>
  </si>
  <si>
    <t>Level Policy for Product 2</t>
  </si>
  <si>
    <t>Ft 25</t>
  </si>
  <si>
    <t>Ft 24</t>
  </si>
  <si>
    <t>MAD 11-20</t>
  </si>
  <si>
    <t>Ft 23</t>
  </si>
  <si>
    <t>&lt;-- Sum Column F</t>
  </si>
  <si>
    <t>Ft 22</t>
  </si>
  <si>
    <t>X Variable 2</t>
  </si>
  <si>
    <t>Ft 21</t>
  </si>
  <si>
    <t>X Variable 1</t>
  </si>
  <si>
    <t>Upper 95.0%</t>
  </si>
  <si>
    <t>Lower 95.0%</t>
  </si>
  <si>
    <t>Upper 95%</t>
  </si>
  <si>
    <t>Lower 95%</t>
  </si>
  <si>
    <t>P-value</t>
  </si>
  <si>
    <t>t Stat</t>
  </si>
  <si>
    <t>Standard Error</t>
  </si>
  <si>
    <t>Coefficients</t>
  </si>
  <si>
    <t>Residual</t>
  </si>
  <si>
    <r>
      <t>Yt=24.81285+.281597Y</t>
    </r>
    <r>
      <rPr>
        <vertAlign val="subscript"/>
        <sz val="11"/>
        <color theme="1"/>
        <rFont val="Calibri"/>
        <family val="2"/>
        <scheme val="minor"/>
      </rPr>
      <t>t-1</t>
    </r>
    <r>
      <rPr>
        <sz val="12"/>
        <color theme="1"/>
        <rFont val="Calibri"/>
        <family val="2"/>
        <charset val="128"/>
        <scheme val="minor"/>
      </rPr>
      <t>+.194143Y</t>
    </r>
    <r>
      <rPr>
        <vertAlign val="subscript"/>
        <sz val="11"/>
        <color theme="1"/>
        <rFont val="Calibri"/>
        <family val="2"/>
        <scheme val="minor"/>
      </rPr>
      <t>t-2</t>
    </r>
  </si>
  <si>
    <t>Autoregressive mode:</t>
  </si>
  <si>
    <t>Regression</t>
  </si>
  <si>
    <t>Significance F</t>
  </si>
  <si>
    <t>MS</t>
  </si>
  <si>
    <t>SS</t>
  </si>
  <si>
    <t>df</t>
  </si>
  <si>
    <t>B2</t>
  </si>
  <si>
    <t>ANOVA</t>
  </si>
  <si>
    <t>B1</t>
  </si>
  <si>
    <t>B0</t>
  </si>
  <si>
    <t>Adjusted R Square</t>
  </si>
  <si>
    <t>R Square</t>
  </si>
  <si>
    <t>Multiple R</t>
  </si>
  <si>
    <t>Regression Statistics</t>
  </si>
  <si>
    <t>SUMMARY OUTPUT</t>
  </si>
  <si>
    <t>|Yt-Ft|</t>
  </si>
  <si>
    <t>Yt-2</t>
  </si>
  <si>
    <t>Yt-1</t>
  </si>
  <si>
    <t>Demand (Yt)</t>
  </si>
  <si>
    <t xml:space="preserve">Note:The forecasted values are rounded up to the nearest integer.
Using the naive method, the forecast for period 10 is assumed to be 158 units.
The actual demand for period 21-25 are assumed to be the previous month forecasted value.
</t>
  </si>
  <si>
    <t>b</t>
  </si>
  <si>
    <t>a</t>
  </si>
  <si>
    <t>Trend</t>
  </si>
  <si>
    <t>|Error|</t>
  </si>
  <si>
    <t>Forecast</t>
  </si>
  <si>
    <t>Exponentially smoothed forecast trend</t>
  </si>
  <si>
    <t>Exponentially Smoothed</t>
  </si>
  <si>
    <t>Actual</t>
  </si>
  <si>
    <t>HIstory Horizon</t>
  </si>
  <si>
    <t>Note:The forecasted values are rounded up to the nearest integer.</t>
  </si>
  <si>
    <t>Total Cost ($)</t>
  </si>
  <si>
    <t>Untime cost ($)</t>
  </si>
  <si>
    <t>Undertime units</t>
  </si>
  <si>
    <t>Production cost ($)</t>
  </si>
  <si>
    <t>Total Production</t>
  </si>
  <si>
    <t>Hiring cost ($)</t>
  </si>
  <si>
    <t>New workers hired</t>
  </si>
  <si>
    <t>Inventory cost ($)</t>
  </si>
  <si>
    <t>Total Inventory</t>
  </si>
  <si>
    <t>Capacity of workers</t>
  </si>
  <si>
    <t>Backlog</t>
  </si>
  <si>
    <t>End Inventory</t>
  </si>
  <si>
    <t>Workers fired</t>
  </si>
  <si>
    <t>Worked Hired</t>
  </si>
  <si>
    <t xml:space="preserve">Workers needed </t>
  </si>
  <si>
    <t>Production</t>
  </si>
  <si>
    <t>Begining Inventory</t>
  </si>
  <si>
    <t>TIme Period</t>
  </si>
  <si>
    <t>CHASE POLICY</t>
  </si>
  <si>
    <t>Firing Cost ($/worker)</t>
  </si>
  <si>
    <t>Hiring Cost ($/worker)</t>
  </si>
  <si>
    <t>Undertime cost ($/unit)</t>
  </si>
  <si>
    <t>Regular production/worker (units)</t>
  </si>
  <si>
    <t>Regular workforce</t>
  </si>
  <si>
    <t>Backorder($/unit/week)</t>
  </si>
  <si>
    <t>Holding ($/unit/week)</t>
  </si>
  <si>
    <t>Regular cost ($/unit)</t>
  </si>
  <si>
    <t>LEVEL POLICY</t>
  </si>
  <si>
    <t>yt-2</t>
  </si>
  <si>
    <t>yt-1</t>
  </si>
  <si>
    <t>Product 3 (yt)</t>
  </si>
  <si>
    <t xml:space="preserve">MAD </t>
  </si>
  <si>
    <t>Gamma</t>
  </si>
  <si>
    <t>Beta</t>
  </si>
  <si>
    <t>Alpha</t>
  </si>
  <si>
    <t>Actual-Forecast</t>
  </si>
  <si>
    <t xml:space="preserve">Forecast </t>
  </si>
  <si>
    <t>Normalised Indices</t>
  </si>
  <si>
    <t>Seasonal Indices</t>
  </si>
  <si>
    <t>Trend (Tt)</t>
  </si>
  <si>
    <t>Base Value(Bt)</t>
  </si>
  <si>
    <t>Time</t>
  </si>
  <si>
    <t>TOTAL COST</t>
  </si>
  <si>
    <t>Workers Hired</t>
  </si>
  <si>
    <t>Workers Available</t>
  </si>
  <si>
    <t>Workers Needed</t>
  </si>
  <si>
    <t>Capacity</t>
  </si>
  <si>
    <t>=</t>
  </si>
  <si>
    <t>Q</t>
  </si>
  <si>
    <t>Lead time</t>
  </si>
  <si>
    <t>Safety Stock</t>
  </si>
  <si>
    <t>Lead Time</t>
  </si>
  <si>
    <t>Machines Avaliable</t>
  </si>
  <si>
    <t>Scheduling</t>
  </si>
  <si>
    <t>Total Capacity Required</t>
  </si>
  <si>
    <t># of machines Required</t>
  </si>
  <si>
    <t># of machines Available</t>
  </si>
  <si>
    <t># of machines Purchased</t>
  </si>
  <si>
    <t># of machines Sold</t>
  </si>
  <si>
    <t>Total Cost</t>
  </si>
  <si>
    <t>Downtime</t>
  </si>
  <si>
    <t>Station</t>
  </si>
  <si>
    <t>Frequency</t>
  </si>
  <si>
    <t>Avail. Time per week</t>
  </si>
  <si>
    <t>Downtime per machine (min.)</t>
  </si>
  <si>
    <t>Available time (min per week)</t>
  </si>
  <si>
    <t>$2/MIN</t>
  </si>
  <si>
    <t>Buy Machine cost</t>
  </si>
  <si>
    <t>Resale machine cost</t>
  </si>
  <si>
    <t>$2,500/machine</t>
  </si>
  <si>
    <t xml:space="preserve">$1,250/machine </t>
  </si>
  <si>
    <t xml:space="preserve">No overtime or subcontracting allowed </t>
  </si>
  <si>
    <t xml:space="preserve">Holding cost based on ending inventory </t>
  </si>
  <si>
    <t>Cost Information of Subproducts</t>
  </si>
  <si>
    <t>Regular Cost ($/Unit)</t>
  </si>
  <si>
    <t>Sum</t>
  </si>
  <si>
    <t>Grand Total</t>
  </si>
  <si>
    <t>Work center 
percentage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</si>
</sst>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0.000"/>
    <numFmt numFmtId="165" formatCode="0.0000"/>
    <numFmt numFmtId="166" formatCode="_([$$-409]* #,##0.00_);_([$$-409]* \(#,##0.00\);_([$$-409]* &quot;-&quot;??_);_(@_)"/>
  </numFmts>
  <fonts count="36" x14ac:knownFonts="1">
    <font>
      <sz val="12"/>
      <color theme="1"/>
      <name val="Calibri"/>
      <family val="2"/>
      <charset val="128"/>
      <scheme val="minor"/>
    </font>
    <font>
      <sz val="12"/>
      <color theme="1"/>
      <name val="Calibri"/>
      <family val="2"/>
      <charset val="128"/>
      <scheme val="minor"/>
    </font>
    <font>
      <u/>
      <sz val="12"/>
      <color theme="10"/>
      <name val="Calibri"/>
      <family val="2"/>
      <scheme val="minor"/>
    </font>
    <font>
      <u/>
      <sz val="12"/>
      <color theme="11"/>
      <name val="Calibri"/>
      <family val="2"/>
      <scheme val="minor"/>
    </font>
    <font>
      <b/>
      <sz val="12"/>
      <color theme="1"/>
      <name val="Calibri"/>
      <family val="2"/>
      <scheme val="minor"/>
    </font>
    <font>
      <b/>
      <sz val="11"/>
      <color rgb="FF000000"/>
      <name val="Calibri"/>
    </font>
    <font>
      <b/>
      <sz val="18"/>
      <color rgb="FF000000"/>
      <name val="Calibri"/>
    </font>
    <font>
      <sz val="11"/>
      <color rgb="FF000000"/>
      <name val="Calibri"/>
    </font>
    <font>
      <i/>
      <sz val="12"/>
      <color theme="1"/>
      <name val="Calibri"/>
      <scheme val="minor"/>
    </font>
    <font>
      <sz val="10"/>
      <name val="Arial"/>
    </font>
    <font>
      <b/>
      <sz val="10"/>
      <name val="Arial"/>
    </font>
    <font>
      <sz val="12"/>
      <color rgb="FF000000"/>
      <name val="Calibri"/>
      <family val="2"/>
      <charset val="128"/>
      <scheme val="minor"/>
    </font>
    <font>
      <sz val="12"/>
      <color rgb="FF006100"/>
      <name val="Calibri"/>
      <family val="2"/>
      <charset val="128"/>
      <scheme val="minor"/>
    </font>
    <font>
      <sz val="12"/>
      <color rgb="FF9C0006"/>
      <name val="Calibri"/>
      <family val="2"/>
      <charset val="128"/>
      <scheme val="minor"/>
    </font>
    <font>
      <sz val="12"/>
      <color rgb="FF9C6500"/>
      <name val="Calibri"/>
      <family val="2"/>
      <charset val="128"/>
      <scheme val="minor"/>
    </font>
    <font>
      <sz val="12"/>
      <color rgb="FF3F3F76"/>
      <name val="Calibri"/>
      <family val="2"/>
      <charset val="128"/>
      <scheme val="minor"/>
    </font>
    <font>
      <sz val="10"/>
      <color rgb="FF000000"/>
      <name val="Arial"/>
    </font>
    <font>
      <sz val="12"/>
      <color rgb="FFFF0000"/>
      <name val="Calibri"/>
      <family val="2"/>
      <charset val="128"/>
      <scheme val="minor"/>
    </font>
    <font>
      <sz val="12"/>
      <color theme="0"/>
      <name val="Calibri"/>
      <family val="2"/>
      <charset val="128"/>
      <scheme val="minor"/>
    </font>
    <font>
      <sz val="11"/>
      <color theme="1"/>
      <name val="Calibri"/>
      <family val="2"/>
      <scheme val="minor"/>
    </font>
    <font>
      <sz val="16"/>
      <color theme="1"/>
      <name val="Calibri"/>
      <family val="2"/>
      <scheme val="minor"/>
    </font>
    <font>
      <b/>
      <sz val="11"/>
      <color theme="1"/>
      <name val="Calibri"/>
      <family val="2"/>
      <scheme val="minor"/>
    </font>
    <font>
      <sz val="11"/>
      <color rgb="FF7030A0"/>
      <name val="Calibri"/>
    </font>
    <font>
      <b/>
      <sz val="11"/>
      <color theme="1"/>
      <name val="Calibri"/>
      <family val="2"/>
    </font>
    <font>
      <i/>
      <sz val="11"/>
      <color theme="1"/>
      <name val="Calibri"/>
      <family val="2"/>
      <scheme val="minor"/>
    </font>
    <font>
      <vertAlign val="subscript"/>
      <sz val="11"/>
      <color theme="1"/>
      <name val="Calibri"/>
      <family val="2"/>
      <scheme val="minor"/>
    </font>
    <font>
      <b/>
      <sz val="16"/>
      <color theme="1"/>
      <name val="Calibri"/>
      <family val="2"/>
      <scheme val="minor"/>
    </font>
    <font>
      <sz val="10"/>
      <color theme="1"/>
      <name val="Arial"/>
      <family val="18"/>
    </font>
    <font>
      <i/>
      <sz val="10"/>
      <color theme="1"/>
      <name val="Arial"/>
      <family val="18"/>
    </font>
    <font>
      <b/>
      <sz val="10"/>
      <color theme="1"/>
      <name val="Arial"/>
      <family val="18"/>
    </font>
    <font>
      <sz val="18"/>
      <color theme="1"/>
      <name val="Calibri"/>
      <family val="2"/>
      <scheme val="minor"/>
    </font>
    <font>
      <sz val="20"/>
      <color theme="1"/>
      <name val="Calibri"/>
      <family val="2"/>
      <scheme val="minor"/>
    </font>
    <font>
      <b/>
      <sz val="11"/>
      <color theme="1"/>
      <name val="Cambria"/>
      <family val="1"/>
      <scheme val="major"/>
    </font>
    <font>
      <b/>
      <sz val="14"/>
      <color theme="1"/>
      <name val="Calibri"/>
      <family val="2"/>
      <scheme val="minor"/>
    </font>
    <font>
      <sz val="12"/>
      <color theme="1"/>
      <name val="TimesNewRomanPSMT"/>
    </font>
    <font>
      <sz val="16"/>
      <color rgb="FF9C6500"/>
      <name val="Calibri"/>
      <scheme val="minor"/>
    </font>
  </fonts>
  <fills count="20">
    <fill>
      <patternFill patternType="none"/>
    </fill>
    <fill>
      <patternFill patternType="gray125"/>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theme="4" tint="0.79998168889431442"/>
        <bgColor indexed="65"/>
      </patternFill>
    </fill>
    <fill>
      <patternFill patternType="solid">
        <fgColor theme="8"/>
      </patternFill>
    </fill>
    <fill>
      <patternFill patternType="solid">
        <fgColor rgb="FFFFFF00"/>
        <bgColor indexed="64"/>
      </patternFill>
    </fill>
    <fill>
      <patternFill patternType="solid">
        <fgColor theme="8" tint="0.59999389629810485"/>
        <bgColor indexed="64"/>
      </patternFill>
    </fill>
    <fill>
      <patternFill patternType="solid">
        <fgColor rgb="FFF5E2EF"/>
        <bgColor indexed="64"/>
      </patternFill>
    </fill>
    <fill>
      <patternFill patternType="solid">
        <fgColor rgb="FFE2D1F0"/>
        <bgColor indexed="64"/>
      </patternFill>
    </fill>
    <fill>
      <patternFill patternType="solid">
        <fgColor rgb="FFCEE1EF"/>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6" tint="0.39997558519241921"/>
        <bgColor indexed="64"/>
      </patternFill>
    </fill>
  </fills>
  <borders count="6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medium">
        <color auto="1"/>
      </top>
      <bottom/>
      <diagonal/>
    </border>
    <border>
      <left/>
      <right/>
      <top style="thin">
        <color auto="1"/>
      </top>
      <bottom/>
      <diagonal/>
    </border>
    <border>
      <left/>
      <right/>
      <top/>
      <bottom style="medium">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medium">
        <color auto="1"/>
      </left>
      <right style="thin">
        <color rgb="FF7F7F7F"/>
      </right>
      <top style="medium">
        <color auto="1"/>
      </top>
      <bottom style="thin">
        <color rgb="FF7F7F7F"/>
      </bottom>
      <diagonal/>
    </border>
    <border>
      <left style="thin">
        <color rgb="FF7F7F7F"/>
      </left>
      <right style="thin">
        <color rgb="FF7F7F7F"/>
      </right>
      <top style="medium">
        <color auto="1"/>
      </top>
      <bottom style="thin">
        <color rgb="FF7F7F7F"/>
      </bottom>
      <diagonal/>
    </border>
    <border>
      <left style="thin">
        <color rgb="FF7F7F7F"/>
      </left>
      <right style="medium">
        <color auto="1"/>
      </right>
      <top style="medium">
        <color auto="1"/>
      </top>
      <bottom style="thin">
        <color rgb="FF7F7F7F"/>
      </bottom>
      <diagonal/>
    </border>
    <border>
      <left style="medium">
        <color auto="1"/>
      </left>
      <right style="thin">
        <color rgb="FF000000"/>
      </right>
      <top style="thin">
        <color rgb="FF000000"/>
      </top>
      <bottom style="thin">
        <color rgb="FF000000"/>
      </bottom>
      <diagonal/>
    </border>
    <border>
      <left style="thin">
        <color rgb="FF000000"/>
      </left>
      <right style="medium">
        <color auto="1"/>
      </right>
      <top style="thin">
        <color rgb="FF000000"/>
      </top>
      <bottom style="thin">
        <color rgb="FF000000"/>
      </bottom>
      <diagonal/>
    </border>
    <border>
      <left style="medium">
        <color auto="1"/>
      </left>
      <right style="thin">
        <color rgb="FF000000"/>
      </right>
      <top style="thin">
        <color rgb="FF000000"/>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style="medium">
        <color auto="1"/>
      </right>
      <top style="thin">
        <color rgb="FF000000"/>
      </top>
      <bottom style="medium">
        <color auto="1"/>
      </bottom>
      <diagonal/>
    </border>
    <border>
      <left style="medium">
        <color auto="1"/>
      </left>
      <right style="thin">
        <color rgb="FF000000"/>
      </right>
      <top style="medium">
        <color auto="1"/>
      </top>
      <bottom style="thin">
        <color rgb="FF000000"/>
      </bottom>
      <diagonal/>
    </border>
    <border>
      <left style="thin">
        <color rgb="FF000000"/>
      </left>
      <right style="thin">
        <color rgb="FF000000"/>
      </right>
      <top style="medium">
        <color auto="1"/>
      </top>
      <bottom style="thin">
        <color rgb="FF000000"/>
      </bottom>
      <diagonal/>
    </border>
    <border>
      <left style="thin">
        <color rgb="FF000000"/>
      </left>
      <right style="medium">
        <color auto="1"/>
      </right>
      <top style="medium">
        <color auto="1"/>
      </top>
      <bottom style="thin">
        <color rgb="FF000000"/>
      </bottom>
      <diagonal/>
    </border>
    <border>
      <left style="medium">
        <color auto="1"/>
      </left>
      <right/>
      <top style="thin">
        <color rgb="FF000000"/>
      </top>
      <bottom style="thin">
        <color rgb="FF000000"/>
      </bottom>
      <diagonal/>
    </border>
    <border>
      <left style="thin">
        <color auto="1"/>
      </left>
      <right style="medium">
        <color auto="1"/>
      </right>
      <top style="thin">
        <color rgb="FF000000"/>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rgb="FF000000"/>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style="thin">
        <color rgb="FF000000"/>
      </left>
      <right style="thin">
        <color auto="1"/>
      </right>
      <top style="thin">
        <color rgb="FF000000"/>
      </top>
      <bottom style="thin">
        <color auto="1"/>
      </bottom>
      <diagonal/>
    </border>
    <border>
      <left style="thin">
        <color rgb="FF000000"/>
      </left>
      <right style="thin">
        <color auto="1"/>
      </right>
      <top style="thin">
        <color auto="1"/>
      </top>
      <bottom style="thin">
        <color auto="1"/>
      </bottom>
      <diagonal/>
    </border>
    <border>
      <left style="thin">
        <color rgb="FF000000"/>
      </left>
      <right style="thin">
        <color auto="1"/>
      </right>
      <top style="thin">
        <color auto="1"/>
      </top>
      <bottom style="thin">
        <color rgb="FF000000"/>
      </bottom>
      <diagonal/>
    </border>
    <border>
      <left style="thin">
        <color rgb="FFB2B2B2"/>
      </left>
      <right style="thin">
        <color rgb="FFB2B2B2"/>
      </right>
      <top style="thin">
        <color rgb="FFB2B2B2"/>
      </top>
      <bottom style="thin">
        <color rgb="FFB2B2B2"/>
      </bottom>
      <diagonal/>
    </border>
    <border>
      <left/>
      <right style="thin">
        <color rgb="FF000000"/>
      </right>
      <top style="medium">
        <color auto="1"/>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medium">
        <color auto="1"/>
      </bottom>
      <diagonal/>
    </border>
    <border>
      <left/>
      <right/>
      <top style="thin">
        <color rgb="FF000000"/>
      </top>
      <bottom/>
      <diagonal/>
    </border>
    <border>
      <left/>
      <right/>
      <top/>
      <bottom style="thin">
        <color rgb="FF000000"/>
      </bottom>
      <diagonal/>
    </border>
    <border>
      <left/>
      <right style="thin">
        <color rgb="FF7F7F7F"/>
      </right>
      <top style="medium">
        <color auto="1"/>
      </top>
      <bottom style="thin">
        <color rgb="FF7F7F7F"/>
      </bottom>
      <diagonal/>
    </border>
    <border>
      <left/>
      <right style="thin">
        <color auto="1"/>
      </right>
      <top style="thin">
        <color rgb="FF000000"/>
      </top>
      <bottom style="thin">
        <color auto="1"/>
      </bottom>
      <diagonal/>
    </border>
    <border>
      <left/>
      <right/>
      <top style="medium">
        <color auto="1"/>
      </top>
      <bottom style="thin">
        <color auto="1"/>
      </bottom>
      <diagonal/>
    </border>
    <border>
      <left style="thin">
        <color rgb="FF505050"/>
      </left>
      <right style="thin">
        <color rgb="FF505050"/>
      </right>
      <top style="thin">
        <color rgb="FF505050"/>
      </top>
      <bottom style="thin">
        <color rgb="FF505050"/>
      </bottom>
      <diagonal/>
    </border>
    <border>
      <left style="thin">
        <color rgb="FF505050"/>
      </left>
      <right/>
      <top style="thin">
        <color rgb="FF505050"/>
      </top>
      <bottom/>
      <diagonal/>
    </border>
    <border>
      <left style="thin">
        <color rgb="FF505050"/>
      </left>
      <right style="thin">
        <color rgb="FF505050"/>
      </right>
      <top style="thin">
        <color rgb="FF505050"/>
      </top>
      <bottom/>
      <diagonal/>
    </border>
    <border>
      <left style="thin">
        <color rgb="FF505050"/>
      </left>
      <right/>
      <top style="thin">
        <color rgb="FF505050"/>
      </top>
      <bottom style="thin">
        <color rgb="FF505050"/>
      </bottom>
      <diagonal/>
    </border>
    <border>
      <left style="thin">
        <color rgb="FF505050"/>
      </left>
      <right/>
      <top/>
      <bottom style="thin">
        <color rgb="FF505050"/>
      </bottom>
      <diagonal/>
    </border>
    <border>
      <left style="thin">
        <color rgb="FF505050"/>
      </left>
      <right style="thin">
        <color rgb="FF505050"/>
      </right>
      <top/>
      <bottom style="thin">
        <color rgb="FF505050"/>
      </bottom>
      <diagonal/>
    </border>
    <border>
      <left style="thin">
        <color rgb="FF000000"/>
      </left>
      <right style="thin">
        <color rgb="FF000000"/>
      </right>
      <top style="thin">
        <color auto="1"/>
      </top>
      <bottom style="medium">
        <color auto="1"/>
      </bottom>
      <diagonal/>
    </border>
    <border>
      <left/>
      <right style="thin">
        <color rgb="FF000000"/>
      </right>
      <top style="thin">
        <color rgb="FF000000"/>
      </top>
      <bottom/>
      <diagonal/>
    </border>
    <border>
      <left style="thin">
        <color rgb="FF000000"/>
      </left>
      <right style="medium">
        <color auto="1"/>
      </right>
      <top style="thin">
        <color auto="1"/>
      </top>
      <bottom style="medium">
        <color auto="1"/>
      </bottom>
      <diagonal/>
    </border>
    <border>
      <left style="thin">
        <color rgb="FF000000"/>
      </left>
      <right style="medium">
        <color auto="1"/>
      </right>
      <top style="thin">
        <color rgb="FF000000"/>
      </top>
      <bottom/>
      <diagonal/>
    </border>
  </borders>
  <cellStyleXfs count="28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15"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6"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7" fillId="0" borderId="0" applyNumberFormat="0" applyFill="0" applyBorder="0" applyAlignment="0" applyProtection="0"/>
    <xf numFmtId="0" fontId="1" fillId="7" borderId="41" applyNumberFormat="0" applyFont="0" applyAlignment="0" applyProtection="0"/>
    <xf numFmtId="0" fontId="1" fillId="8" borderId="0" applyNumberFormat="0" applyBorder="0" applyAlignment="0" applyProtection="0"/>
    <xf numFmtId="0" fontId="18" fillId="9"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9" fillId="0" borderId="0"/>
    <xf numFmtId="44" fontId="19"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9">
    <xf numFmtId="0" fontId="0" fillId="0" borderId="0" xfId="0"/>
    <xf numFmtId="0" fontId="0" fillId="0" borderId="0" xfId="0" applyAlignment="1">
      <alignment horizontal="right"/>
    </xf>
    <xf numFmtId="0" fontId="7" fillId="0" borderId="0" xfId="0" applyFont="1"/>
    <xf numFmtId="0" fontId="5" fillId="0" borderId="1" xfId="0" applyFont="1" applyBorder="1"/>
    <xf numFmtId="0" fontId="0" fillId="0" borderId="1" xfId="0" applyBorder="1"/>
    <xf numFmtId="0" fontId="4" fillId="0" borderId="0" xfId="0" applyFont="1"/>
    <xf numFmtId="0" fontId="0" fillId="0" borderId="2" xfId="0" applyBorder="1"/>
    <xf numFmtId="0" fontId="0" fillId="0" borderId="3" xfId="0" applyBorder="1"/>
    <xf numFmtId="0" fontId="6" fillId="0" borderId="2" xfId="0" applyFont="1" applyBorder="1"/>
    <xf numFmtId="0" fontId="0" fillId="0" borderId="4" xfId="0" applyBorder="1"/>
    <xf numFmtId="0" fontId="0" fillId="0" borderId="5" xfId="0" applyBorder="1"/>
    <xf numFmtId="0" fontId="4" fillId="0" borderId="1" xfId="0" applyFont="1" applyBorder="1"/>
    <xf numFmtId="0" fontId="0" fillId="0" borderId="6" xfId="0" applyBorder="1"/>
    <xf numFmtId="0" fontId="0" fillId="0" borderId="7" xfId="0" applyBorder="1"/>
    <xf numFmtId="0" fontId="5" fillId="0" borderId="4" xfId="0" applyFont="1" applyBorder="1"/>
    <xf numFmtId="0" fontId="5" fillId="0" borderId="1" xfId="0" applyFont="1" applyFill="1" applyBorder="1"/>
    <xf numFmtId="0" fontId="0" fillId="0" borderId="0" xfId="0" applyFont="1"/>
    <xf numFmtId="1" fontId="0" fillId="0" borderId="0" xfId="0" applyNumberFormat="1"/>
    <xf numFmtId="49" fontId="0" fillId="0" borderId="0" xfId="0" applyNumberFormat="1" applyAlignment="1"/>
    <xf numFmtId="0" fontId="0" fillId="0" borderId="8" xfId="0" applyFont="1" applyBorder="1" applyAlignment="1">
      <alignment horizontal="center"/>
    </xf>
    <xf numFmtId="49" fontId="0" fillId="0" borderId="8" xfId="0" applyNumberFormat="1" applyFont="1" applyBorder="1" applyAlignment="1">
      <alignment horizontal="center"/>
    </xf>
    <xf numFmtId="49" fontId="0" fillId="0" borderId="10" xfId="0" applyNumberFormat="1" applyBorder="1" applyAlignment="1"/>
    <xf numFmtId="0" fontId="0" fillId="0" borderId="0" xfId="0" applyNumberFormat="1" applyAlignment="1"/>
    <xf numFmtId="0" fontId="0" fillId="0" borderId="10" xfId="0" applyNumberFormat="1" applyBorder="1" applyAlignment="1"/>
    <xf numFmtId="164" fontId="0" fillId="0" borderId="0" xfId="0" applyNumberFormat="1" applyAlignment="1"/>
    <xf numFmtId="164" fontId="0" fillId="0" borderId="10" xfId="0" applyNumberFormat="1" applyBorder="1" applyAlignment="1"/>
    <xf numFmtId="49" fontId="0" fillId="0" borderId="9" xfId="0" applyNumberFormat="1" applyBorder="1" applyAlignment="1"/>
    <xf numFmtId="164" fontId="0" fillId="0" borderId="9" xfId="0" applyNumberFormat="1" applyBorder="1" applyAlignment="1"/>
    <xf numFmtId="164" fontId="4" fillId="0" borderId="0" xfId="0" applyNumberFormat="1" applyFont="1" applyAlignment="1"/>
    <xf numFmtId="49" fontId="0" fillId="0" borderId="8" xfId="0" applyNumberFormat="1" applyBorder="1" applyAlignment="1"/>
    <xf numFmtId="164" fontId="0" fillId="0" borderId="8" xfId="0" applyNumberFormat="1" applyBorder="1" applyAlignment="1"/>
    <xf numFmtId="0" fontId="0" fillId="0" borderId="9" xfId="0" applyNumberFormat="1" applyBorder="1" applyAlignment="1"/>
    <xf numFmtId="164" fontId="4" fillId="0" borderId="9" xfId="0" applyNumberFormat="1" applyFont="1" applyBorder="1" applyAlignment="1">
      <alignment horizontal="right"/>
    </xf>
    <xf numFmtId="0" fontId="8" fillId="0" borderId="0" xfId="0" applyFont="1"/>
    <xf numFmtId="49" fontId="0" fillId="0" borderId="0" xfId="0" applyNumberFormat="1" applyFill="1" applyBorder="1" applyAlignment="1"/>
    <xf numFmtId="0" fontId="9" fillId="0" borderId="11" xfId="0" applyFont="1" applyBorder="1"/>
    <xf numFmtId="0" fontId="10" fillId="0" borderId="11" xfId="0" applyFont="1" applyBorder="1"/>
    <xf numFmtId="0" fontId="5" fillId="0" borderId="11" xfId="0" applyFont="1" applyBorder="1" applyAlignment="1">
      <alignment wrapText="1"/>
    </xf>
    <xf numFmtId="0" fontId="7" fillId="0" borderId="11" xfId="0" applyFont="1" applyBorder="1" applyAlignment="1">
      <alignment wrapText="1"/>
    </xf>
    <xf numFmtId="0" fontId="7" fillId="2" borderId="11" xfId="0" applyFont="1" applyFill="1" applyBorder="1" applyAlignment="1">
      <alignment wrapText="1"/>
    </xf>
    <xf numFmtId="0" fontId="9" fillId="2" borderId="11" xfId="0" applyFont="1" applyFill="1" applyBorder="1"/>
    <xf numFmtId="0" fontId="10" fillId="0" borderId="11" xfId="0" applyFont="1" applyBorder="1" applyAlignment="1"/>
    <xf numFmtId="0" fontId="9" fillId="0" borderId="0" xfId="0" applyFont="1" applyBorder="1"/>
    <xf numFmtId="0" fontId="0" fillId="0" borderId="13" xfId="0" applyBorder="1"/>
    <xf numFmtId="0" fontId="11" fillId="0" borderId="13" xfId="0" applyFont="1" applyBorder="1"/>
    <xf numFmtId="0" fontId="11" fillId="0" borderId="14" xfId="0" applyFont="1" applyBorder="1"/>
    <xf numFmtId="0" fontId="0" fillId="0" borderId="1" xfId="0" applyFill="1" applyBorder="1"/>
    <xf numFmtId="0" fontId="9" fillId="0" borderId="12" xfId="0" applyFont="1" applyBorder="1"/>
    <xf numFmtId="0" fontId="9" fillId="0" borderId="1" xfId="0" applyFont="1" applyBorder="1"/>
    <xf numFmtId="0" fontId="12" fillId="3" borderId="1" xfId="95" applyBorder="1"/>
    <xf numFmtId="0" fontId="13" fillId="4" borderId="1" xfId="96" applyBorder="1"/>
    <xf numFmtId="0" fontId="14" fillId="5" borderId="1" xfId="97" applyBorder="1"/>
    <xf numFmtId="0" fontId="15" fillId="6" borderId="15" xfId="98"/>
    <xf numFmtId="0" fontId="14" fillId="5" borderId="2" xfId="97" applyBorder="1"/>
    <xf numFmtId="0" fontId="14" fillId="5" borderId="5" xfId="97" applyBorder="1"/>
    <xf numFmtId="0" fontId="14" fillId="5" borderId="3" xfId="97" applyBorder="1"/>
    <xf numFmtId="0" fontId="13" fillId="4" borderId="2" xfId="96" applyBorder="1"/>
    <xf numFmtId="0" fontId="13" fillId="4" borderId="5" xfId="96" applyBorder="1"/>
    <xf numFmtId="0" fontId="13" fillId="4" borderId="3" xfId="96" applyBorder="1"/>
    <xf numFmtId="0" fontId="12" fillId="3" borderId="2" xfId="95" applyBorder="1"/>
    <xf numFmtId="0" fontId="12" fillId="3" borderId="5" xfId="95" applyBorder="1"/>
    <xf numFmtId="0" fontId="12" fillId="3" borderId="3" xfId="95" applyBorder="1"/>
    <xf numFmtId="0" fontId="14" fillId="5" borderId="11" xfId="97" applyBorder="1"/>
    <xf numFmtId="0" fontId="14" fillId="5" borderId="12" xfId="97" applyBorder="1"/>
    <xf numFmtId="0" fontId="11" fillId="0" borderId="1" xfId="0" applyFont="1" applyBorder="1"/>
    <xf numFmtId="0" fontId="15" fillId="6" borderId="16" xfId="98" applyBorder="1" applyAlignment="1"/>
    <xf numFmtId="0" fontId="15" fillId="6" borderId="17" xfId="98" applyBorder="1"/>
    <xf numFmtId="0" fontId="15" fillId="6" borderId="18" xfId="98" applyBorder="1"/>
    <xf numFmtId="0" fontId="9" fillId="0" borderId="19" xfId="0" applyFont="1" applyBorder="1"/>
    <xf numFmtId="0" fontId="5" fillId="0" borderId="20" xfId="0" applyFont="1" applyBorder="1" applyAlignment="1">
      <alignment wrapText="1"/>
    </xf>
    <xf numFmtId="0" fontId="14" fillId="5" borderId="19" xfId="97" applyBorder="1" applyAlignment="1"/>
    <xf numFmtId="0" fontId="9" fillId="0" borderId="20" xfId="0" applyFont="1" applyBorder="1"/>
    <xf numFmtId="0" fontId="10" fillId="0" borderId="19" xfId="0" applyFont="1" applyBorder="1"/>
    <xf numFmtId="0" fontId="14" fillId="5" borderId="20" xfId="97" quotePrefix="1" applyBorder="1"/>
    <xf numFmtId="0" fontId="9" fillId="0" borderId="22" xfId="0" applyFont="1" applyBorder="1"/>
    <xf numFmtId="0" fontId="14" fillId="5" borderId="24" xfId="97" applyBorder="1" applyAlignment="1"/>
    <xf numFmtId="0" fontId="14" fillId="5" borderId="25" xfId="97" applyBorder="1"/>
    <xf numFmtId="0" fontId="14" fillId="5" borderId="26" xfId="97" applyBorder="1"/>
    <xf numFmtId="0" fontId="10" fillId="0" borderId="21" xfId="0" applyFont="1" applyBorder="1"/>
    <xf numFmtId="0" fontId="14" fillId="5" borderId="22" xfId="97" applyBorder="1"/>
    <xf numFmtId="0" fontId="14" fillId="5" borderId="23" xfId="97" quotePrefix="1" applyBorder="1"/>
    <xf numFmtId="0" fontId="13" fillId="4" borderId="24" xfId="96" applyBorder="1" applyAlignment="1"/>
    <xf numFmtId="0" fontId="13" fillId="4" borderId="25" xfId="96" applyBorder="1"/>
    <xf numFmtId="0" fontId="13" fillId="4" borderId="26" xfId="96" applyBorder="1"/>
    <xf numFmtId="0" fontId="9" fillId="2" borderId="20" xfId="0" applyFont="1" applyFill="1" applyBorder="1"/>
    <xf numFmtId="0" fontId="12" fillId="3" borderId="24" xfId="95" applyBorder="1" applyAlignment="1"/>
    <xf numFmtId="0" fontId="12" fillId="3" borderId="25" xfId="95" applyBorder="1"/>
    <xf numFmtId="0" fontId="12" fillId="3" borderId="26" xfId="95" applyBorder="1"/>
    <xf numFmtId="0" fontId="5" fillId="0" borderId="0" xfId="0" applyFont="1" applyBorder="1"/>
    <xf numFmtId="0" fontId="9" fillId="0" borderId="10" xfId="0" applyFont="1" applyBorder="1"/>
    <xf numFmtId="0" fontId="10" fillId="0" borderId="24" xfId="0" applyFont="1" applyBorder="1" applyAlignment="1"/>
    <xf numFmtId="0" fontId="9" fillId="0" borderId="25" xfId="0" applyFont="1" applyBorder="1"/>
    <xf numFmtId="0" fontId="9" fillId="0" borderId="26" xfId="0" applyFont="1" applyBorder="1"/>
    <xf numFmtId="0" fontId="5" fillId="0" borderId="19" xfId="0" applyFont="1" applyBorder="1" applyAlignment="1">
      <alignment wrapText="1"/>
    </xf>
    <xf numFmtId="0" fontId="10" fillId="0" borderId="27" xfId="0" applyFont="1" applyBorder="1"/>
    <xf numFmtId="0" fontId="9" fillId="0" borderId="28" xfId="0" applyFont="1" applyBorder="1"/>
    <xf numFmtId="0" fontId="9" fillId="0" borderId="29" xfId="0" applyFont="1" applyBorder="1"/>
    <xf numFmtId="0" fontId="0" fillId="0" borderId="30" xfId="0" applyBorder="1"/>
    <xf numFmtId="0" fontId="0" fillId="0" borderId="31" xfId="0" applyBorder="1"/>
    <xf numFmtId="0" fontId="0" fillId="0" borderId="32" xfId="0" applyBorder="1"/>
    <xf numFmtId="0" fontId="14" fillId="5" borderId="33" xfId="97" applyBorder="1"/>
    <xf numFmtId="0" fontId="10" fillId="0" borderId="12" xfId="0" applyFont="1" applyBorder="1"/>
    <xf numFmtId="0" fontId="9" fillId="0" borderId="35" xfId="0" applyFont="1" applyBorder="1"/>
    <xf numFmtId="0" fontId="9" fillId="0" borderId="36" xfId="0" applyFont="1" applyBorder="1"/>
    <xf numFmtId="0" fontId="9" fillId="0" borderId="37" xfId="0" applyFont="1" applyBorder="1"/>
    <xf numFmtId="0" fontId="10" fillId="0" borderId="38" xfId="0" applyFont="1" applyBorder="1"/>
    <xf numFmtId="0" fontId="9" fillId="0" borderId="34" xfId="0" applyFont="1" applyBorder="1"/>
    <xf numFmtId="0" fontId="14" fillId="5" borderId="39" xfId="97" applyBorder="1"/>
    <xf numFmtId="0" fontId="9" fillId="0" borderId="40" xfId="0" applyFont="1" applyBorder="1"/>
    <xf numFmtId="0" fontId="16" fillId="0" borderId="0" xfId="167" applyFont="1" applyAlignment="1"/>
    <xf numFmtId="0" fontId="12" fillId="3" borderId="0" xfId="95"/>
    <xf numFmtId="0" fontId="1" fillId="8" borderId="1" xfId="196" applyBorder="1"/>
    <xf numFmtId="0" fontId="12" fillId="3" borderId="42" xfId="95" applyBorder="1" applyAlignment="1"/>
    <xf numFmtId="0" fontId="9" fillId="0" borderId="43" xfId="0" applyFont="1" applyBorder="1"/>
    <xf numFmtId="0" fontId="14" fillId="5" borderId="44" xfId="97" applyBorder="1" applyAlignment="1"/>
    <xf numFmtId="0" fontId="10" fillId="0" borderId="43" xfId="0" applyFont="1" applyBorder="1"/>
    <xf numFmtId="0" fontId="10" fillId="0" borderId="45" xfId="0" applyFont="1" applyBorder="1"/>
    <xf numFmtId="0" fontId="13" fillId="4" borderId="42" xfId="96" applyBorder="1" applyAlignment="1"/>
    <xf numFmtId="0" fontId="14" fillId="5" borderId="42" xfId="97" applyBorder="1" applyAlignment="1"/>
    <xf numFmtId="0" fontId="10" fillId="0" borderId="47" xfId="0" applyFont="1" applyBorder="1"/>
    <xf numFmtId="0" fontId="15" fillId="6" borderId="48" xfId="98" applyBorder="1" applyAlignment="1"/>
    <xf numFmtId="0" fontId="10" fillId="0" borderId="42" xfId="0" applyFont="1" applyBorder="1" applyAlignment="1"/>
    <xf numFmtId="0" fontId="5" fillId="0" borderId="43" xfId="0" applyFont="1" applyBorder="1" applyAlignment="1">
      <alignment wrapText="1"/>
    </xf>
    <xf numFmtId="0" fontId="10" fillId="0" borderId="46" xfId="0" applyFont="1" applyBorder="1"/>
    <xf numFmtId="0" fontId="14" fillId="5" borderId="1" xfId="97" applyBorder="1" applyAlignment="1"/>
    <xf numFmtId="0" fontId="9" fillId="0" borderId="49" xfId="0" applyFont="1" applyBorder="1"/>
    <xf numFmtId="0" fontId="9" fillId="0" borderId="3" xfId="0" applyFont="1" applyBorder="1"/>
    <xf numFmtId="0" fontId="10" fillId="0" borderId="1" xfId="0" applyFont="1" applyBorder="1"/>
    <xf numFmtId="0" fontId="17" fillId="5" borderId="31" xfId="194" applyFill="1" applyBorder="1"/>
    <xf numFmtId="0" fontId="17" fillId="0" borderId="31" xfId="194" applyBorder="1"/>
    <xf numFmtId="0" fontId="17" fillId="7" borderId="41" xfId="195" applyFont="1"/>
    <xf numFmtId="0" fontId="19" fillId="0" borderId="0" xfId="204"/>
    <xf numFmtId="0" fontId="20" fillId="10" borderId="1" xfId="204" applyFont="1" applyFill="1" applyBorder="1" applyAlignment="1">
      <alignment horizontal="center" vertical="center"/>
    </xf>
    <xf numFmtId="0" fontId="19" fillId="11" borderId="1" xfId="204" applyFill="1" applyBorder="1" applyAlignment="1">
      <alignment horizontal="center"/>
    </xf>
    <xf numFmtId="2" fontId="19" fillId="11" borderId="1" xfId="204" applyNumberFormat="1" applyFill="1" applyBorder="1" applyAlignment="1">
      <alignment horizontal="center"/>
    </xf>
    <xf numFmtId="0" fontId="19" fillId="0" borderId="0" xfId="204" applyFill="1"/>
    <xf numFmtId="0" fontId="19" fillId="0" borderId="1" xfId="204" applyBorder="1" applyAlignment="1">
      <alignment horizontal="center"/>
    </xf>
    <xf numFmtId="165" fontId="19" fillId="0" borderId="1" xfId="204" applyNumberFormat="1" applyBorder="1" applyAlignment="1">
      <alignment horizontal="center"/>
    </xf>
    <xf numFmtId="0" fontId="19" fillId="0" borderId="1" xfId="204" quotePrefix="1" applyBorder="1" applyAlignment="1">
      <alignment horizontal="center"/>
    </xf>
    <xf numFmtId="0" fontId="21" fillId="10" borderId="1" xfId="204" applyFont="1" applyFill="1" applyBorder="1" applyAlignment="1">
      <alignment horizontal="center"/>
    </xf>
    <xf numFmtId="0" fontId="7" fillId="0" borderId="0" xfId="167" applyFont="1" applyAlignment="1">
      <alignment horizontal="center"/>
    </xf>
    <xf numFmtId="0" fontId="5" fillId="0" borderId="0" xfId="167" applyFont="1" applyAlignment="1">
      <alignment horizontal="center"/>
    </xf>
    <xf numFmtId="0" fontId="5" fillId="0" borderId="0" xfId="167" applyFont="1"/>
    <xf numFmtId="0" fontId="22" fillId="0" borderId="0" xfId="167" applyFont="1" applyAlignment="1">
      <alignment horizontal="center"/>
    </xf>
    <xf numFmtId="0" fontId="23" fillId="0" borderId="0" xfId="167" applyFont="1" applyAlignment="1">
      <alignment horizontal="center"/>
    </xf>
    <xf numFmtId="0" fontId="7" fillId="0" borderId="0" xfId="167" applyFont="1" applyAlignment="1">
      <alignment horizontal="center" wrapText="1"/>
    </xf>
    <xf numFmtId="0" fontId="19" fillId="0" borderId="10" xfId="204" applyFill="1" applyBorder="1" applyAlignment="1"/>
    <xf numFmtId="0" fontId="19" fillId="0" borderId="0" xfId="204" applyFill="1" applyBorder="1" applyAlignment="1"/>
    <xf numFmtId="0" fontId="24" fillId="0" borderId="50" xfId="204" applyFont="1" applyFill="1" applyBorder="1" applyAlignment="1">
      <alignment horizontal="center"/>
    </xf>
    <xf numFmtId="0" fontId="24" fillId="0" borderId="50" xfId="204" applyFont="1" applyFill="1" applyBorder="1" applyAlignment="1">
      <alignment horizontal="centerContinuous"/>
    </xf>
    <xf numFmtId="0" fontId="5" fillId="0" borderId="1" xfId="167" applyFont="1" applyBorder="1" applyAlignment="1">
      <alignment horizontal="center"/>
    </xf>
    <xf numFmtId="0" fontId="7" fillId="0" borderId="1" xfId="167" applyFont="1" applyBorder="1" applyAlignment="1">
      <alignment horizontal="center"/>
    </xf>
    <xf numFmtId="0" fontId="6" fillId="0" borderId="1" xfId="167" applyFont="1" applyBorder="1" applyAlignment="1">
      <alignment horizontal="center"/>
    </xf>
    <xf numFmtId="0" fontId="12" fillId="3" borderId="1" xfId="95" applyBorder="1" applyAlignment="1">
      <alignment horizontal="center"/>
    </xf>
    <xf numFmtId="0" fontId="12" fillId="3" borderId="0" xfId="95" applyAlignment="1">
      <alignment horizontal="center"/>
    </xf>
    <xf numFmtId="0" fontId="13" fillId="4" borderId="1" xfId="96" applyBorder="1" applyAlignment="1">
      <alignment horizontal="center"/>
    </xf>
    <xf numFmtId="0" fontId="19" fillId="12" borderId="51" xfId="204" applyFill="1" applyBorder="1"/>
    <xf numFmtId="0" fontId="19" fillId="0" borderId="51" xfId="204" applyBorder="1"/>
    <xf numFmtId="0" fontId="19" fillId="0" borderId="52" xfId="204" applyBorder="1"/>
    <xf numFmtId="0" fontId="19" fillId="0" borderId="53" xfId="204" applyBorder="1"/>
    <xf numFmtId="0" fontId="19" fillId="0" borderId="54" xfId="204" applyBorder="1"/>
    <xf numFmtId="0" fontId="19" fillId="13" borderId="51" xfId="204" applyFill="1" applyBorder="1"/>
    <xf numFmtId="0" fontId="21" fillId="10" borderId="51" xfId="204" applyFont="1" applyFill="1" applyBorder="1" applyAlignment="1">
      <alignment horizontal="center"/>
    </xf>
    <xf numFmtId="0" fontId="21" fillId="10" borderId="54" xfId="204" applyFont="1" applyFill="1" applyBorder="1" applyAlignment="1">
      <alignment horizontal="center" vertical="center" wrapText="1"/>
    </xf>
    <xf numFmtId="0" fontId="21" fillId="10" borderId="51" xfId="204" applyFont="1" applyFill="1" applyBorder="1" applyAlignment="1">
      <alignment horizontal="center" vertical="center"/>
    </xf>
    <xf numFmtId="0" fontId="19" fillId="15" borderId="55" xfId="204" applyFill="1" applyBorder="1"/>
    <xf numFmtId="0" fontId="19" fillId="0" borderId="0" xfId="204" applyAlignment="1">
      <alignment wrapText="1"/>
    </xf>
    <xf numFmtId="0" fontId="19" fillId="15" borderId="51" xfId="204" applyFill="1" applyBorder="1"/>
    <xf numFmtId="0" fontId="19" fillId="15" borderId="54" xfId="204" applyFill="1" applyBorder="1"/>
    <xf numFmtId="0" fontId="19" fillId="14" borderId="51" xfId="204" applyFill="1" applyBorder="1"/>
    <xf numFmtId="0" fontId="19" fillId="14" borderId="54" xfId="204" applyFill="1" applyBorder="1"/>
    <xf numFmtId="0" fontId="19" fillId="15" borderId="52" xfId="204" applyFill="1" applyBorder="1"/>
    <xf numFmtId="0" fontId="19" fillId="14" borderId="52" xfId="204" applyFill="1" applyBorder="1"/>
    <xf numFmtId="0" fontId="19" fillId="13" borderId="54" xfId="204" applyFill="1" applyBorder="1"/>
    <xf numFmtId="0" fontId="19" fillId="13" borderId="54" xfId="204" applyFill="1" applyBorder="1" applyAlignment="1">
      <alignment wrapText="1"/>
    </xf>
    <xf numFmtId="0" fontId="19" fillId="13" borderId="55" xfId="204" applyFill="1" applyBorder="1" applyAlignment="1">
      <alignment wrapText="1"/>
    </xf>
    <xf numFmtId="0" fontId="19" fillId="12" borderId="54" xfId="204" applyFill="1" applyBorder="1" applyAlignment="1">
      <alignment wrapText="1"/>
    </xf>
    <xf numFmtId="0" fontId="19" fillId="0" borderId="0" xfId="204" applyBorder="1"/>
    <xf numFmtId="0" fontId="19" fillId="0" borderId="0" xfId="204" applyBorder="1" applyAlignment="1">
      <alignment wrapText="1"/>
    </xf>
    <xf numFmtId="0" fontId="19" fillId="15" borderId="56" xfId="204" applyFill="1" applyBorder="1"/>
    <xf numFmtId="0" fontId="19" fillId="15" borderId="53" xfId="204" applyFill="1" applyBorder="1"/>
    <xf numFmtId="0" fontId="19" fillId="14" borderId="53" xfId="204" applyFill="1" applyBorder="1"/>
    <xf numFmtId="0" fontId="19" fillId="13" borderId="53" xfId="204" applyFill="1" applyBorder="1"/>
    <xf numFmtId="0" fontId="19" fillId="0" borderId="56" xfId="204" applyBorder="1"/>
    <xf numFmtId="0" fontId="19" fillId="0" borderId="55" xfId="204" applyBorder="1"/>
    <xf numFmtId="0" fontId="19" fillId="12" borderId="53" xfId="204" applyFill="1" applyBorder="1"/>
    <xf numFmtId="0" fontId="19" fillId="12" borderId="52" xfId="204" applyFill="1" applyBorder="1"/>
    <xf numFmtId="0" fontId="19" fillId="0" borderId="51" xfId="204" applyBorder="1" applyAlignment="1">
      <alignment wrapText="1"/>
    </xf>
    <xf numFmtId="0" fontId="19" fillId="0" borderId="53" xfId="204" applyBorder="1" applyAlignment="1">
      <alignment wrapText="1"/>
    </xf>
    <xf numFmtId="0" fontId="19" fillId="0" borderId="56" xfId="204" applyBorder="1" applyAlignment="1">
      <alignment wrapText="1"/>
    </xf>
    <xf numFmtId="0" fontId="19" fillId="0" borderId="56" xfId="204" applyBorder="1" applyAlignment="1"/>
    <xf numFmtId="0" fontId="12" fillId="3" borderId="51" xfId="95" applyBorder="1"/>
    <xf numFmtId="0" fontId="13" fillId="4" borderId="56" xfId="96" applyBorder="1"/>
    <xf numFmtId="0" fontId="27" fillId="0" borderId="51" xfId="204" applyFont="1" applyBorder="1" applyAlignment="1">
      <alignment wrapText="1" readingOrder="1"/>
    </xf>
    <xf numFmtId="0" fontId="27" fillId="0" borderId="0" xfId="204" applyFont="1" applyBorder="1" applyAlignment="1">
      <alignment wrapText="1" readingOrder="1"/>
    </xf>
    <xf numFmtId="0" fontId="28" fillId="0" borderId="51" xfId="204" applyFont="1" applyBorder="1" applyAlignment="1">
      <alignment wrapText="1" readingOrder="1"/>
    </xf>
    <xf numFmtId="0" fontId="29" fillId="0" borderId="0" xfId="204" applyFont="1" applyBorder="1" applyAlignment="1">
      <alignment wrapText="1" readingOrder="1"/>
    </xf>
    <xf numFmtId="0" fontId="19" fillId="0" borderId="0" xfId="204" applyProtection="1"/>
    <xf numFmtId="0" fontId="19" fillId="0" borderId="0" xfId="204" applyAlignment="1">
      <alignment horizontal="center"/>
    </xf>
    <xf numFmtId="0" fontId="19" fillId="0" borderId="0" xfId="204" applyAlignment="1"/>
    <xf numFmtId="0" fontId="19" fillId="15" borderId="0" xfId="204" applyFill="1" applyAlignment="1">
      <alignment horizontal="center"/>
    </xf>
    <xf numFmtId="1" fontId="19" fillId="15" borderId="1" xfId="204" applyNumberFormat="1" applyFill="1" applyBorder="1" applyAlignment="1">
      <alignment horizontal="center"/>
    </xf>
    <xf numFmtId="0" fontId="19" fillId="15" borderId="1" xfId="204" applyFill="1" applyBorder="1" applyAlignment="1">
      <alignment horizontal="center"/>
    </xf>
    <xf numFmtId="2" fontId="19" fillId="0" borderId="0" xfId="204" applyNumberFormat="1" applyAlignment="1">
      <alignment horizontal="center"/>
    </xf>
    <xf numFmtId="2" fontId="19" fillId="15" borderId="0" xfId="204" applyNumberFormat="1" applyFill="1" applyBorder="1" applyAlignment="1">
      <alignment horizontal="center"/>
    </xf>
    <xf numFmtId="0" fontId="19" fillId="15" borderId="0" xfId="204" applyFill="1" applyBorder="1" applyAlignment="1">
      <alignment horizontal="center"/>
    </xf>
    <xf numFmtId="0" fontId="19" fillId="15" borderId="4" xfId="204" applyFill="1" applyBorder="1" applyAlignment="1">
      <alignment horizontal="center"/>
    </xf>
    <xf numFmtId="2" fontId="19" fillId="15" borderId="1" xfId="204" applyNumberFormat="1" applyFill="1" applyBorder="1" applyAlignment="1">
      <alignment horizontal="center"/>
    </xf>
    <xf numFmtId="2" fontId="19" fillId="16" borderId="1" xfId="204" applyNumberFormat="1" applyFill="1" applyBorder="1" applyAlignment="1">
      <alignment horizontal="center"/>
    </xf>
    <xf numFmtId="165" fontId="19" fillId="16" borderId="1" xfId="204" applyNumberFormat="1" applyFill="1" applyBorder="1" applyAlignment="1">
      <alignment horizontal="center"/>
    </xf>
    <xf numFmtId="0" fontId="19" fillId="16" borderId="1" xfId="204" applyFill="1" applyBorder="1" applyAlignment="1" applyProtection="1">
      <alignment horizontal="center"/>
    </xf>
    <xf numFmtId="0" fontId="19" fillId="16" borderId="1" xfId="204" applyFill="1" applyBorder="1" applyAlignment="1">
      <alignment horizontal="center"/>
    </xf>
    <xf numFmtId="2" fontId="19" fillId="17" borderId="1" xfId="204" applyNumberFormat="1" applyFill="1" applyBorder="1" applyAlignment="1">
      <alignment horizontal="center"/>
    </xf>
    <xf numFmtId="165" fontId="19" fillId="17" borderId="1" xfId="204" applyNumberFormat="1" applyFill="1" applyBorder="1" applyAlignment="1">
      <alignment horizontal="center"/>
    </xf>
    <xf numFmtId="0" fontId="19" fillId="17" borderId="1" xfId="204" applyFill="1" applyBorder="1" applyAlignment="1" applyProtection="1">
      <alignment horizontal="center"/>
    </xf>
    <xf numFmtId="0" fontId="19" fillId="17" borderId="1" xfId="204" applyFill="1" applyBorder="1" applyAlignment="1">
      <alignment horizontal="center"/>
    </xf>
    <xf numFmtId="2" fontId="19" fillId="0" borderId="1" xfId="204" applyNumberFormat="1" applyBorder="1"/>
    <xf numFmtId="0" fontId="32" fillId="0" borderId="1" xfId="204" applyFont="1" applyBorder="1"/>
    <xf numFmtId="0" fontId="32" fillId="0" borderId="1" xfId="204" applyFont="1" applyBorder="1" applyAlignment="1">
      <alignment horizontal="center"/>
    </xf>
    <xf numFmtId="0" fontId="32" fillId="0" borderId="1" xfId="204" applyFont="1" applyBorder="1" applyAlignment="1" applyProtection="1">
      <alignment horizontal="center"/>
    </xf>
    <xf numFmtId="44" fontId="4" fillId="18" borderId="1" xfId="204" applyNumberFormat="1" applyFont="1" applyFill="1" applyBorder="1" applyAlignment="1">
      <alignment horizontal="center"/>
    </xf>
    <xf numFmtId="0" fontId="19" fillId="18" borderId="1" xfId="204" applyFill="1" applyBorder="1" applyAlignment="1">
      <alignment horizontal="center"/>
    </xf>
    <xf numFmtId="0" fontId="19" fillId="19" borderId="1" xfId="204" applyFill="1" applyBorder="1" applyAlignment="1">
      <alignment horizontal="center"/>
    </xf>
    <xf numFmtId="44" fontId="0" fillId="19" borderId="1" xfId="205" applyFont="1" applyFill="1" applyBorder="1" applyAlignment="1">
      <alignment horizontal="center"/>
    </xf>
    <xf numFmtId="44" fontId="0" fillId="18" borderId="1" xfId="205" applyFont="1" applyFill="1" applyBorder="1" applyAlignment="1">
      <alignment horizontal="center"/>
    </xf>
    <xf numFmtId="44" fontId="0" fillId="19" borderId="1" xfId="205" applyNumberFormat="1" applyFont="1" applyFill="1" applyBorder="1" applyAlignment="1">
      <alignment horizontal="center"/>
    </xf>
    <xf numFmtId="166" fontId="19" fillId="19" borderId="1" xfId="204" applyNumberFormat="1" applyFill="1" applyBorder="1" applyAlignment="1">
      <alignment horizontal="center"/>
    </xf>
    <xf numFmtId="0" fontId="19" fillId="18" borderId="1" xfId="204" applyFill="1" applyBorder="1"/>
    <xf numFmtId="0" fontId="9" fillId="0" borderId="58" xfId="0" applyFont="1" applyBorder="1"/>
    <xf numFmtId="0" fontId="9" fillId="0" borderId="57" xfId="0" applyFont="1" applyBorder="1"/>
    <xf numFmtId="0" fontId="14" fillId="5" borderId="60" xfId="97" quotePrefix="1" applyBorder="1"/>
    <xf numFmtId="0" fontId="14" fillId="5" borderId="59" xfId="97" quotePrefix="1" applyFont="1" applyBorder="1"/>
    <xf numFmtId="0" fontId="14" fillId="5" borderId="59" xfId="97" quotePrefix="1" applyBorder="1"/>
    <xf numFmtId="0" fontId="18" fillId="9" borderId="2" xfId="197" applyBorder="1"/>
    <xf numFmtId="0" fontId="18" fillId="9" borderId="1" xfId="197" applyBorder="1"/>
    <xf numFmtId="0" fontId="18" fillId="9" borderId="3" xfId="197" applyBorder="1"/>
    <xf numFmtId="0" fontId="34" fillId="0" borderId="1" xfId="0" applyFont="1" applyBorder="1"/>
    <xf numFmtId="0" fontId="18" fillId="9" borderId="5" xfId="197" applyBorder="1"/>
    <xf numFmtId="166" fontId="0" fillId="0" borderId="1" xfId="0" applyNumberFormat="1" applyBorder="1"/>
    <xf numFmtId="166" fontId="14" fillId="5" borderId="1" xfId="97" applyNumberFormat="1" applyBorder="1"/>
    <xf numFmtId="166" fontId="0" fillId="0" borderId="0" xfId="0" applyNumberFormat="1"/>
    <xf numFmtId="0" fontId="15" fillId="6" borderId="1" xfId="98" applyBorder="1"/>
    <xf numFmtId="166" fontId="35" fillId="5" borderId="1" xfId="97" applyNumberFormat="1" applyFont="1" applyBorder="1" applyAlignment="1">
      <alignment vertical="center"/>
    </xf>
    <xf numFmtId="0" fontId="35" fillId="5" borderId="1" xfId="97" applyFont="1" applyBorder="1" applyAlignment="1">
      <alignment horizontal="center" vertical="center" wrapText="1"/>
    </xf>
    <xf numFmtId="166" fontId="12" fillId="3" borderId="1" xfId="95" applyNumberFormat="1" applyBorder="1" applyAlignment="1">
      <alignment horizontal="center"/>
    </xf>
    <xf numFmtId="0" fontId="17" fillId="7" borderId="1" xfId="194" applyFill="1" applyBorder="1"/>
    <xf numFmtId="0" fontId="0" fillId="0" borderId="13" xfId="0" applyFill="1" applyBorder="1"/>
    <xf numFmtId="0" fontId="0" fillId="0" borderId="14" xfId="0" applyBorder="1"/>
    <xf numFmtId="0" fontId="10" fillId="0" borderId="34" xfId="0" applyFont="1" applyBorder="1"/>
    <xf numFmtId="0" fontId="14" fillId="5" borderId="39" xfId="97" applyBorder="1" applyAlignment="1"/>
    <xf numFmtId="0" fontId="14" fillId="5" borderId="35" xfId="97" applyBorder="1"/>
    <xf numFmtId="0" fontId="10" fillId="0" borderId="40" xfId="0" applyFont="1" applyBorder="1"/>
    <xf numFmtId="0" fontId="19" fillId="0" borderId="1" xfId="204" applyBorder="1" applyAlignment="1">
      <alignment horizontal="center"/>
    </xf>
    <xf numFmtId="0" fontId="20" fillId="10" borderId="1" xfId="204" applyFont="1" applyFill="1" applyBorder="1" applyAlignment="1">
      <alignment horizontal="center" vertical="center"/>
    </xf>
    <xf numFmtId="0" fontId="19" fillId="0" borderId="51" xfId="204" applyBorder="1" applyAlignment="1">
      <alignment horizontal="center" vertical="center" wrapText="1"/>
    </xf>
    <xf numFmtId="0" fontId="19" fillId="14" borderId="51" xfId="204" applyFill="1" applyBorder="1" applyAlignment="1">
      <alignment horizontal="center" wrapText="1"/>
    </xf>
    <xf numFmtId="0" fontId="26" fillId="0" borderId="2" xfId="204" applyFont="1" applyBorder="1" applyAlignment="1">
      <alignment horizontal="center" vertical="center"/>
    </xf>
    <xf numFmtId="0" fontId="26" fillId="0" borderId="5" xfId="204" applyFont="1" applyBorder="1" applyAlignment="1">
      <alignment horizontal="center" vertical="center"/>
    </xf>
    <xf numFmtId="0" fontId="26" fillId="0" borderId="3" xfId="204" applyFont="1" applyBorder="1" applyAlignment="1">
      <alignment horizontal="center" vertical="center"/>
    </xf>
    <xf numFmtId="0" fontId="26" fillId="0" borderId="0" xfId="204" applyFont="1" applyAlignment="1">
      <alignment horizontal="center" vertical="center"/>
    </xf>
    <xf numFmtId="0" fontId="19" fillId="14" borderId="51" xfId="204" applyFill="1" applyBorder="1" applyAlignment="1">
      <alignment horizontal="center" vertical="center" wrapText="1"/>
    </xf>
    <xf numFmtId="2" fontId="31" fillId="10" borderId="1" xfId="204" applyNumberFormat="1" applyFont="1" applyFill="1" applyBorder="1" applyAlignment="1">
      <alignment horizontal="center" vertical="center"/>
    </xf>
    <xf numFmtId="2" fontId="30" fillId="10" borderId="1" xfId="204" applyNumberFormat="1" applyFont="1" applyFill="1" applyBorder="1" applyAlignment="1">
      <alignment horizontal="center" vertical="center"/>
    </xf>
    <xf numFmtId="0" fontId="33" fillId="10" borderId="1" xfId="204" applyFont="1" applyFill="1" applyBorder="1" applyAlignment="1">
      <alignment horizontal="center"/>
    </xf>
    <xf numFmtId="0" fontId="19" fillId="10" borderId="1" xfId="204" applyFill="1" applyBorder="1" applyAlignment="1">
      <alignment horizontal="center"/>
    </xf>
    <xf numFmtId="0" fontId="4" fillId="19" borderId="1" xfId="204" applyFont="1" applyFill="1" applyBorder="1" applyAlignment="1">
      <alignment horizontal="center"/>
    </xf>
    <xf numFmtId="0" fontId="4" fillId="18" borderId="1" xfId="204" applyFont="1" applyFill="1" applyBorder="1" applyAlignment="1">
      <alignment horizontal="center"/>
    </xf>
    <xf numFmtId="0" fontId="18" fillId="9" borderId="5" xfId="197" applyBorder="1" applyAlignment="1">
      <alignment horizontal="center" vertical="top"/>
    </xf>
    <xf numFmtId="0" fontId="18" fillId="9" borderId="3" xfId="197" applyBorder="1" applyAlignment="1">
      <alignment horizontal="center" vertical="top"/>
    </xf>
  </cellXfs>
  <cellStyles count="284">
    <cellStyle name="20% - Accent1" xfId="196" builtinId="30"/>
    <cellStyle name="Accent5" xfId="197" builtinId="45"/>
    <cellStyle name="Bad" xfId="96" builtinId="27"/>
    <cellStyle name="Currency 2" xfId="2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9" builtinId="9" hidden="1"/>
    <cellStyle name="Followed Hyperlink" xfId="201" builtinId="9" hidden="1"/>
    <cellStyle name="Followed Hyperlink" xfId="203"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Good" xfId="95"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8" builtinId="8" hidden="1"/>
    <cellStyle name="Hyperlink" xfId="200" builtinId="8" hidden="1"/>
    <cellStyle name="Hyperlink" xfId="202"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Input" xfId="98" builtinId="20"/>
    <cellStyle name="Neutral" xfId="97" builtinId="28"/>
    <cellStyle name="Normal" xfId="0" builtinId="0"/>
    <cellStyle name="Normal 2" xfId="167"/>
    <cellStyle name="Normal 3" xfId="204"/>
    <cellStyle name="Note" xfId="195" builtinId="10"/>
    <cellStyle name="Warning Text" xfId="194" builtinId="1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externalLink" Target="externalLinks/externalLink1.xml"/><Relationship Id="rId23" Type="http://schemas.openxmlformats.org/officeDocument/2006/relationships/externalLink" Target="externalLinks/externalLink2.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 Id="rId27"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marker>
            <c:symbol val="none"/>
          </c:marker>
          <c:trendline>
            <c:trendlineType val="linear"/>
            <c:dispRSqr val="1"/>
            <c:dispEq val="1"/>
            <c:trendlineLbl>
              <c:layout>
                <c:manualLayout>
                  <c:x val="0.315423447069116"/>
                  <c:y val="-0.0509259259259259"/>
                </c:manualLayout>
              </c:layout>
              <c:numFmt formatCode="General" sourceLinked="0"/>
            </c:trendlineLbl>
          </c:trendline>
          <c:val>
            <c:numRef>
              <c:f>'Forecasting P-1'!$B$2:$B$21</c:f>
              <c:numCache>
                <c:formatCode>General</c:formatCode>
                <c:ptCount val="20"/>
                <c:pt idx="0">
                  <c:v>26.0</c:v>
                </c:pt>
                <c:pt idx="1">
                  <c:v>42.0</c:v>
                </c:pt>
                <c:pt idx="2">
                  <c:v>79.0</c:v>
                </c:pt>
                <c:pt idx="3">
                  <c:v>58.0</c:v>
                </c:pt>
                <c:pt idx="4">
                  <c:v>66.0</c:v>
                </c:pt>
                <c:pt idx="5">
                  <c:v>66.0</c:v>
                </c:pt>
                <c:pt idx="6">
                  <c:v>61.0</c:v>
                </c:pt>
                <c:pt idx="7">
                  <c:v>77.0</c:v>
                </c:pt>
                <c:pt idx="8">
                  <c:v>107.0</c:v>
                </c:pt>
                <c:pt idx="9">
                  <c:v>112.0</c:v>
                </c:pt>
                <c:pt idx="10">
                  <c:v>115.0</c:v>
                </c:pt>
                <c:pt idx="11">
                  <c:v>116.0</c:v>
                </c:pt>
                <c:pt idx="12">
                  <c:v>125.0</c:v>
                </c:pt>
                <c:pt idx="13">
                  <c:v>138.0</c:v>
                </c:pt>
                <c:pt idx="14">
                  <c:v>147.0</c:v>
                </c:pt>
                <c:pt idx="15">
                  <c:v>150.0</c:v>
                </c:pt>
                <c:pt idx="16">
                  <c:v>161.0</c:v>
                </c:pt>
                <c:pt idx="17">
                  <c:v>162.0</c:v>
                </c:pt>
                <c:pt idx="18">
                  <c:v>179.0</c:v>
                </c:pt>
                <c:pt idx="19">
                  <c:v>188.0</c:v>
                </c:pt>
              </c:numCache>
            </c:numRef>
          </c:val>
          <c:smooth val="0"/>
        </c:ser>
        <c:dLbls>
          <c:showLegendKey val="0"/>
          <c:showVal val="0"/>
          <c:showCatName val="0"/>
          <c:showSerName val="0"/>
          <c:showPercent val="0"/>
          <c:showBubbleSize val="0"/>
        </c:dLbls>
        <c:marker val="1"/>
        <c:smooth val="0"/>
        <c:axId val="2112775800"/>
        <c:axId val="2112778744"/>
      </c:lineChart>
      <c:catAx>
        <c:axId val="2112775800"/>
        <c:scaling>
          <c:orientation val="minMax"/>
        </c:scaling>
        <c:delete val="0"/>
        <c:axPos val="b"/>
        <c:majorTickMark val="out"/>
        <c:minorTickMark val="none"/>
        <c:tickLblPos val="nextTo"/>
        <c:crossAx val="2112778744"/>
        <c:crosses val="autoZero"/>
        <c:auto val="1"/>
        <c:lblAlgn val="ctr"/>
        <c:lblOffset val="100"/>
        <c:noMultiLvlLbl val="0"/>
      </c:catAx>
      <c:valAx>
        <c:axId val="2112778744"/>
        <c:scaling>
          <c:orientation val="minMax"/>
        </c:scaling>
        <c:delete val="0"/>
        <c:axPos val="l"/>
        <c:majorGridlines/>
        <c:numFmt formatCode="General" sourceLinked="1"/>
        <c:majorTickMark val="out"/>
        <c:minorTickMark val="none"/>
        <c:tickLblPos val="nextTo"/>
        <c:crossAx val="2112775800"/>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manualLayout>
          <c:layoutTarget val="inner"/>
          <c:xMode val="edge"/>
          <c:yMode val="edge"/>
          <c:x val="0.079452333415588"/>
          <c:y val="0.20904610206167"/>
          <c:w val="0.571192917124676"/>
          <c:h val="0.658375508404961"/>
        </c:manualLayout>
      </c:layout>
      <c:lineChart>
        <c:grouping val="standard"/>
        <c:varyColors val="0"/>
        <c:ser>
          <c:idx val="1"/>
          <c:order val="0"/>
          <c:tx>
            <c:strRef>
              <c:f>'[1]Smoothing w. Seasonality'!$B$1</c:f>
              <c:strCache>
                <c:ptCount val="1"/>
                <c:pt idx="0">
                  <c:v>Product 2</c:v>
                </c:pt>
              </c:strCache>
            </c:strRef>
          </c:tx>
          <c:marker>
            <c:symbol val="none"/>
          </c:marker>
          <c:val>
            <c:numRef>
              <c:f>'[1]Smoothing w. Seasonality'!$B$2:$B$21</c:f>
              <c:numCache>
                <c:formatCode>General</c:formatCode>
                <c:ptCount val="20"/>
                <c:pt idx="0">
                  <c:v>51.0</c:v>
                </c:pt>
                <c:pt idx="1">
                  <c:v>42.0</c:v>
                </c:pt>
                <c:pt idx="2">
                  <c:v>42.0</c:v>
                </c:pt>
                <c:pt idx="3">
                  <c:v>45.0</c:v>
                </c:pt>
                <c:pt idx="4">
                  <c:v>45.0</c:v>
                </c:pt>
                <c:pt idx="5">
                  <c:v>47.0</c:v>
                </c:pt>
                <c:pt idx="6">
                  <c:v>42.0</c:v>
                </c:pt>
                <c:pt idx="7">
                  <c:v>46.0</c:v>
                </c:pt>
                <c:pt idx="8">
                  <c:v>49.0</c:v>
                </c:pt>
                <c:pt idx="9">
                  <c:v>47.0</c:v>
                </c:pt>
                <c:pt idx="10">
                  <c:v>50.0</c:v>
                </c:pt>
                <c:pt idx="11">
                  <c:v>49.0</c:v>
                </c:pt>
                <c:pt idx="12">
                  <c:v>53.0</c:v>
                </c:pt>
                <c:pt idx="13">
                  <c:v>52.0</c:v>
                </c:pt>
                <c:pt idx="14">
                  <c:v>48.0</c:v>
                </c:pt>
                <c:pt idx="15">
                  <c:v>47.0</c:v>
                </c:pt>
                <c:pt idx="16">
                  <c:v>45.0</c:v>
                </c:pt>
                <c:pt idx="17">
                  <c:v>49.0</c:v>
                </c:pt>
                <c:pt idx="18">
                  <c:v>42.0</c:v>
                </c:pt>
                <c:pt idx="19">
                  <c:v>50.0</c:v>
                </c:pt>
              </c:numCache>
            </c:numRef>
          </c:val>
          <c:smooth val="0"/>
        </c:ser>
        <c:dLbls>
          <c:showLegendKey val="0"/>
          <c:showVal val="0"/>
          <c:showCatName val="0"/>
          <c:showSerName val="0"/>
          <c:showPercent val="0"/>
          <c:showBubbleSize val="0"/>
        </c:dLbls>
        <c:marker val="1"/>
        <c:smooth val="0"/>
        <c:axId val="2111931640"/>
        <c:axId val="2111928680"/>
      </c:lineChart>
      <c:catAx>
        <c:axId val="2111931640"/>
        <c:scaling>
          <c:orientation val="minMax"/>
        </c:scaling>
        <c:delete val="0"/>
        <c:axPos val="b"/>
        <c:majorTickMark val="out"/>
        <c:minorTickMark val="none"/>
        <c:tickLblPos val="nextTo"/>
        <c:crossAx val="2111928680"/>
        <c:crosses val="autoZero"/>
        <c:auto val="1"/>
        <c:lblAlgn val="ctr"/>
        <c:lblOffset val="100"/>
        <c:noMultiLvlLbl val="0"/>
      </c:catAx>
      <c:valAx>
        <c:axId val="2111928680"/>
        <c:scaling>
          <c:orientation val="minMax"/>
        </c:scaling>
        <c:delete val="0"/>
        <c:axPos val="l"/>
        <c:majorGridlines/>
        <c:numFmt formatCode="General" sourceLinked="1"/>
        <c:majorTickMark val="out"/>
        <c:minorTickMark val="none"/>
        <c:tickLblPos val="nextTo"/>
        <c:crossAx val="2111931640"/>
        <c:crosses val="autoZero"/>
        <c:crossBetween val="between"/>
      </c:valAx>
    </c:plotArea>
    <c:legend>
      <c:legendPos val="r"/>
      <c:layout/>
      <c:overlay val="0"/>
    </c:legend>
    <c:plotVisOnly val="1"/>
    <c:dispBlanksAs val="gap"/>
    <c:showDLblsOverMax val="0"/>
  </c:chart>
  <c:printSettings>
    <c:headerFooter/>
    <c:pageMargins b="0.750000000000001" l="0.700000000000001" r="0.700000000000001" t="0.750000000000001"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3</a:t>
            </a:r>
          </a:p>
        </c:rich>
      </c:tx>
      <c:layout/>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'[2]Given Data'!$B$2:$B$21</c:f>
              <c:numCache>
                <c:formatCode>General</c:formatCode>
                <c:ptCount val="20"/>
                <c:pt idx="0">
                  <c:v>110.0</c:v>
                </c:pt>
                <c:pt idx="1">
                  <c:v>123.0</c:v>
                </c:pt>
                <c:pt idx="2">
                  <c:v>128.0</c:v>
                </c:pt>
                <c:pt idx="3">
                  <c:v>136.0</c:v>
                </c:pt>
                <c:pt idx="4">
                  <c:v>139.0</c:v>
                </c:pt>
                <c:pt idx="5">
                  <c:v>134.0</c:v>
                </c:pt>
                <c:pt idx="6">
                  <c:v>142.0</c:v>
                </c:pt>
                <c:pt idx="7">
                  <c:v>149.0</c:v>
                </c:pt>
                <c:pt idx="8">
                  <c:v>158.0</c:v>
                </c:pt>
                <c:pt idx="9">
                  <c:v>147.0</c:v>
                </c:pt>
                <c:pt idx="10">
                  <c:v>139.0</c:v>
                </c:pt>
                <c:pt idx="11">
                  <c:v>140.0</c:v>
                </c:pt>
                <c:pt idx="12">
                  <c:v>143.0</c:v>
                </c:pt>
                <c:pt idx="13">
                  <c:v>156.0</c:v>
                </c:pt>
                <c:pt idx="14">
                  <c:v>161.0</c:v>
                </c:pt>
                <c:pt idx="15">
                  <c:v>170.0</c:v>
                </c:pt>
                <c:pt idx="16">
                  <c:v>169.0</c:v>
                </c:pt>
                <c:pt idx="17">
                  <c:v>176.0</c:v>
                </c:pt>
                <c:pt idx="18">
                  <c:v>181.0</c:v>
                </c:pt>
                <c:pt idx="19">
                  <c:v>188.0</c:v>
                </c:pt>
              </c:numCache>
            </c:numRef>
          </c:val>
          <c:smooth val="0"/>
          <c:extLst xmlns:c16r2="http://schemas.microsoft.com/office/drawing/2015/06/chart">
            <c:ext xmlns:c16="http://schemas.microsoft.com/office/drawing/2014/chart" uri="{C3380CC4-5D6E-409C-BE32-E72D297353CC}">
              <c16:uniqueId val="{0000002A-4F18-7249-BFE1-D21E1B9F8DA6}"/>
            </c:ext>
          </c:extLst>
        </c:ser>
        <c:dLbls>
          <c:showLegendKey val="0"/>
          <c:showVal val="0"/>
          <c:showCatName val="0"/>
          <c:showSerName val="0"/>
          <c:showPercent val="0"/>
          <c:showBubbleSize val="0"/>
        </c:dLbls>
        <c:marker val="1"/>
        <c:smooth val="0"/>
        <c:axId val="2111859048"/>
        <c:axId val="2111852152"/>
      </c:lineChart>
      <c:catAx>
        <c:axId val="211185904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Period</a:t>
                </a:r>
              </a:p>
            </c:rich>
          </c:tx>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852152"/>
        <c:crosses val="autoZero"/>
        <c:auto val="1"/>
        <c:lblAlgn val="ctr"/>
        <c:lblOffset val="100"/>
        <c:noMultiLvlLbl val="0"/>
      </c:catAx>
      <c:valAx>
        <c:axId val="211185215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8590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3</a:t>
            </a:r>
          </a:p>
        </c:rich>
      </c:tx>
      <c:layout/>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'[2]Level Policy'!$B$14</c:f>
              <c:strCache>
                <c:ptCount val="1"/>
                <c:pt idx="0">
                  <c:v>Production</c:v>
                </c:pt>
              </c:strCache>
            </c:strRef>
          </c:tx>
          <c:spPr>
            <a:solidFill>
              <a:schemeClr val="accent1"/>
            </a:solidFill>
            <a:ln>
              <a:noFill/>
            </a:ln>
            <a:effectLst/>
            <a:sp3d/>
          </c:spPr>
          <c:invertIfNegative val="0"/>
          <c:val>
            <c:numRef>
              <c:f>'[2]Level Policy'!$C$14:$G$14</c:f>
              <c:numCache>
                <c:formatCode>General</c:formatCode>
                <c:ptCount val="5"/>
                <c:pt idx="0">
                  <c:v>194.0</c:v>
                </c:pt>
                <c:pt idx="1">
                  <c:v>194.0</c:v>
                </c:pt>
                <c:pt idx="2">
                  <c:v>194.0</c:v>
                </c:pt>
                <c:pt idx="3">
                  <c:v>194.0</c:v>
                </c:pt>
                <c:pt idx="4">
                  <c:v>194.0</c:v>
                </c:pt>
              </c:numCache>
            </c:numRef>
          </c:val>
          <c:extLst xmlns:c16r2="http://schemas.microsoft.com/office/drawing/2015/06/chart">
            <c:ext xmlns:c16="http://schemas.microsoft.com/office/drawing/2014/chart" uri="{C3380CC4-5D6E-409C-BE32-E72D297353CC}">
              <c16:uniqueId val="{00000001-2653-5947-8FF2-9F9F900BB47E}"/>
            </c:ext>
          </c:extLst>
        </c:ser>
        <c:ser>
          <c:idx val="1"/>
          <c:order val="1"/>
          <c:tx>
            <c:strRef>
              <c:f>'[2]Level Policy'!$B$15</c:f>
              <c:strCache>
                <c:ptCount val="1"/>
                <c:pt idx="0">
                  <c:v>Demand</c:v>
                </c:pt>
              </c:strCache>
            </c:strRef>
          </c:tx>
          <c:spPr>
            <a:solidFill>
              <a:schemeClr val="accent2"/>
            </a:solidFill>
            <a:ln>
              <a:noFill/>
            </a:ln>
            <a:effectLst/>
            <a:sp3d/>
          </c:spPr>
          <c:invertIfNegative val="0"/>
          <c:val>
            <c:numRef>
              <c:f>'[2]Level Policy'!$C$15:$G$15</c:f>
              <c:numCache>
                <c:formatCode>General</c:formatCode>
                <c:ptCount val="5"/>
                <c:pt idx="0">
                  <c:v>192.0</c:v>
                </c:pt>
                <c:pt idx="1">
                  <c:v>188.0</c:v>
                </c:pt>
                <c:pt idx="2">
                  <c:v>196.0</c:v>
                </c:pt>
                <c:pt idx="3">
                  <c:v>191.0</c:v>
                </c:pt>
                <c:pt idx="4">
                  <c:v>200.0</c:v>
                </c:pt>
              </c:numCache>
            </c:numRef>
          </c:val>
          <c:extLst xmlns:c16r2="http://schemas.microsoft.com/office/drawing/2015/06/chart">
            <c:ext xmlns:c16="http://schemas.microsoft.com/office/drawing/2014/chart" uri="{C3380CC4-5D6E-409C-BE32-E72D297353CC}">
              <c16:uniqueId val="{00000003-2653-5947-8FF2-9F9F900BB47E}"/>
            </c:ext>
          </c:extLst>
        </c:ser>
        <c:dLbls>
          <c:showLegendKey val="0"/>
          <c:showVal val="0"/>
          <c:showCatName val="0"/>
          <c:showSerName val="0"/>
          <c:showPercent val="0"/>
          <c:showBubbleSize val="0"/>
        </c:dLbls>
        <c:gapWidth val="150"/>
        <c:shape val="box"/>
        <c:axId val="2114079800"/>
        <c:axId val="2114083544"/>
        <c:axId val="0"/>
      </c:bar3DChart>
      <c:catAx>
        <c:axId val="211407980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083544"/>
        <c:crosses val="autoZero"/>
        <c:auto val="1"/>
        <c:lblAlgn val="ctr"/>
        <c:lblOffset val="100"/>
        <c:noMultiLvlLbl val="0"/>
      </c:catAx>
      <c:valAx>
        <c:axId val="2114083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0798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3</a:t>
            </a:r>
          </a:p>
        </c:rich>
      </c:tx>
      <c:layout/>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'[2]Chase Policy'!$B$14</c:f>
              <c:strCache>
                <c:ptCount val="1"/>
                <c:pt idx="0">
                  <c:v>Production</c:v>
                </c:pt>
              </c:strCache>
            </c:strRef>
          </c:tx>
          <c:spPr>
            <a:solidFill>
              <a:schemeClr val="accent1"/>
            </a:solidFill>
            <a:ln>
              <a:noFill/>
            </a:ln>
            <a:effectLst/>
            <a:sp3d/>
          </c:spPr>
          <c:invertIfNegative val="0"/>
          <c:val>
            <c:numRef>
              <c:f>'[2]Chase Policy'!$C$14:$G$14</c:f>
              <c:numCache>
                <c:formatCode>General</c:formatCode>
                <c:ptCount val="5"/>
                <c:pt idx="0">
                  <c:v>192.0</c:v>
                </c:pt>
                <c:pt idx="1">
                  <c:v>188.0</c:v>
                </c:pt>
                <c:pt idx="2">
                  <c:v>196.0</c:v>
                </c:pt>
                <c:pt idx="3">
                  <c:v>191.0</c:v>
                </c:pt>
                <c:pt idx="4">
                  <c:v>200.0</c:v>
                </c:pt>
              </c:numCache>
            </c:numRef>
          </c:val>
          <c:extLst xmlns:c16r2="http://schemas.microsoft.com/office/drawing/2015/06/chart">
            <c:ext xmlns:c16="http://schemas.microsoft.com/office/drawing/2014/chart" uri="{C3380CC4-5D6E-409C-BE32-E72D297353CC}">
              <c16:uniqueId val="{00000001-5DFD-C642-B384-54AA745A927E}"/>
            </c:ext>
          </c:extLst>
        </c:ser>
        <c:ser>
          <c:idx val="1"/>
          <c:order val="1"/>
          <c:tx>
            <c:strRef>
              <c:f>'[2]Chase Policy'!$B$15</c:f>
              <c:strCache>
                <c:ptCount val="1"/>
                <c:pt idx="0">
                  <c:v>Demand</c:v>
                </c:pt>
              </c:strCache>
            </c:strRef>
          </c:tx>
          <c:spPr>
            <a:solidFill>
              <a:schemeClr val="accent2"/>
            </a:solidFill>
            <a:ln>
              <a:noFill/>
            </a:ln>
            <a:effectLst/>
            <a:sp3d/>
          </c:spPr>
          <c:invertIfNegative val="0"/>
          <c:val>
            <c:numRef>
              <c:f>'[2]Chase Policy'!$C$15:$G$15</c:f>
              <c:numCache>
                <c:formatCode>General</c:formatCode>
                <c:ptCount val="5"/>
                <c:pt idx="0">
                  <c:v>192.0</c:v>
                </c:pt>
                <c:pt idx="1">
                  <c:v>188.0</c:v>
                </c:pt>
                <c:pt idx="2">
                  <c:v>196.0</c:v>
                </c:pt>
                <c:pt idx="3">
                  <c:v>191.0</c:v>
                </c:pt>
                <c:pt idx="4">
                  <c:v>200.0</c:v>
                </c:pt>
              </c:numCache>
            </c:numRef>
          </c:val>
          <c:extLst xmlns:c16r2="http://schemas.microsoft.com/office/drawing/2015/06/chart">
            <c:ext xmlns:c16="http://schemas.microsoft.com/office/drawing/2014/chart" uri="{C3380CC4-5D6E-409C-BE32-E72D297353CC}">
              <c16:uniqueId val="{00000003-5DFD-C642-B384-54AA745A927E}"/>
            </c:ext>
          </c:extLst>
        </c:ser>
        <c:dLbls>
          <c:showLegendKey val="0"/>
          <c:showVal val="0"/>
          <c:showCatName val="0"/>
          <c:showSerName val="0"/>
          <c:showPercent val="0"/>
          <c:showBubbleSize val="0"/>
        </c:dLbls>
        <c:gapWidth val="150"/>
        <c:shape val="box"/>
        <c:axId val="2114128712"/>
        <c:axId val="2114132456"/>
        <c:axId val="0"/>
      </c:bar3DChart>
      <c:catAx>
        <c:axId val="211412871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132456"/>
        <c:crosses val="autoZero"/>
        <c:auto val="1"/>
        <c:lblAlgn val="ctr"/>
        <c:lblOffset val="100"/>
        <c:noMultiLvlLbl val="0"/>
      </c:catAx>
      <c:valAx>
        <c:axId val="2114132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1287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860717410323709"/>
          <c:y val="0.0745487022455526"/>
          <c:w val="0.701969378827646"/>
          <c:h val="0.832619568387285"/>
        </c:manualLayout>
      </c:layout>
      <c:lineChart>
        <c:grouping val="standard"/>
        <c:varyColors val="0"/>
        <c:ser>
          <c:idx val="0"/>
          <c:order val="0"/>
          <c:trendline>
            <c:trendlineType val="linear"/>
            <c:dispRSqr val="0"/>
            <c:dispEq val="0"/>
          </c:trendline>
          <c:val>
            <c:numRef>
              <c:f>'Forecasting P-4'!$B$2:$B$21</c:f>
              <c:numCache>
                <c:formatCode>General</c:formatCode>
                <c:ptCount val="20"/>
                <c:pt idx="0">
                  <c:v>227.0</c:v>
                </c:pt>
                <c:pt idx="1">
                  <c:v>47.0</c:v>
                </c:pt>
                <c:pt idx="2">
                  <c:v>157.0</c:v>
                </c:pt>
                <c:pt idx="3">
                  <c:v>57.0</c:v>
                </c:pt>
                <c:pt idx="4">
                  <c:v>261.0</c:v>
                </c:pt>
                <c:pt idx="5">
                  <c:v>51.0</c:v>
                </c:pt>
                <c:pt idx="6">
                  <c:v>181.0</c:v>
                </c:pt>
                <c:pt idx="7">
                  <c:v>61.0</c:v>
                </c:pt>
                <c:pt idx="8">
                  <c:v>305.0</c:v>
                </c:pt>
                <c:pt idx="9">
                  <c:v>59.0</c:v>
                </c:pt>
                <c:pt idx="10">
                  <c:v>195.0</c:v>
                </c:pt>
                <c:pt idx="11">
                  <c:v>79.0</c:v>
                </c:pt>
                <c:pt idx="12">
                  <c:v>320.0</c:v>
                </c:pt>
                <c:pt idx="13">
                  <c:v>72.0</c:v>
                </c:pt>
                <c:pt idx="14">
                  <c:v>230.0</c:v>
                </c:pt>
                <c:pt idx="15">
                  <c:v>83.0</c:v>
                </c:pt>
                <c:pt idx="16">
                  <c:v>360.0</c:v>
                </c:pt>
                <c:pt idx="17">
                  <c:v>77.0</c:v>
                </c:pt>
                <c:pt idx="18">
                  <c:v>260.0</c:v>
                </c:pt>
                <c:pt idx="19">
                  <c:v>94.0</c:v>
                </c:pt>
              </c:numCache>
            </c:numRef>
          </c:val>
          <c:smooth val="0"/>
        </c:ser>
        <c:ser>
          <c:idx val="1"/>
          <c:order val="1"/>
          <c:val>
            <c:numRef>
              <c:f>'Forecasting P-4'!$G$2:$G$21</c:f>
              <c:numCache>
                <c:formatCode>General</c:formatCode>
                <c:ptCount val="20"/>
                <c:pt idx="0">
                  <c:v>0.0</c:v>
                </c:pt>
                <c:pt idx="1">
                  <c:v>0.0</c:v>
                </c:pt>
                <c:pt idx="2">
                  <c:v>0.0</c:v>
                </c:pt>
                <c:pt idx="3">
                  <c:v>0.0</c:v>
                </c:pt>
                <c:pt idx="4">
                  <c:v>0.0</c:v>
                </c:pt>
                <c:pt idx="5">
                  <c:v>0.0</c:v>
                </c:pt>
                <c:pt idx="6">
                  <c:v>0.0</c:v>
                </c:pt>
                <c:pt idx="7">
                  <c:v>0.0</c:v>
                </c:pt>
                <c:pt idx="8" formatCode="0.00">
                  <c:v>251.2452107279694</c:v>
                </c:pt>
                <c:pt idx="9" formatCode="0.00">
                  <c:v>53.2992337164751</c:v>
                </c:pt>
                <c:pt idx="10" formatCode="0.00">
                  <c:v>192.2739785753382</c:v>
                </c:pt>
                <c:pt idx="11" formatCode="0.00">
                  <c:v>69.50162565233343</c:v>
                </c:pt>
                <c:pt idx="12" formatCode="0.00">
                  <c:v>314.7011469308916</c:v>
                </c:pt>
                <c:pt idx="13" formatCode="0.00">
                  <c:v>63.733524434537</c:v>
                </c:pt>
                <c:pt idx="14" formatCode="0.00">
                  <c:v>224.9527818367284</c:v>
                </c:pt>
                <c:pt idx="15" formatCode="0.00">
                  <c:v>84.05619547851274</c:v>
                </c:pt>
                <c:pt idx="16" formatCode="0.00">
                  <c:v>367.2772639011613</c:v>
                </c:pt>
                <c:pt idx="17" formatCode="0.00">
                  <c:v>76.13634188536523</c:v>
                </c:pt>
                <c:pt idx="18" formatCode="0.00">
                  <c:v>257.1836435843778</c:v>
                </c:pt>
                <c:pt idx="19" formatCode="0.00">
                  <c:v>94.6977855171416</c:v>
                </c:pt>
              </c:numCache>
            </c:numRef>
          </c:val>
          <c:smooth val="0"/>
        </c:ser>
        <c:dLbls>
          <c:showLegendKey val="0"/>
          <c:showVal val="0"/>
          <c:showCatName val="0"/>
          <c:showSerName val="0"/>
          <c:showPercent val="0"/>
          <c:showBubbleSize val="0"/>
        </c:dLbls>
        <c:marker val="1"/>
        <c:smooth val="0"/>
        <c:axId val="2114247752"/>
        <c:axId val="2114250632"/>
      </c:lineChart>
      <c:catAx>
        <c:axId val="2114247752"/>
        <c:scaling>
          <c:orientation val="minMax"/>
        </c:scaling>
        <c:delete val="0"/>
        <c:axPos val="b"/>
        <c:majorTickMark val="out"/>
        <c:minorTickMark val="none"/>
        <c:tickLblPos val="nextTo"/>
        <c:crossAx val="2114250632"/>
        <c:crosses val="autoZero"/>
        <c:auto val="1"/>
        <c:lblAlgn val="ctr"/>
        <c:lblOffset val="100"/>
        <c:noMultiLvlLbl val="0"/>
      </c:catAx>
      <c:valAx>
        <c:axId val="2114250632"/>
        <c:scaling>
          <c:orientation val="minMax"/>
        </c:scaling>
        <c:delete val="0"/>
        <c:axPos val="l"/>
        <c:majorGridlines/>
        <c:numFmt formatCode="General" sourceLinked="1"/>
        <c:majorTickMark val="out"/>
        <c:minorTickMark val="none"/>
        <c:tickLblPos val="nextTo"/>
        <c:crossAx val="21142477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152400</xdr:colOff>
      <xdr:row>1</xdr:row>
      <xdr:rowOff>19050</xdr:rowOff>
    </xdr:from>
    <xdr:to>
      <xdr:col>10</xdr:col>
      <xdr:colOff>596900</xdr:colOff>
      <xdr:row>15</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19049</xdr:colOff>
      <xdr:row>4</xdr:row>
      <xdr:rowOff>123825</xdr:rowOff>
    </xdr:from>
    <xdr:to>
      <xdr:col>12</xdr:col>
      <xdr:colOff>600074</xdr:colOff>
      <xdr:row>17</xdr:row>
      <xdr:rowOff>142875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9525</xdr:colOff>
      <xdr:row>19</xdr:row>
      <xdr:rowOff>19050</xdr:rowOff>
    </xdr:from>
    <xdr:to>
      <xdr:col>12</xdr:col>
      <xdr:colOff>419100</xdr:colOff>
      <xdr:row>26</xdr:row>
      <xdr:rowOff>152400</xdr:rowOff>
    </xdr:to>
    <xdr:sp macro="" textlink="">
      <xdr:nvSpPr>
        <xdr:cNvPr id="3" name="TextBox 2"/>
        <xdr:cNvSpPr txBox="1"/>
      </xdr:nvSpPr>
      <xdr:spPr>
        <a:xfrm>
          <a:off x="7604125" y="3397250"/>
          <a:ext cx="2822575" cy="1377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Exponential Smoothing with seasonality</a:t>
          </a:r>
          <a:r>
            <a:rPr lang="en-US" sz="1100" baseline="0"/>
            <a:t> was used with weeks </a:t>
          </a:r>
        </a:p>
        <a:p>
          <a:r>
            <a:rPr lang="en-US" sz="1100" baseline="0"/>
            <a:t>1-10 as a base to establish a forecast for weeks 11-20. The MAD for week 11-20 is within the required range, therefore, we will continue with the method to forecast the next 5 weeks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314325</xdr:colOff>
      <xdr:row>26</xdr:row>
      <xdr:rowOff>180975</xdr:rowOff>
    </xdr:from>
    <xdr:to>
      <xdr:col>5</xdr:col>
      <xdr:colOff>616955</xdr:colOff>
      <xdr:row>42</xdr:row>
      <xdr:rowOff>178564</xdr:rowOff>
    </xdr:to>
    <xdr:graphicFrame macro="">
      <xdr:nvGraphicFramePr>
        <xdr:cNvPr id="2" name="Chart 1">
          <a:extLst>
            <a:ext uri="{FF2B5EF4-FFF2-40B4-BE49-F238E27FC236}">
              <a16:creationId xmlns:a16="http://schemas.microsoft.com/office/drawing/2014/main" xmlns="" id="{48CAD744-5F64-784C-8F8C-5E4D22F363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587375</xdr:colOff>
      <xdr:row>0</xdr:row>
      <xdr:rowOff>177800</xdr:rowOff>
    </xdr:from>
    <xdr:to>
      <xdr:col>15</xdr:col>
      <xdr:colOff>250825</xdr:colOff>
      <xdr:row>15</xdr:row>
      <xdr:rowOff>63500</xdr:rowOff>
    </xdr:to>
    <xdr:graphicFrame macro="">
      <xdr:nvGraphicFramePr>
        <xdr:cNvPr id="2" name="Chart 1">
          <a:extLst>
            <a:ext uri="{FF2B5EF4-FFF2-40B4-BE49-F238E27FC236}">
              <a16:creationId xmlns:a16="http://schemas.microsoft.com/office/drawing/2014/main" xmlns="" id="{4EA966E5-7D7B-1543-9509-154ED8E98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40</xdr:row>
      <xdr:rowOff>0</xdr:rowOff>
    </xdr:from>
    <xdr:to>
      <xdr:col>15</xdr:col>
      <xdr:colOff>70067</xdr:colOff>
      <xdr:row>54</xdr:row>
      <xdr:rowOff>155662</xdr:rowOff>
    </xdr:to>
    <xdr:graphicFrame macro="">
      <xdr:nvGraphicFramePr>
        <xdr:cNvPr id="3" name="Chart 2">
          <a:extLst>
            <a:ext uri="{FF2B5EF4-FFF2-40B4-BE49-F238E27FC236}">
              <a16:creationId xmlns:a16="http://schemas.microsoft.com/office/drawing/2014/main" xmlns="" id="{803CAA05-8263-814E-BD59-0E4EEDB83C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34925</xdr:colOff>
      <xdr:row>5</xdr:row>
      <xdr:rowOff>3175</xdr:rowOff>
    </xdr:from>
    <xdr:to>
      <xdr:col>15</xdr:col>
      <xdr:colOff>536575</xdr:colOff>
      <xdr:row>19</xdr:row>
      <xdr:rowOff>79375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haval/Downloads/ISE%20140%20Product%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haval/Downloads/projec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moothing w. Seasonality"/>
      <sheetName val="Sheet1"/>
      <sheetName val="Sheet2"/>
      <sheetName val="AR model"/>
      <sheetName val="AR Stats"/>
    </sheetNames>
    <sheetDataSet>
      <sheetData sheetId="0">
        <row r="1">
          <cell r="B1" t="str">
            <v>Product 2</v>
          </cell>
        </row>
        <row r="2">
          <cell r="B2">
            <v>51</v>
          </cell>
        </row>
        <row r="3">
          <cell r="B3">
            <v>42</v>
          </cell>
        </row>
        <row r="4">
          <cell r="B4">
            <v>42</v>
          </cell>
        </row>
        <row r="5">
          <cell r="B5">
            <v>45</v>
          </cell>
        </row>
        <row r="6">
          <cell r="B6">
            <v>45</v>
          </cell>
        </row>
        <row r="7">
          <cell r="B7">
            <v>47</v>
          </cell>
        </row>
        <row r="8">
          <cell r="B8">
            <v>42</v>
          </cell>
        </row>
        <row r="9">
          <cell r="B9">
            <v>46</v>
          </cell>
        </row>
        <row r="10">
          <cell r="B10">
            <v>49</v>
          </cell>
        </row>
        <row r="11">
          <cell r="B11">
            <v>47</v>
          </cell>
        </row>
        <row r="12">
          <cell r="B12">
            <v>50</v>
          </cell>
        </row>
        <row r="13">
          <cell r="B13">
            <v>49</v>
          </cell>
        </row>
        <row r="14">
          <cell r="B14">
            <v>53</v>
          </cell>
        </row>
        <row r="15">
          <cell r="B15">
            <v>52</v>
          </cell>
        </row>
        <row r="16">
          <cell r="B16">
            <v>48</v>
          </cell>
        </row>
        <row r="17">
          <cell r="B17">
            <v>47</v>
          </cell>
        </row>
        <row r="18">
          <cell r="B18">
            <v>45</v>
          </cell>
        </row>
        <row r="19">
          <cell r="B19">
            <v>49</v>
          </cell>
        </row>
        <row r="20">
          <cell r="B20">
            <v>42</v>
          </cell>
        </row>
        <row r="21">
          <cell r="B21">
            <v>50</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Given Data"/>
      <sheetName val="Exponential with trend"/>
      <sheetName val="AR Forecasting"/>
      <sheetName val="Level Policy"/>
      <sheetName val="Chase Policy"/>
    </sheetNames>
    <sheetDataSet>
      <sheetData sheetId="0">
        <row r="2">
          <cell r="B2">
            <v>110</v>
          </cell>
        </row>
        <row r="3">
          <cell r="B3">
            <v>123</v>
          </cell>
        </row>
        <row r="4">
          <cell r="B4">
            <v>128</v>
          </cell>
        </row>
        <row r="5">
          <cell r="B5">
            <v>136</v>
          </cell>
        </row>
        <row r="6">
          <cell r="B6">
            <v>139</v>
          </cell>
        </row>
        <row r="7">
          <cell r="B7">
            <v>134</v>
          </cell>
        </row>
        <row r="8">
          <cell r="B8">
            <v>142</v>
          </cell>
        </row>
        <row r="9">
          <cell r="B9">
            <v>149</v>
          </cell>
        </row>
        <row r="10">
          <cell r="B10">
            <v>158</v>
          </cell>
        </row>
        <row r="11">
          <cell r="B11">
            <v>147</v>
          </cell>
        </row>
        <row r="12">
          <cell r="B12">
            <v>139</v>
          </cell>
        </row>
        <row r="13">
          <cell r="B13">
            <v>140</v>
          </cell>
        </row>
        <row r="14">
          <cell r="B14">
            <v>143</v>
          </cell>
        </row>
        <row r="15">
          <cell r="B15">
            <v>156</v>
          </cell>
        </row>
        <row r="16">
          <cell r="B16">
            <v>161</v>
          </cell>
        </row>
        <row r="17">
          <cell r="B17">
            <v>170</v>
          </cell>
        </row>
        <row r="18">
          <cell r="B18">
            <v>169</v>
          </cell>
        </row>
        <row r="19">
          <cell r="B19">
            <v>176</v>
          </cell>
        </row>
        <row r="20">
          <cell r="B20">
            <v>181</v>
          </cell>
        </row>
        <row r="21">
          <cell r="B21">
            <v>188</v>
          </cell>
        </row>
      </sheetData>
      <sheetData sheetId="1" refreshError="1"/>
      <sheetData sheetId="2" refreshError="1"/>
      <sheetData sheetId="3">
        <row r="14">
          <cell r="B14" t="str">
            <v>Production</v>
          </cell>
          <cell r="C14">
            <v>194</v>
          </cell>
          <cell r="D14">
            <v>194</v>
          </cell>
          <cell r="E14">
            <v>194</v>
          </cell>
          <cell r="F14">
            <v>194</v>
          </cell>
          <cell r="G14">
            <v>194</v>
          </cell>
        </row>
        <row r="15">
          <cell r="B15" t="str">
            <v>Demand</v>
          </cell>
          <cell r="C15">
            <v>192</v>
          </cell>
          <cell r="D15">
            <v>188</v>
          </cell>
          <cell r="E15">
            <v>196</v>
          </cell>
          <cell r="F15">
            <v>191</v>
          </cell>
          <cell r="G15">
            <v>200</v>
          </cell>
        </row>
      </sheetData>
      <sheetData sheetId="4">
        <row r="14">
          <cell r="B14" t="str">
            <v>Production</v>
          </cell>
          <cell r="C14">
            <v>192</v>
          </cell>
          <cell r="D14">
            <v>188</v>
          </cell>
          <cell r="E14">
            <v>196</v>
          </cell>
          <cell r="F14">
            <v>191</v>
          </cell>
          <cell r="G14">
            <v>200</v>
          </cell>
        </row>
        <row r="15">
          <cell r="B15" t="str">
            <v>Demand</v>
          </cell>
          <cell r="C15">
            <v>192</v>
          </cell>
          <cell r="D15">
            <v>188</v>
          </cell>
          <cell r="E15">
            <v>196</v>
          </cell>
          <cell r="F15">
            <v>191</v>
          </cell>
          <cell r="G15">
            <v>200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E33"/>
  <sheetViews>
    <sheetView topLeftCell="E5" workbookViewId="0">
      <selection activeCell="H23" sqref="H23"/>
    </sheetView>
  </sheetViews>
  <sheetFormatPr baseColWidth="10" defaultRowHeight="15" x14ac:dyDescent="0"/>
  <cols>
    <col min="1" max="1" width="13.83203125" bestFit="1" customWidth="1"/>
    <col min="3" max="3" width="15.1640625" bestFit="1" customWidth="1"/>
    <col min="5" max="5" width="15.1640625" bestFit="1" customWidth="1"/>
  </cols>
  <sheetData>
    <row r="1" spans="1:5">
      <c r="A1" t="s">
        <v>1</v>
      </c>
      <c r="B1" t="s">
        <v>0</v>
      </c>
      <c r="C1" t="s">
        <v>2</v>
      </c>
      <c r="D1" t="s">
        <v>78</v>
      </c>
      <c r="E1" t="s">
        <v>4</v>
      </c>
    </row>
    <row r="2" spans="1:5">
      <c r="A2">
        <v>1</v>
      </c>
      <c r="B2">
        <v>26</v>
      </c>
      <c r="C2">
        <f>(7.8594*A2)+26.226</f>
        <v>34.0854</v>
      </c>
      <c r="E2" t="s">
        <v>5</v>
      </c>
    </row>
    <row r="3" spans="1:5">
      <c r="A3">
        <v>2</v>
      </c>
      <c r="B3">
        <v>42</v>
      </c>
      <c r="C3">
        <f t="shared" ref="C3:C21" si="0">(7.8594*A3)+26.226</f>
        <v>41.944800000000001</v>
      </c>
      <c r="E3" t="s">
        <v>6</v>
      </c>
    </row>
    <row r="4" spans="1:5">
      <c r="A4">
        <v>3</v>
      </c>
      <c r="B4">
        <v>79</v>
      </c>
      <c r="C4">
        <f t="shared" si="0"/>
        <v>49.804199999999994</v>
      </c>
    </row>
    <row r="5" spans="1:5">
      <c r="A5">
        <v>4</v>
      </c>
      <c r="B5">
        <v>58</v>
      </c>
      <c r="C5">
        <f t="shared" si="0"/>
        <v>57.663600000000002</v>
      </c>
    </row>
    <row r="6" spans="1:5">
      <c r="A6">
        <v>5</v>
      </c>
      <c r="B6">
        <v>66</v>
      </c>
      <c r="C6">
        <f t="shared" si="0"/>
        <v>65.522999999999996</v>
      </c>
    </row>
    <row r="7" spans="1:5">
      <c r="A7">
        <v>6</v>
      </c>
      <c r="B7">
        <v>66</v>
      </c>
      <c r="C7">
        <f t="shared" si="0"/>
        <v>73.38239999999999</v>
      </c>
    </row>
    <row r="8" spans="1:5">
      <c r="A8">
        <v>7</v>
      </c>
      <c r="B8">
        <v>61</v>
      </c>
      <c r="C8">
        <f t="shared" si="0"/>
        <v>81.241799999999998</v>
      </c>
    </row>
    <row r="9" spans="1:5">
      <c r="A9">
        <v>8</v>
      </c>
      <c r="B9">
        <v>77</v>
      </c>
      <c r="C9">
        <f t="shared" si="0"/>
        <v>89.101200000000006</v>
      </c>
    </row>
    <row r="10" spans="1:5">
      <c r="A10">
        <v>9</v>
      </c>
      <c r="B10">
        <v>107</v>
      </c>
      <c r="C10">
        <f t="shared" si="0"/>
        <v>96.960599999999999</v>
      </c>
    </row>
    <row r="11" spans="1:5">
      <c r="A11">
        <v>10</v>
      </c>
      <c r="B11">
        <v>112</v>
      </c>
      <c r="C11">
        <f t="shared" si="0"/>
        <v>104.82</v>
      </c>
    </row>
    <row r="12" spans="1:5">
      <c r="A12">
        <v>11</v>
      </c>
      <c r="B12">
        <v>115</v>
      </c>
      <c r="C12">
        <f t="shared" si="0"/>
        <v>112.6794</v>
      </c>
      <c r="D12">
        <f>ABS(B12-C12)</f>
        <v>2.3205999999999989</v>
      </c>
    </row>
    <row r="13" spans="1:5">
      <c r="A13">
        <v>12</v>
      </c>
      <c r="B13">
        <v>116</v>
      </c>
      <c r="C13">
        <f t="shared" si="0"/>
        <v>120.53879999999999</v>
      </c>
      <c r="D13">
        <f t="shared" ref="D13:D21" si="1">ABS(B13-C13)</f>
        <v>4.5387999999999948</v>
      </c>
    </row>
    <row r="14" spans="1:5">
      <c r="A14">
        <v>13</v>
      </c>
      <c r="B14">
        <v>125</v>
      </c>
      <c r="C14">
        <f t="shared" si="0"/>
        <v>128.3982</v>
      </c>
      <c r="D14">
        <f t="shared" si="1"/>
        <v>3.3982000000000028</v>
      </c>
    </row>
    <row r="15" spans="1:5">
      <c r="A15">
        <v>14</v>
      </c>
      <c r="B15">
        <v>138</v>
      </c>
      <c r="C15">
        <f t="shared" si="0"/>
        <v>136.2576</v>
      </c>
      <c r="D15">
        <f t="shared" si="1"/>
        <v>1.7424000000000035</v>
      </c>
    </row>
    <row r="16" spans="1:5">
      <c r="A16">
        <v>15</v>
      </c>
      <c r="B16">
        <v>147</v>
      </c>
      <c r="C16">
        <f t="shared" si="0"/>
        <v>144.11700000000002</v>
      </c>
      <c r="D16">
        <f t="shared" si="1"/>
        <v>2.8829999999999814</v>
      </c>
    </row>
    <row r="17" spans="1:4">
      <c r="A17">
        <v>16</v>
      </c>
      <c r="B17">
        <v>150</v>
      </c>
      <c r="C17">
        <f t="shared" si="0"/>
        <v>151.97640000000001</v>
      </c>
      <c r="D17">
        <f t="shared" si="1"/>
        <v>1.9764000000000124</v>
      </c>
    </row>
    <row r="18" spans="1:4">
      <c r="A18">
        <v>17</v>
      </c>
      <c r="B18">
        <v>161</v>
      </c>
      <c r="C18">
        <f t="shared" si="0"/>
        <v>159.83580000000001</v>
      </c>
      <c r="D18">
        <f t="shared" si="1"/>
        <v>1.1641999999999939</v>
      </c>
    </row>
    <row r="19" spans="1:4">
      <c r="A19">
        <v>18</v>
      </c>
      <c r="B19">
        <v>162</v>
      </c>
      <c r="C19">
        <f t="shared" si="0"/>
        <v>167.6952</v>
      </c>
      <c r="D19">
        <f t="shared" si="1"/>
        <v>5.6951999999999998</v>
      </c>
    </row>
    <row r="20" spans="1:4">
      <c r="A20">
        <v>19</v>
      </c>
      <c r="B20">
        <v>179</v>
      </c>
      <c r="C20">
        <f t="shared" si="0"/>
        <v>175.55459999999999</v>
      </c>
      <c r="D20">
        <f t="shared" si="1"/>
        <v>3.4454000000000065</v>
      </c>
    </row>
    <row r="21" spans="1:4">
      <c r="A21">
        <v>20</v>
      </c>
      <c r="B21">
        <v>188</v>
      </c>
      <c r="C21">
        <f t="shared" si="0"/>
        <v>183.41399999999999</v>
      </c>
      <c r="D21">
        <f t="shared" si="1"/>
        <v>4.5860000000000127</v>
      </c>
    </row>
    <row r="22" spans="1:4">
      <c r="A22">
        <v>21</v>
      </c>
    </row>
    <row r="23" spans="1:4">
      <c r="A23">
        <v>22</v>
      </c>
      <c r="B23" t="s">
        <v>3</v>
      </c>
      <c r="C23" s="1" t="s">
        <v>8</v>
      </c>
      <c r="D23">
        <f>SUM(D12:D21)/10</f>
        <v>3.1750200000000008</v>
      </c>
    </row>
    <row r="24" spans="1:4">
      <c r="A24">
        <v>23</v>
      </c>
    </row>
    <row r="25" spans="1:4">
      <c r="A25">
        <v>24</v>
      </c>
    </row>
    <row r="26" spans="1:4">
      <c r="A26">
        <v>25</v>
      </c>
    </row>
    <row r="28" spans="1:4">
      <c r="B28" t="s">
        <v>7</v>
      </c>
      <c r="D28" t="s">
        <v>81</v>
      </c>
    </row>
    <row r="29" spans="1:4">
      <c r="B29">
        <v>21</v>
      </c>
      <c r="C29">
        <f>(7.8594*A22)+26.226</f>
        <v>191.27340000000001</v>
      </c>
      <c r="D29" s="130">
        <f>ROUNDUP(C29,0)</f>
        <v>192</v>
      </c>
    </row>
    <row r="30" spans="1:4">
      <c r="B30">
        <v>22</v>
      </c>
      <c r="C30">
        <f>(7.8594*A23)+26.226</f>
        <v>199.1328</v>
      </c>
      <c r="D30" s="130">
        <f t="shared" ref="D30:D33" si="2">ROUNDUP(C30,0)</f>
        <v>200</v>
      </c>
    </row>
    <row r="31" spans="1:4">
      <c r="B31">
        <v>23</v>
      </c>
      <c r="C31">
        <f>(7.8594*A24)+26.226</f>
        <v>206.9922</v>
      </c>
      <c r="D31" s="130">
        <f t="shared" si="2"/>
        <v>207</v>
      </c>
    </row>
    <row r="32" spans="1:4">
      <c r="B32">
        <v>24</v>
      </c>
      <c r="C32">
        <f>(7.8594*A25)+26.226</f>
        <v>214.85159999999999</v>
      </c>
      <c r="D32" s="130">
        <f t="shared" si="2"/>
        <v>215</v>
      </c>
    </row>
    <row r="33" spans="2:4">
      <c r="B33">
        <v>25</v>
      </c>
      <c r="C33">
        <f>(7.8594*A26)+26.226</f>
        <v>222.71099999999998</v>
      </c>
      <c r="D33" s="130">
        <f t="shared" si="2"/>
        <v>223</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2:J33"/>
  <sheetViews>
    <sheetView workbookViewId="0">
      <selection activeCell="J21" sqref="J21"/>
    </sheetView>
  </sheetViews>
  <sheetFormatPr baseColWidth="10" defaultRowHeight="15" x14ac:dyDescent="0"/>
  <cols>
    <col min="1" max="1" width="17" customWidth="1"/>
    <col min="9" max="9" width="17.83203125" bestFit="1" customWidth="1"/>
  </cols>
  <sheetData>
    <row r="2" spans="1:10">
      <c r="A2" s="6" t="s">
        <v>29</v>
      </c>
      <c r="B2" s="7"/>
      <c r="G2" s="5"/>
      <c r="I2" s="2" t="s">
        <v>20</v>
      </c>
      <c r="J2">
        <v>36</v>
      </c>
    </row>
    <row r="3" spans="1:10">
      <c r="A3" s="3" t="s">
        <v>9</v>
      </c>
      <c r="B3" s="11">
        <v>21</v>
      </c>
      <c r="C3" s="11">
        <v>22</v>
      </c>
      <c r="D3" s="11">
        <v>23</v>
      </c>
      <c r="E3" s="11">
        <v>24</v>
      </c>
      <c r="F3" s="11">
        <v>25</v>
      </c>
      <c r="G3" s="11" t="s">
        <v>19</v>
      </c>
      <c r="H3" s="11" t="s">
        <v>32</v>
      </c>
      <c r="I3" s="2" t="s">
        <v>21</v>
      </c>
      <c r="J3">
        <v>14</v>
      </c>
    </row>
    <row r="4" spans="1:10">
      <c r="A4" s="3" t="s">
        <v>34</v>
      </c>
      <c r="B4" s="4">
        <v>0</v>
      </c>
      <c r="C4" s="4">
        <f>B11</f>
        <v>16</v>
      </c>
      <c r="D4" s="4">
        <f>C11</f>
        <v>24</v>
      </c>
      <c r="E4" s="4">
        <f>D11</f>
        <v>25</v>
      </c>
      <c r="F4" s="4">
        <f>E11</f>
        <v>18</v>
      </c>
      <c r="G4" s="4"/>
      <c r="H4" s="4"/>
      <c r="I4" s="2" t="s">
        <v>22</v>
      </c>
      <c r="J4">
        <v>43</v>
      </c>
    </row>
    <row r="5" spans="1:10">
      <c r="A5" s="3" t="s">
        <v>11</v>
      </c>
      <c r="B5" s="4">
        <f>ROUNDUP(AVERAGE(($B$6:$F$6)),0)</f>
        <v>208</v>
      </c>
      <c r="C5" s="4">
        <f t="shared" ref="C5:F5" si="0">ROUNDUP(AVERAGE(($B$6:$F$6)),0)</f>
        <v>208</v>
      </c>
      <c r="D5" s="4">
        <f t="shared" si="0"/>
        <v>208</v>
      </c>
      <c r="E5" s="4">
        <f t="shared" si="0"/>
        <v>208</v>
      </c>
      <c r="F5" s="4">
        <f t="shared" si="0"/>
        <v>208</v>
      </c>
      <c r="G5" s="4">
        <f>SUM(B5:F5)</f>
        <v>1040</v>
      </c>
      <c r="H5" s="4">
        <f>G5*J2</f>
        <v>37440</v>
      </c>
      <c r="I5" s="2" t="s">
        <v>23</v>
      </c>
      <c r="J5">
        <v>30</v>
      </c>
    </row>
    <row r="6" spans="1:10">
      <c r="A6" s="3" t="s">
        <v>12</v>
      </c>
      <c r="B6" s="4">
        <v>192</v>
      </c>
      <c r="C6" s="4">
        <v>200</v>
      </c>
      <c r="D6" s="4">
        <v>207</v>
      </c>
      <c r="E6" s="4">
        <v>215</v>
      </c>
      <c r="F6" s="4">
        <v>223</v>
      </c>
      <c r="G6" s="4"/>
      <c r="H6" s="4"/>
      <c r="I6" s="2" t="s">
        <v>24</v>
      </c>
      <c r="J6">
        <v>2000</v>
      </c>
    </row>
    <row r="7" spans="1:10">
      <c r="A7" s="3" t="s">
        <v>13</v>
      </c>
      <c r="B7" s="4">
        <v>11</v>
      </c>
      <c r="C7" s="4">
        <v>11</v>
      </c>
      <c r="D7" s="4">
        <v>11</v>
      </c>
      <c r="E7" s="4">
        <v>11</v>
      </c>
      <c r="F7" s="4">
        <v>11</v>
      </c>
      <c r="G7" s="4">
        <f>SUM(B7:F7)</f>
        <v>55</v>
      </c>
      <c r="H7" s="4"/>
      <c r="I7" s="2" t="s">
        <v>28</v>
      </c>
      <c r="J7">
        <v>1500</v>
      </c>
    </row>
    <row r="8" spans="1:10">
      <c r="A8" s="3" t="s">
        <v>14</v>
      </c>
      <c r="B8" s="4">
        <v>2</v>
      </c>
      <c r="C8" s="4">
        <v>11</v>
      </c>
      <c r="D8" s="4">
        <v>11</v>
      </c>
      <c r="E8" s="4">
        <v>11</v>
      </c>
      <c r="F8" s="4">
        <v>11</v>
      </c>
      <c r="G8" s="4"/>
      <c r="H8" s="4"/>
      <c r="I8" s="2" t="s">
        <v>10</v>
      </c>
      <c r="J8">
        <v>0</v>
      </c>
    </row>
    <row r="9" spans="1:10">
      <c r="A9" s="3" t="s">
        <v>15</v>
      </c>
      <c r="B9" s="4">
        <v>9</v>
      </c>
      <c r="C9" s="4">
        <v>0</v>
      </c>
      <c r="D9" s="4">
        <v>0</v>
      </c>
      <c r="E9" s="4">
        <v>0</v>
      </c>
      <c r="F9" s="4">
        <v>0</v>
      </c>
      <c r="G9" s="4">
        <f>SUM(B9:F9)</f>
        <v>9</v>
      </c>
      <c r="H9" s="4">
        <f>G9*J6</f>
        <v>18000</v>
      </c>
      <c r="I9" s="2" t="s">
        <v>25</v>
      </c>
      <c r="J9">
        <v>20</v>
      </c>
    </row>
    <row r="10" spans="1:10">
      <c r="A10" s="3" t="s">
        <v>16</v>
      </c>
      <c r="B10" s="4">
        <v>0</v>
      </c>
      <c r="C10" s="4">
        <v>0</v>
      </c>
      <c r="D10" s="4">
        <v>0</v>
      </c>
      <c r="E10" s="4">
        <v>0</v>
      </c>
      <c r="F10" s="4">
        <v>0</v>
      </c>
      <c r="G10" s="4">
        <f>SUM(B10:F10)</f>
        <v>0</v>
      </c>
      <c r="H10" s="4">
        <f>G10*J7</f>
        <v>0</v>
      </c>
      <c r="I10" s="2" t="s">
        <v>26</v>
      </c>
      <c r="J10">
        <v>2</v>
      </c>
    </row>
    <row r="11" spans="1:10">
      <c r="A11" s="3" t="s">
        <v>35</v>
      </c>
      <c r="B11" s="4">
        <f>B5-B6</f>
        <v>16</v>
      </c>
      <c r="C11" s="4">
        <f>C4+(C5-C6)</f>
        <v>24</v>
      </c>
      <c r="D11" s="4">
        <f>D4+(D5-D6)</f>
        <v>25</v>
      </c>
      <c r="E11" s="4">
        <f>E4-(E6-E5)</f>
        <v>18</v>
      </c>
      <c r="F11" s="4">
        <f>F4-(F6-F5)</f>
        <v>3</v>
      </c>
      <c r="G11" s="4"/>
      <c r="H11" s="4"/>
    </row>
    <row r="12" spans="1:10">
      <c r="A12" s="3" t="s">
        <v>17</v>
      </c>
      <c r="B12" s="4">
        <v>0</v>
      </c>
      <c r="C12" s="4">
        <v>0</v>
      </c>
      <c r="D12" s="4">
        <v>0</v>
      </c>
      <c r="E12" s="4">
        <v>0</v>
      </c>
      <c r="F12" s="4">
        <v>0</v>
      </c>
      <c r="G12" s="4">
        <f>SUM(B12:F12)</f>
        <v>0</v>
      </c>
      <c r="H12" s="4">
        <f>G12*J4</f>
        <v>0</v>
      </c>
      <c r="I12" s="2" t="s">
        <v>31</v>
      </c>
      <c r="J12">
        <f>480*5*5*11</f>
        <v>132000</v>
      </c>
    </row>
    <row r="13" spans="1:10">
      <c r="A13" s="11" t="s">
        <v>37</v>
      </c>
      <c r="B13" s="4">
        <v>0</v>
      </c>
      <c r="C13" s="4">
        <v>0</v>
      </c>
      <c r="D13" s="4">
        <v>0</v>
      </c>
      <c r="E13" s="4">
        <v>0</v>
      </c>
      <c r="F13" s="4">
        <v>0</v>
      </c>
      <c r="G13" s="4">
        <v>0</v>
      </c>
      <c r="H13" s="4">
        <v>0</v>
      </c>
      <c r="I13" s="2" t="s">
        <v>30</v>
      </c>
      <c r="J13">
        <f>J9*G7</f>
        <v>1100</v>
      </c>
    </row>
    <row r="14" spans="1:10">
      <c r="A14" s="3" t="s">
        <v>36</v>
      </c>
      <c r="B14" s="4">
        <f>AVERAGE(B4,B11)</f>
        <v>8</v>
      </c>
      <c r="C14" s="4">
        <f>AVERAGE(C4,C11)</f>
        <v>20</v>
      </c>
      <c r="D14" s="4">
        <f>AVERAGE(D4,D11)</f>
        <v>24.5</v>
      </c>
      <c r="E14" s="4">
        <f>AVERAGE(E4,E11)</f>
        <v>21.5</v>
      </c>
      <c r="F14" s="4">
        <f>AVERAGE(F4,F11)</f>
        <v>10.5</v>
      </c>
      <c r="G14" s="4">
        <f>SUM(B14:F14)</f>
        <v>84.5</v>
      </c>
      <c r="H14" s="4">
        <f>G14*J3</f>
        <v>1183</v>
      </c>
    </row>
    <row r="15" spans="1:10">
      <c r="A15" s="3" t="s">
        <v>18</v>
      </c>
      <c r="B15" s="4">
        <f>220-B5</f>
        <v>12</v>
      </c>
      <c r="C15" s="4">
        <f>220-C5</f>
        <v>12</v>
      </c>
      <c r="D15" s="4">
        <f>220-D5</f>
        <v>12</v>
      </c>
      <c r="E15" s="4">
        <f t="shared" ref="E15:F15" si="1">220-E5</f>
        <v>12</v>
      </c>
      <c r="F15" s="4">
        <f t="shared" si="1"/>
        <v>12</v>
      </c>
      <c r="G15" s="4">
        <f>SUM(B15:F15)</f>
        <v>60</v>
      </c>
      <c r="H15" s="4">
        <f>G15*J5</f>
        <v>1800</v>
      </c>
      <c r="I15" s="2" t="s">
        <v>27</v>
      </c>
      <c r="J15">
        <f>J12/J13</f>
        <v>120</v>
      </c>
    </row>
    <row r="16" spans="1:10" ht="23">
      <c r="A16" s="8" t="s">
        <v>19</v>
      </c>
      <c r="B16" s="6"/>
      <c r="C16" s="10"/>
      <c r="D16" s="10"/>
      <c r="E16" s="10"/>
      <c r="F16" s="7"/>
      <c r="G16" s="7"/>
      <c r="H16" s="49">
        <f>SUM(H4:H15)</f>
        <v>58423</v>
      </c>
      <c r="I16" s="110" t="s">
        <v>133</v>
      </c>
    </row>
    <row r="19" spans="1:8">
      <c r="A19" s="12" t="s">
        <v>33</v>
      </c>
      <c r="B19" s="13"/>
    </row>
    <row r="20" spans="1:8">
      <c r="A20" s="3" t="s">
        <v>9</v>
      </c>
      <c r="B20" s="11">
        <v>21</v>
      </c>
      <c r="C20" s="11">
        <v>22</v>
      </c>
      <c r="D20" s="11">
        <v>23</v>
      </c>
      <c r="E20" s="11">
        <v>24</v>
      </c>
      <c r="F20" s="11">
        <v>25</v>
      </c>
      <c r="G20" s="11" t="s">
        <v>19</v>
      </c>
      <c r="H20" s="11" t="s">
        <v>32</v>
      </c>
    </row>
    <row r="21" spans="1:8">
      <c r="A21" s="3" t="s">
        <v>34</v>
      </c>
      <c r="B21" s="4">
        <v>0</v>
      </c>
      <c r="C21" s="4">
        <v>0</v>
      </c>
      <c r="D21" s="4">
        <v>0</v>
      </c>
      <c r="E21" s="4">
        <v>0</v>
      </c>
      <c r="F21" s="4">
        <v>0</v>
      </c>
      <c r="G21" s="4"/>
      <c r="H21" s="4"/>
    </row>
    <row r="22" spans="1:8">
      <c r="A22" s="3" t="s">
        <v>11</v>
      </c>
      <c r="B22" s="4">
        <f>B23</f>
        <v>192</v>
      </c>
      <c r="C22" s="4">
        <f t="shared" ref="C22:F22" si="2">C23</f>
        <v>200</v>
      </c>
      <c r="D22" s="4">
        <f t="shared" si="2"/>
        <v>207</v>
      </c>
      <c r="E22" s="4">
        <f t="shared" si="2"/>
        <v>215</v>
      </c>
      <c r="F22" s="4">
        <f t="shared" si="2"/>
        <v>223</v>
      </c>
      <c r="G22" s="4">
        <f>SUM(B22:F22)</f>
        <v>1037</v>
      </c>
      <c r="H22" s="4">
        <f>G22*J2</f>
        <v>37332</v>
      </c>
    </row>
    <row r="23" spans="1:8">
      <c r="A23" s="3" t="s">
        <v>12</v>
      </c>
      <c r="B23" s="4">
        <v>192</v>
      </c>
      <c r="C23" s="4">
        <v>200</v>
      </c>
      <c r="D23" s="4">
        <v>207</v>
      </c>
      <c r="E23" s="4">
        <v>215</v>
      </c>
      <c r="F23" s="4">
        <v>223</v>
      </c>
      <c r="G23" s="4"/>
      <c r="H23" s="4"/>
    </row>
    <row r="24" spans="1:8">
      <c r="A24" s="3" t="s">
        <v>13</v>
      </c>
      <c r="B24" s="4">
        <v>10</v>
      </c>
      <c r="C24" s="4">
        <v>10</v>
      </c>
      <c r="D24" s="4">
        <v>11</v>
      </c>
      <c r="E24" s="4">
        <v>12</v>
      </c>
      <c r="F24" s="4">
        <v>13</v>
      </c>
      <c r="G24" s="4"/>
      <c r="H24" s="4"/>
    </row>
    <row r="25" spans="1:8">
      <c r="A25" s="3" t="s">
        <v>14</v>
      </c>
      <c r="B25" s="4">
        <v>2</v>
      </c>
      <c r="C25" s="4">
        <v>10</v>
      </c>
      <c r="D25" s="4">
        <v>10</v>
      </c>
      <c r="E25" s="4">
        <v>11</v>
      </c>
      <c r="F25" s="4">
        <v>12</v>
      </c>
      <c r="G25" s="4"/>
      <c r="H25" s="4"/>
    </row>
    <row r="26" spans="1:8">
      <c r="A26" s="3" t="s">
        <v>15</v>
      </c>
      <c r="B26" s="4">
        <v>8</v>
      </c>
      <c r="C26" s="4">
        <v>0</v>
      </c>
      <c r="D26" s="4">
        <v>1</v>
      </c>
      <c r="E26" s="4">
        <v>1</v>
      </c>
      <c r="F26" s="4">
        <v>1</v>
      </c>
      <c r="G26" s="4">
        <f>SUM(B26:F26)</f>
        <v>11</v>
      </c>
      <c r="H26" s="4">
        <f>G26*J6</f>
        <v>22000</v>
      </c>
    </row>
    <row r="27" spans="1:8">
      <c r="A27" s="3" t="s">
        <v>16</v>
      </c>
      <c r="B27" s="4">
        <v>0</v>
      </c>
      <c r="C27" s="4">
        <v>0</v>
      </c>
      <c r="D27" s="4">
        <v>0</v>
      </c>
      <c r="E27" s="4">
        <v>0</v>
      </c>
      <c r="F27" s="4">
        <v>0</v>
      </c>
      <c r="G27" s="4">
        <f t="shared" ref="G27:G32" si="3">SUM(B27:F27)</f>
        <v>0</v>
      </c>
      <c r="H27" s="4">
        <f>G27*J7</f>
        <v>0</v>
      </c>
    </row>
    <row r="28" spans="1:8">
      <c r="A28" s="3" t="s">
        <v>35</v>
      </c>
      <c r="B28" s="4">
        <v>0</v>
      </c>
      <c r="C28" s="4">
        <v>0</v>
      </c>
      <c r="D28" s="4">
        <v>0</v>
      </c>
      <c r="E28" s="4">
        <v>0</v>
      </c>
      <c r="F28" s="4">
        <v>0</v>
      </c>
      <c r="G28" s="4">
        <f t="shared" si="3"/>
        <v>0</v>
      </c>
      <c r="H28" s="4"/>
    </row>
    <row r="29" spans="1:8">
      <c r="A29" s="3" t="s">
        <v>17</v>
      </c>
      <c r="B29" s="4">
        <v>0</v>
      </c>
      <c r="C29" s="4">
        <v>0</v>
      </c>
      <c r="D29" s="4">
        <v>0</v>
      </c>
      <c r="E29" s="4">
        <v>0</v>
      </c>
      <c r="F29" s="4">
        <v>0</v>
      </c>
      <c r="G29" s="4"/>
      <c r="H29" s="4"/>
    </row>
    <row r="30" spans="1:8">
      <c r="A30" s="15" t="s">
        <v>37</v>
      </c>
      <c r="B30" s="4">
        <v>0</v>
      </c>
      <c r="C30" s="4">
        <v>0</v>
      </c>
      <c r="D30" s="4">
        <v>0</v>
      </c>
      <c r="E30" s="4">
        <v>0</v>
      </c>
      <c r="F30" s="4">
        <v>0</v>
      </c>
      <c r="G30" s="4"/>
      <c r="H30" s="4"/>
    </row>
    <row r="31" spans="1:8">
      <c r="A31" s="3" t="s">
        <v>18</v>
      </c>
      <c r="B31" s="4">
        <v>8</v>
      </c>
      <c r="C31" s="4">
        <v>0</v>
      </c>
      <c r="D31" s="4">
        <v>3</v>
      </c>
      <c r="E31" s="4">
        <v>5</v>
      </c>
      <c r="F31" s="4">
        <v>7</v>
      </c>
      <c r="G31" s="4">
        <f t="shared" si="3"/>
        <v>23</v>
      </c>
      <c r="H31" s="4">
        <f>G31*J5</f>
        <v>690</v>
      </c>
    </row>
    <row r="32" spans="1:8">
      <c r="A32" s="14" t="s">
        <v>36</v>
      </c>
      <c r="B32" s="9">
        <f>AVERAGE(B28,B21)</f>
        <v>0</v>
      </c>
      <c r="C32" s="9">
        <f t="shared" ref="C32:F32" si="4">AVERAGE(C28,C21)</f>
        <v>0</v>
      </c>
      <c r="D32" s="9">
        <f t="shared" si="4"/>
        <v>0</v>
      </c>
      <c r="E32" s="9">
        <f t="shared" si="4"/>
        <v>0</v>
      </c>
      <c r="F32" s="9">
        <f t="shared" si="4"/>
        <v>0</v>
      </c>
      <c r="G32" s="4">
        <f t="shared" si="3"/>
        <v>0</v>
      </c>
      <c r="H32" s="4"/>
    </row>
    <row r="33" spans="1:8" ht="23">
      <c r="A33" s="8" t="s">
        <v>19</v>
      </c>
      <c r="B33" s="10"/>
      <c r="C33" s="10"/>
      <c r="D33" s="10"/>
      <c r="E33" s="10"/>
      <c r="F33" s="7"/>
      <c r="G33" s="7"/>
      <c r="H33" s="50">
        <f>SUM(H22:H32)</f>
        <v>60022</v>
      </c>
    </row>
  </sheetData>
  <pageMargins left="0.75" right="0.75" top="1" bottom="1" header="0.5" footer="0.5"/>
  <pageSetup orientation="portrait" horizontalDpi="4294967292" verticalDpi="4294967292"/>
  <ignoredErrors>
    <ignoredError sqref="H16" emptyCellReference="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N30"/>
  <sheetViews>
    <sheetView workbookViewId="0">
      <selection activeCell="F39" sqref="F39"/>
    </sheetView>
  </sheetViews>
  <sheetFormatPr baseColWidth="10" defaultRowHeight="15" x14ac:dyDescent="0"/>
  <cols>
    <col min="1" max="1" width="13.83203125" bestFit="1" customWidth="1"/>
    <col min="8" max="8" width="31" bestFit="1" customWidth="1"/>
    <col min="9" max="9" width="9.6640625" customWidth="1"/>
    <col min="10" max="10" width="13.6640625" bestFit="1" customWidth="1"/>
    <col min="11" max="11" width="12.83203125" bestFit="1" customWidth="1"/>
    <col min="12" max="12" width="9.83203125" customWidth="1"/>
    <col min="13" max="14" width="17.1640625" bestFit="1" customWidth="1"/>
    <col min="15" max="15" width="8.6640625" bestFit="1" customWidth="1"/>
  </cols>
  <sheetData>
    <row r="1" spans="1:9">
      <c r="A1" t="s">
        <v>1</v>
      </c>
      <c r="B1" t="s">
        <v>0</v>
      </c>
      <c r="C1" t="s">
        <v>38</v>
      </c>
      <c r="D1" t="s">
        <v>39</v>
      </c>
      <c r="E1" t="s">
        <v>77</v>
      </c>
      <c r="F1" t="s">
        <v>78</v>
      </c>
      <c r="H1" s="29" t="s">
        <v>40</v>
      </c>
      <c r="I1" s="30">
        <v>18</v>
      </c>
    </row>
    <row r="2" spans="1:9">
      <c r="A2">
        <v>3</v>
      </c>
      <c r="B2">
        <v>79</v>
      </c>
      <c r="C2">
        <v>42</v>
      </c>
      <c r="D2">
        <v>26</v>
      </c>
      <c r="H2" s="18" t="s">
        <v>41</v>
      </c>
      <c r="I2" s="24">
        <v>18</v>
      </c>
    </row>
    <row r="3" spans="1:9">
      <c r="A3">
        <v>4</v>
      </c>
      <c r="B3">
        <v>58</v>
      </c>
      <c r="C3">
        <v>79</v>
      </c>
      <c r="D3">
        <v>42</v>
      </c>
      <c r="H3" s="18" t="s">
        <v>42</v>
      </c>
      <c r="I3" s="24">
        <v>15</v>
      </c>
    </row>
    <row r="4" spans="1:9">
      <c r="A4">
        <v>5</v>
      </c>
      <c r="B4">
        <v>66</v>
      </c>
      <c r="C4">
        <v>58</v>
      </c>
      <c r="D4">
        <v>79</v>
      </c>
      <c r="H4" s="18" t="s">
        <v>43</v>
      </c>
      <c r="I4" s="24">
        <v>0.91405777391834342</v>
      </c>
    </row>
    <row r="5" spans="1:9">
      <c r="A5">
        <v>6</v>
      </c>
      <c r="B5">
        <v>66</v>
      </c>
      <c r="C5">
        <v>66</v>
      </c>
      <c r="D5">
        <v>58</v>
      </c>
      <c r="H5" s="18" t="s">
        <v>44</v>
      </c>
      <c r="I5" s="24">
        <v>0.90259881044078916</v>
      </c>
    </row>
    <row r="6" spans="1:9">
      <c r="A6">
        <v>7</v>
      </c>
      <c r="B6">
        <v>61</v>
      </c>
      <c r="C6">
        <v>66</v>
      </c>
      <c r="D6">
        <v>66</v>
      </c>
      <c r="H6" s="18" t="s">
        <v>45</v>
      </c>
      <c r="I6" s="24">
        <v>173.79205127778499</v>
      </c>
    </row>
    <row r="7" spans="1:9">
      <c r="A7">
        <v>8</v>
      </c>
      <c r="B7">
        <v>77</v>
      </c>
      <c r="C7">
        <v>61</v>
      </c>
      <c r="D7">
        <v>66</v>
      </c>
      <c r="H7" s="18" t="s">
        <v>46</v>
      </c>
      <c r="I7" s="24">
        <v>13.183021325848829</v>
      </c>
    </row>
    <row r="8" spans="1:9">
      <c r="A8">
        <v>9</v>
      </c>
      <c r="B8">
        <v>107</v>
      </c>
      <c r="C8">
        <v>77</v>
      </c>
      <c r="D8">
        <v>61</v>
      </c>
      <c r="H8" s="18" t="s">
        <v>47</v>
      </c>
      <c r="I8" s="24">
        <v>10.511627795302225</v>
      </c>
    </row>
    <row r="9" spans="1:9">
      <c r="A9">
        <v>10</v>
      </c>
      <c r="B9">
        <v>112</v>
      </c>
      <c r="C9">
        <v>107</v>
      </c>
      <c r="D9">
        <v>77</v>
      </c>
      <c r="E9">
        <f t="shared" ref="E9:E19" si="0">$E$23+$E$24*B8+$E$25*B7</f>
        <v>111.24427269484866</v>
      </c>
      <c r="F9">
        <f>ABS(B9-E9)</f>
        <v>0.75572730515133912</v>
      </c>
      <c r="H9" s="18" t="s">
        <v>48</v>
      </c>
      <c r="I9" s="24">
        <v>1.881533379576436</v>
      </c>
    </row>
    <row r="10" spans="1:9">
      <c r="A10">
        <v>11</v>
      </c>
      <c r="B10">
        <v>115</v>
      </c>
      <c r="C10">
        <v>112</v>
      </c>
      <c r="D10">
        <v>107</v>
      </c>
      <c r="E10">
        <f t="shared" si="0"/>
        <v>120.65930288661689</v>
      </c>
      <c r="F10">
        <f t="shared" ref="F10:F19" si="1">ABS(B10-E10)</f>
        <v>5.6593028866168851</v>
      </c>
      <c r="H10" s="18" t="s">
        <v>49</v>
      </c>
      <c r="I10" s="24">
        <v>3</v>
      </c>
    </row>
    <row r="11" spans="1:9">
      <c r="A11">
        <v>12</v>
      </c>
      <c r="B11">
        <v>116</v>
      </c>
      <c r="C11">
        <v>115</v>
      </c>
      <c r="D11">
        <v>112</v>
      </c>
      <c r="E11">
        <f t="shared" si="0"/>
        <v>123.9353377849113</v>
      </c>
      <c r="F11">
        <f t="shared" si="1"/>
        <v>7.9353377849112974</v>
      </c>
      <c r="H11" s="18" t="s">
        <v>50</v>
      </c>
      <c r="I11" s="24">
        <v>95.559682561999026</v>
      </c>
    </row>
    <row r="12" spans="1:9">
      <c r="A12">
        <v>13</v>
      </c>
      <c r="B12">
        <v>125</v>
      </c>
      <c r="C12">
        <v>116</v>
      </c>
      <c r="D12">
        <v>115</v>
      </c>
      <c r="E12">
        <f t="shared" si="0"/>
        <v>125.27073231170343</v>
      </c>
      <c r="F12">
        <f t="shared" si="1"/>
        <v>0.27073231170342638</v>
      </c>
      <c r="H12" s="18" t="s">
        <v>51</v>
      </c>
      <c r="I12" s="24">
        <v>98.230797835687525</v>
      </c>
    </row>
    <row r="13" spans="1:9" ht="16" thickBot="1">
      <c r="A13">
        <v>14</v>
      </c>
      <c r="B13">
        <v>138</v>
      </c>
      <c r="C13">
        <v>125</v>
      </c>
      <c r="D13">
        <v>116</v>
      </c>
      <c r="E13">
        <f t="shared" si="0"/>
        <v>132.54331661929967</v>
      </c>
      <c r="F13">
        <f t="shared" si="1"/>
        <v>5.4566833807003263</v>
      </c>
      <c r="H13" s="21" t="s">
        <v>52</v>
      </c>
      <c r="I13" s="25">
        <v>0.12031911651431927</v>
      </c>
    </row>
    <row r="14" spans="1:9">
      <c r="A14">
        <v>15</v>
      </c>
      <c r="B14">
        <v>147</v>
      </c>
      <c r="C14">
        <v>138</v>
      </c>
      <c r="D14">
        <v>125</v>
      </c>
      <c r="E14">
        <f t="shared" si="0"/>
        <v>144.42733035198245</v>
      </c>
      <c r="F14">
        <f t="shared" si="1"/>
        <v>2.5726696480175519</v>
      </c>
    </row>
    <row r="15" spans="1:9">
      <c r="A15">
        <v>16</v>
      </c>
      <c r="B15">
        <v>150</v>
      </c>
      <c r="C15">
        <v>147</v>
      </c>
      <c r="D15">
        <v>138</v>
      </c>
      <c r="E15">
        <f t="shared" si="0"/>
        <v>153.89036070582469</v>
      </c>
      <c r="F15">
        <f t="shared" si="1"/>
        <v>3.8903607058246905</v>
      </c>
    </row>
    <row r="16" spans="1:9">
      <c r="A16">
        <v>17</v>
      </c>
      <c r="B16">
        <v>161</v>
      </c>
      <c r="C16">
        <v>150</v>
      </c>
      <c r="D16">
        <v>147</v>
      </c>
      <c r="E16">
        <f t="shared" si="0"/>
        <v>157.89654428620111</v>
      </c>
      <c r="F16">
        <f t="shared" si="1"/>
        <v>3.1034557137988941</v>
      </c>
      <c r="H16" s="16" t="s">
        <v>70</v>
      </c>
    </row>
    <row r="17" spans="1:14" ht="16" thickBot="1">
      <c r="A17">
        <v>18</v>
      </c>
      <c r="B17">
        <v>162</v>
      </c>
      <c r="C17">
        <v>161</v>
      </c>
      <c r="D17">
        <v>150</v>
      </c>
      <c r="E17">
        <f t="shared" si="0"/>
        <v>167.10976896529962</v>
      </c>
      <c r="F17">
        <f t="shared" si="1"/>
        <v>5.1097689652996223</v>
      </c>
    </row>
    <row r="18" spans="1:14">
      <c r="A18">
        <v>19</v>
      </c>
      <c r="B18">
        <v>179</v>
      </c>
      <c r="C18">
        <v>162</v>
      </c>
      <c r="D18">
        <v>161</v>
      </c>
      <c r="E18">
        <f t="shared" si="0"/>
        <v>169.90546085625579</v>
      </c>
      <c r="F18">
        <f t="shared" si="1"/>
        <v>9.094539143744214</v>
      </c>
      <c r="H18" s="19" t="s">
        <v>53</v>
      </c>
      <c r="I18" s="20" t="s">
        <v>42</v>
      </c>
      <c r="J18" s="20" t="s">
        <v>54</v>
      </c>
      <c r="K18" s="20" t="s">
        <v>55</v>
      </c>
      <c r="L18" s="20" t="s">
        <v>56</v>
      </c>
      <c r="M18" s="20" t="s">
        <v>57</v>
      </c>
    </row>
    <row r="19" spans="1:14">
      <c r="A19">
        <v>20</v>
      </c>
      <c r="B19">
        <v>188</v>
      </c>
      <c r="C19">
        <v>179</v>
      </c>
      <c r="D19">
        <v>162</v>
      </c>
      <c r="E19">
        <f t="shared" si="0"/>
        <v>183.48030928569705</v>
      </c>
      <c r="F19">
        <f t="shared" si="1"/>
        <v>4.5196907143029534</v>
      </c>
      <c r="H19" s="26" t="s">
        <v>58</v>
      </c>
      <c r="I19" s="31">
        <v>2</v>
      </c>
      <c r="J19" s="27">
        <v>27726.06367527767</v>
      </c>
      <c r="K19" s="27">
        <v>13863.031837638835</v>
      </c>
      <c r="L19" s="27">
        <v>79.767928024973372</v>
      </c>
      <c r="M19" s="32" t="s">
        <v>61</v>
      </c>
    </row>
    <row r="20" spans="1:14">
      <c r="E20" t="s">
        <v>76</v>
      </c>
      <c r="F20">
        <f>SUM(F9:F19)/10</f>
        <v>4.8368268560071197</v>
      </c>
      <c r="H20" s="18" t="s">
        <v>59</v>
      </c>
      <c r="I20" s="22">
        <v>15</v>
      </c>
      <c r="J20" s="24">
        <v>2606.8807691667748</v>
      </c>
      <c r="K20" s="24">
        <v>173.79205127778499</v>
      </c>
      <c r="L20" s="24"/>
      <c r="M20" s="24"/>
    </row>
    <row r="21" spans="1:14" ht="16" thickBot="1">
      <c r="A21" t="s">
        <v>79</v>
      </c>
      <c r="H21" s="21" t="s">
        <v>60</v>
      </c>
      <c r="I21" s="23">
        <v>17</v>
      </c>
      <c r="J21" s="25">
        <v>30332.944444444445</v>
      </c>
      <c r="K21" s="25"/>
      <c r="L21" s="25"/>
      <c r="M21" s="25"/>
    </row>
    <row r="22" spans="1:14">
      <c r="A22">
        <v>21</v>
      </c>
      <c r="B22">
        <f>$E$23+$E$24*B19+$E$25*B18</f>
        <v>193.67348832162131</v>
      </c>
      <c r="H22" s="33" t="s">
        <v>62</v>
      </c>
    </row>
    <row r="23" spans="1:14">
      <c r="A23">
        <v>22</v>
      </c>
      <c r="B23">
        <f>$E$23+$E$24*B22+$E$25*B19</f>
        <v>199.78580059318847</v>
      </c>
      <c r="D23" s="26" t="s">
        <v>72</v>
      </c>
      <c r="E23" s="27">
        <v>12.896127935092014</v>
      </c>
    </row>
    <row r="24" spans="1:14">
      <c r="A24">
        <v>23</v>
      </c>
      <c r="B24">
        <f>$E$23+$E$24*B23+$E$25*B22</f>
        <v>205.63659888972472</v>
      </c>
      <c r="D24" s="18" t="s">
        <v>73</v>
      </c>
      <c r="E24" s="24">
        <v>0.78778301523063587</v>
      </c>
    </row>
    <row r="25" spans="1:14" ht="16" thickBot="1">
      <c r="A25">
        <v>24</v>
      </c>
      <c r="B25">
        <f>$E$23+$E$24*B24+$E$25*B23</f>
        <v>211.36148260066591</v>
      </c>
      <c r="D25" s="21" t="s">
        <v>74</v>
      </c>
      <c r="E25" s="25">
        <v>0.18253717052050142</v>
      </c>
      <c r="H25" s="16" t="s">
        <v>71</v>
      </c>
    </row>
    <row r="26" spans="1:14" ht="16" thickBot="1">
      <c r="A26">
        <v>25</v>
      </c>
      <c r="B26">
        <f>$E$23+$E$24*B25+$E$25*B24</f>
        <v>216.93943691865181</v>
      </c>
    </row>
    <row r="27" spans="1:14">
      <c r="D27" s="34" t="s">
        <v>75</v>
      </c>
      <c r="H27" s="19" t="s">
        <v>53</v>
      </c>
      <c r="I27" s="20" t="s">
        <v>63</v>
      </c>
      <c r="J27" s="20" t="s">
        <v>64</v>
      </c>
      <c r="K27" s="20" t="s">
        <v>65</v>
      </c>
      <c r="L27" s="20" t="s">
        <v>66</v>
      </c>
      <c r="M27" s="20" t="s">
        <v>67</v>
      </c>
      <c r="N27" s="20" t="s">
        <v>68</v>
      </c>
    </row>
    <row r="28" spans="1:14">
      <c r="H28" s="26" t="s">
        <v>69</v>
      </c>
      <c r="I28" s="27">
        <v>12.896127935092014</v>
      </c>
      <c r="J28" s="27">
        <v>8.9627556879137185</v>
      </c>
      <c r="K28" s="27">
        <v>1.4388574657326039</v>
      </c>
      <c r="L28" s="27">
        <v>0.17073030099542547</v>
      </c>
      <c r="M28" s="27">
        <v>-6.2075335937028235</v>
      </c>
      <c r="N28" s="27">
        <v>31.999789463886852</v>
      </c>
    </row>
    <row r="29" spans="1:14">
      <c r="D29" s="34" t="s">
        <v>80</v>
      </c>
      <c r="H29" s="18" t="s">
        <v>38</v>
      </c>
      <c r="I29" s="24">
        <v>0.78778301523063587</v>
      </c>
      <c r="J29" s="24">
        <v>0.25381737395001353</v>
      </c>
      <c r="K29" s="24">
        <v>3.1037395233069462</v>
      </c>
      <c r="L29" s="28">
        <v>7.2615472894044242E-3</v>
      </c>
      <c r="M29" s="24">
        <v>0.24678408912945116</v>
      </c>
      <c r="N29" s="24">
        <v>1.3287819413318207</v>
      </c>
    </row>
    <row r="30" spans="1:14" ht="16" thickBot="1">
      <c r="H30" s="21" t="s">
        <v>39</v>
      </c>
      <c r="I30" s="25">
        <v>0.18253717052050142</v>
      </c>
      <c r="J30" s="25">
        <v>0.25100036290590488</v>
      </c>
      <c r="K30" s="25">
        <v>0.72723867171829959</v>
      </c>
      <c r="L30" s="25">
        <v>0.47827754220836782</v>
      </c>
      <c r="M30" s="25">
        <v>-0.35245743867376389</v>
      </c>
      <c r="N30" s="25">
        <v>0.71753177971476678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70"/>
  <sheetViews>
    <sheetView workbookViewId="0"/>
  </sheetViews>
  <sheetFormatPr baseColWidth="10" defaultRowHeight="15" x14ac:dyDescent="0"/>
  <sheetData>
    <row r="1" spans="1:3">
      <c r="A1" s="17">
        <v>1</v>
      </c>
      <c r="B1">
        <f t="shared" ref="B1:B32" si="0">63.7605358513332+(A1-1)*2.31914418522316</f>
        <v>63.760535851333202</v>
      </c>
      <c r="C1">
        <f t="shared" ref="C1:C32" si="1">0+1*B1-22.588910922525*(1.05882352941176+(B1-119.294117647059)^2/1552.92474771539)^0.5</f>
        <v>24.344731517266389</v>
      </c>
    </row>
    <row r="2" spans="1:3">
      <c r="A2" s="17">
        <v>2</v>
      </c>
      <c r="B2">
        <f t="shared" si="0"/>
        <v>66.079680036556368</v>
      </c>
      <c r="C2">
        <f t="shared" si="1"/>
        <v>27.729488787333985</v>
      </c>
    </row>
    <row r="3" spans="1:3">
      <c r="A3" s="17">
        <v>3</v>
      </c>
      <c r="B3">
        <f t="shared" si="0"/>
        <v>68.39882422177952</v>
      </c>
      <c r="C3">
        <f t="shared" si="1"/>
        <v>31.097306993102322</v>
      </c>
    </row>
    <row r="4" spans="1:3">
      <c r="A4" s="17">
        <v>4</v>
      </c>
      <c r="B4">
        <f t="shared" si="0"/>
        <v>70.717968407002687</v>
      </c>
      <c r="C4">
        <f t="shared" si="1"/>
        <v>34.446716878697991</v>
      </c>
    </row>
    <row r="5" spans="1:3">
      <c r="A5" s="17">
        <v>5</v>
      </c>
      <c r="B5">
        <f t="shared" si="0"/>
        <v>73.037112592225839</v>
      </c>
      <c r="C5">
        <f t="shared" si="1"/>
        <v>37.776104829306398</v>
      </c>
    </row>
    <row r="6" spans="1:3">
      <c r="A6" s="17">
        <v>6</v>
      </c>
      <c r="B6">
        <f t="shared" si="0"/>
        <v>75.356256777449005</v>
      </c>
      <c r="C6">
        <f t="shared" si="1"/>
        <v>41.083700254150962</v>
      </c>
    </row>
    <row r="7" spans="1:3">
      <c r="A7" s="17">
        <v>7</v>
      </c>
      <c r="B7">
        <f t="shared" si="0"/>
        <v>77.675400962672157</v>
      </c>
      <c r="C7">
        <f t="shared" si="1"/>
        <v>44.367562936352748</v>
      </c>
    </row>
    <row r="8" spans="1:3">
      <c r="A8" s="17">
        <v>8</v>
      </c>
      <c r="B8">
        <f t="shared" si="0"/>
        <v>79.994545147895323</v>
      </c>
      <c r="C8">
        <f t="shared" si="1"/>
        <v>47.62557082847529</v>
      </c>
    </row>
    <row r="9" spans="1:3">
      <c r="A9" s="17">
        <v>9</v>
      </c>
      <c r="B9">
        <f t="shared" si="0"/>
        <v>82.313689333118475</v>
      </c>
      <c r="C9">
        <f t="shared" si="1"/>
        <v>50.855408958090123</v>
      </c>
    </row>
    <row r="10" spans="1:3">
      <c r="A10" s="17">
        <v>10</v>
      </c>
      <c r="B10">
        <f t="shared" si="0"/>
        <v>84.632833518341641</v>
      </c>
      <c r="C10">
        <f t="shared" si="1"/>
        <v>54.054560333359639</v>
      </c>
    </row>
    <row r="11" spans="1:3">
      <c r="A11" s="17">
        <v>11</v>
      </c>
      <c r="B11">
        <f t="shared" si="0"/>
        <v>86.951977703564808</v>
      </c>
      <c r="C11">
        <f t="shared" si="1"/>
        <v>57.220300001898529</v>
      </c>
    </row>
    <row r="12" spans="1:3">
      <c r="A12" s="17">
        <v>12</v>
      </c>
      <c r="B12">
        <f t="shared" si="0"/>
        <v>89.27112188878796</v>
      </c>
      <c r="C12">
        <f t="shared" si="1"/>
        <v>60.349693706642356</v>
      </c>
    </row>
    <row r="13" spans="1:3">
      <c r="A13" s="17">
        <v>13</v>
      </c>
      <c r="B13">
        <f t="shared" si="0"/>
        <v>91.590266074011126</v>
      </c>
      <c r="C13">
        <f t="shared" si="1"/>
        <v>63.439602877682574</v>
      </c>
    </row>
    <row r="14" spans="1:3">
      <c r="A14" s="17">
        <v>14</v>
      </c>
      <c r="B14">
        <f t="shared" si="0"/>
        <v>93.909410259234278</v>
      </c>
      <c r="C14">
        <f t="shared" si="1"/>
        <v>66.486697959935299</v>
      </c>
    </row>
    <row r="15" spans="1:3">
      <c r="A15" s="17">
        <v>15</v>
      </c>
      <c r="B15">
        <f t="shared" si="0"/>
        <v>96.228554444457444</v>
      </c>
      <c r="C15">
        <f t="shared" si="1"/>
        <v>69.487482243328429</v>
      </c>
    </row>
    <row r="16" spans="1:3">
      <c r="A16" s="17">
        <v>16</v>
      </c>
      <c r="B16">
        <f t="shared" si="0"/>
        <v>98.54769862968061</v>
      </c>
      <c r="C16">
        <f t="shared" si="1"/>
        <v>72.438328353077964</v>
      </c>
    </row>
    <row r="17" spans="1:3">
      <c r="A17" s="17">
        <v>17</v>
      </c>
      <c r="B17">
        <f t="shared" si="0"/>
        <v>100.86684281490376</v>
      </c>
      <c r="C17">
        <f t="shared" si="1"/>
        <v>75.335529273012426</v>
      </c>
    </row>
    <row r="18" spans="1:3">
      <c r="A18" s="17">
        <v>18</v>
      </c>
      <c r="B18">
        <f t="shared" si="0"/>
        <v>103.18598700012691</v>
      </c>
      <c r="C18">
        <f t="shared" si="1"/>
        <v>78.175365111280144</v>
      </c>
    </row>
    <row r="19" spans="1:3">
      <c r="A19" s="17">
        <v>19</v>
      </c>
      <c r="B19">
        <f t="shared" si="0"/>
        <v>105.50513118535008</v>
      </c>
      <c r="C19">
        <f t="shared" si="1"/>
        <v>80.954185694020552</v>
      </c>
    </row>
    <row r="20" spans="1:3">
      <c r="A20" s="17">
        <v>20</v>
      </c>
      <c r="B20">
        <f t="shared" si="0"/>
        <v>107.82427537057325</v>
      </c>
      <c r="C20">
        <f t="shared" si="1"/>
        <v>83.668507468714239</v>
      </c>
    </row>
    <row r="21" spans="1:3">
      <c r="A21" s="17">
        <v>21</v>
      </c>
      <c r="B21">
        <f t="shared" si="0"/>
        <v>110.1434195557964</v>
      </c>
      <c r="C21">
        <f t="shared" si="1"/>
        <v>86.315121200739554</v>
      </c>
    </row>
    <row r="22" spans="1:3">
      <c r="A22" s="17">
        <v>22</v>
      </c>
      <c r="B22">
        <f t="shared" si="0"/>
        <v>112.46256374101957</v>
      </c>
      <c r="C22">
        <f t="shared" si="1"/>
        <v>88.891204780925577</v>
      </c>
    </row>
    <row r="23" spans="1:3">
      <c r="A23" s="17">
        <v>23</v>
      </c>
      <c r="B23">
        <f t="shared" si="0"/>
        <v>114.78170792624272</v>
      </c>
      <c r="C23">
        <f t="shared" si="1"/>
        <v>91.394433499484975</v>
      </c>
    </row>
    <row r="24" spans="1:3">
      <c r="A24" s="17">
        <v>24</v>
      </c>
      <c r="B24">
        <f t="shared" si="0"/>
        <v>117.10085211146588</v>
      </c>
      <c r="C24">
        <f t="shared" si="1"/>
        <v>93.823078846863766</v>
      </c>
    </row>
    <row r="25" spans="1:3">
      <c r="A25" s="17">
        <v>25</v>
      </c>
      <c r="B25">
        <f t="shared" si="0"/>
        <v>119.41999629668905</v>
      </c>
      <c r="C25">
        <f t="shared" si="1"/>
        <v>96.176086720999137</v>
      </c>
    </row>
    <row r="26" spans="1:3">
      <c r="A26" s="17">
        <v>26</v>
      </c>
      <c r="B26">
        <f t="shared" si="0"/>
        <v>121.7391404819122</v>
      </c>
      <c r="C26">
        <f t="shared" si="1"/>
        <v>98.453127132127563</v>
      </c>
    </row>
    <row r="27" spans="1:3">
      <c r="A27" s="17">
        <v>27</v>
      </c>
      <c r="B27">
        <f t="shared" si="0"/>
        <v>124.05828466713535</v>
      </c>
      <c r="C27">
        <f t="shared" si="1"/>
        <v>100.654610078543</v>
      </c>
    </row>
    <row r="28" spans="1:3">
      <c r="A28" s="17">
        <v>28</v>
      </c>
      <c r="B28">
        <f t="shared" si="0"/>
        <v>126.37742885235852</v>
      </c>
      <c r="C28">
        <f t="shared" si="1"/>
        <v>102.78166584435276</v>
      </c>
    </row>
    <row r="29" spans="1:3">
      <c r="A29" s="17">
        <v>29</v>
      </c>
      <c r="B29">
        <f t="shared" si="0"/>
        <v>128.69657303758169</v>
      </c>
      <c r="C29">
        <f t="shared" si="1"/>
        <v>104.83609188631195</v>
      </c>
    </row>
    <row r="30" spans="1:3">
      <c r="A30" s="17">
        <v>30</v>
      </c>
      <c r="B30">
        <f t="shared" si="0"/>
        <v>131.01571722280482</v>
      </c>
      <c r="C30">
        <f t="shared" si="1"/>
        <v>106.82027197438879</v>
      </c>
    </row>
    <row r="31" spans="1:3">
      <c r="A31" s="17">
        <v>31</v>
      </c>
      <c r="B31">
        <f t="shared" si="0"/>
        <v>133.33486140802802</v>
      </c>
      <c r="C31">
        <f t="shared" si="1"/>
        <v>108.73707569616009</v>
      </c>
    </row>
    <row r="32" spans="1:3">
      <c r="A32" s="17">
        <v>32</v>
      </c>
      <c r="B32">
        <f t="shared" si="0"/>
        <v>135.65400559325116</v>
      </c>
      <c r="C32">
        <f t="shared" si="1"/>
        <v>110.58974749045217</v>
      </c>
    </row>
    <row r="33" spans="1:3">
      <c r="A33" s="17">
        <v>33</v>
      </c>
      <c r="B33">
        <f t="shared" ref="B33:B64" si="2">63.7605358513332+(A33-1)*2.31914418522316</f>
        <v>137.97314977847432</v>
      </c>
      <c r="C33">
        <f t="shared" ref="C33:C64" si="3">0+1*B33-22.588910922525*(1.05882352941176+(B33-119.294117647059)^2/1552.92474771539)^0.5</f>
        <v>112.38179405589975</v>
      </c>
    </row>
    <row r="34" spans="1:3">
      <c r="A34" s="17">
        <v>34</v>
      </c>
      <c r="B34">
        <f t="shared" si="2"/>
        <v>140.29229396369749</v>
      </c>
      <c r="C34">
        <f t="shared" si="3"/>
        <v>114.11687758966721</v>
      </c>
    </row>
    <row r="35" spans="1:3">
      <c r="A35" s="17">
        <v>35</v>
      </c>
      <c r="B35">
        <f t="shared" si="2"/>
        <v>142.61143814892063</v>
      </c>
      <c r="C35">
        <f t="shared" si="3"/>
        <v>115.79872030556822</v>
      </c>
    </row>
    <row r="36" spans="1:3">
      <c r="A36" s="17">
        <v>36</v>
      </c>
      <c r="B36">
        <f t="shared" si="2"/>
        <v>144.93058233414382</v>
      </c>
      <c r="C36">
        <f t="shared" si="3"/>
        <v>117.43102351769222</v>
      </c>
    </row>
    <row r="37" spans="1:3">
      <c r="A37" s="17">
        <v>37</v>
      </c>
      <c r="B37">
        <f t="shared" si="2"/>
        <v>147.24972651936696</v>
      </c>
      <c r="C37">
        <f t="shared" si="3"/>
        <v>119.01740261199782</v>
      </c>
    </row>
    <row r="38" spans="1:3">
      <c r="A38" s="17">
        <v>38</v>
      </c>
      <c r="B38">
        <f t="shared" si="2"/>
        <v>149.56887070459013</v>
      </c>
      <c r="C38">
        <f t="shared" si="3"/>
        <v>120.56133767469237</v>
      </c>
    </row>
    <row r="39" spans="1:3">
      <c r="A39" s="17">
        <v>39</v>
      </c>
      <c r="B39">
        <f t="shared" si="2"/>
        <v>151.88801488981329</v>
      </c>
      <c r="C39">
        <f t="shared" si="3"/>
        <v>122.06613847484759</v>
      </c>
    </row>
    <row r="40" spans="1:3">
      <c r="A40" s="17">
        <v>40</v>
      </c>
      <c r="B40">
        <f t="shared" si="2"/>
        <v>154.20715907503643</v>
      </c>
      <c r="C40">
        <f t="shared" si="3"/>
        <v>123.53492188083686</v>
      </c>
    </row>
    <row r="41" spans="1:3">
      <c r="A41" s="17">
        <v>41</v>
      </c>
      <c r="B41">
        <f t="shared" si="2"/>
        <v>156.5263032602596</v>
      </c>
      <c r="C41">
        <f t="shared" si="3"/>
        <v>124.97059954058528</v>
      </c>
    </row>
    <row r="42" spans="1:3">
      <c r="A42" s="17">
        <v>42</v>
      </c>
      <c r="B42">
        <f t="shared" si="2"/>
        <v>158.84544744548276</v>
      </c>
      <c r="C42">
        <f t="shared" si="3"/>
        <v>126.37587367018705</v>
      </c>
    </row>
    <row r="43" spans="1:3">
      <c r="A43" s="17">
        <v>43</v>
      </c>
      <c r="B43">
        <f t="shared" si="2"/>
        <v>161.16459163070593</v>
      </c>
      <c r="C43">
        <f t="shared" si="3"/>
        <v>127.75323897605051</v>
      </c>
    </row>
    <row r="44" spans="1:3">
      <c r="A44" s="17">
        <v>44</v>
      </c>
      <c r="B44">
        <f t="shared" si="2"/>
        <v>163.48373581592909</v>
      </c>
      <c r="C44">
        <f t="shared" si="3"/>
        <v>129.10498900286152</v>
      </c>
    </row>
    <row r="45" spans="1:3">
      <c r="A45" s="17">
        <v>45</v>
      </c>
      <c r="B45">
        <f t="shared" si="2"/>
        <v>165.80288000115223</v>
      </c>
      <c r="C45">
        <f t="shared" si="3"/>
        <v>130.43322549592511</v>
      </c>
    </row>
    <row r="46" spans="1:3">
      <c r="A46" s="17">
        <v>46</v>
      </c>
      <c r="B46">
        <f t="shared" si="2"/>
        <v>168.1220241863754</v>
      </c>
      <c r="C46">
        <f t="shared" si="3"/>
        <v>131.73986965479031</v>
      </c>
    </row>
    <row r="47" spans="1:3">
      <c r="A47" s="17">
        <v>47</v>
      </c>
      <c r="B47">
        <f t="shared" si="2"/>
        <v>170.44116837159856</v>
      </c>
      <c r="C47">
        <f t="shared" si="3"/>
        <v>133.02667441457683</v>
      </c>
    </row>
    <row r="48" spans="1:3">
      <c r="A48" s="17">
        <v>48</v>
      </c>
      <c r="B48">
        <f t="shared" si="2"/>
        <v>172.7603125568217</v>
      </c>
      <c r="C48">
        <f t="shared" si="3"/>
        <v>134.29523711274166</v>
      </c>
    </row>
    <row r="49" spans="1:3">
      <c r="A49" s="17">
        <v>49</v>
      </c>
      <c r="B49">
        <f t="shared" si="2"/>
        <v>175.0794567420449</v>
      </c>
      <c r="C49">
        <f t="shared" si="3"/>
        <v>135.54701208026864</v>
      </c>
    </row>
    <row r="50" spans="1:3">
      <c r="A50" s="17">
        <v>50</v>
      </c>
      <c r="B50">
        <f t="shared" si="2"/>
        <v>177.39860092726803</v>
      </c>
      <c r="C50">
        <f t="shared" si="3"/>
        <v>136.78332283991642</v>
      </c>
    </row>
    <row r="51" spans="1:3">
      <c r="A51" s="17">
        <v>51</v>
      </c>
      <c r="B51">
        <f t="shared" si="2"/>
        <v>179.7177451124912</v>
      </c>
      <c r="C51">
        <f t="shared" si="3"/>
        <v>138.00537370485858</v>
      </c>
    </row>
    <row r="52" spans="1:3">
      <c r="A52" s="17">
        <v>52</v>
      </c>
      <c r="B52">
        <f t="shared" si="2"/>
        <v>182.03688929771437</v>
      </c>
      <c r="C52">
        <f t="shared" si="3"/>
        <v>139.21426065417427</v>
      </c>
    </row>
    <row r="53" spans="1:3">
      <c r="A53" s="17">
        <v>53</v>
      </c>
      <c r="B53">
        <f t="shared" si="2"/>
        <v>184.35603348293751</v>
      </c>
      <c r="C53">
        <f t="shared" si="3"/>
        <v>140.41098142248737</v>
      </c>
    </row>
    <row r="54" spans="1:3">
      <c r="A54" s="17">
        <v>54</v>
      </c>
      <c r="B54">
        <f t="shared" si="2"/>
        <v>186.6751776681607</v>
      </c>
      <c r="C54">
        <f t="shared" si="3"/>
        <v>141.59644478437525</v>
      </c>
    </row>
    <row r="55" spans="1:3">
      <c r="A55" s="17">
        <v>55</v>
      </c>
      <c r="B55">
        <f t="shared" si="2"/>
        <v>188.99432185338384</v>
      </c>
      <c r="C55">
        <f t="shared" si="3"/>
        <v>142.77147904402648</v>
      </c>
    </row>
    <row r="56" spans="1:3">
      <c r="A56" s="17">
        <v>56</v>
      </c>
      <c r="B56">
        <f t="shared" si="2"/>
        <v>191.313466038607</v>
      </c>
      <c r="C56">
        <f t="shared" si="3"/>
        <v>143.93683976036385</v>
      </c>
    </row>
    <row r="57" spans="1:3">
      <c r="A57" s="17">
        <v>57</v>
      </c>
      <c r="B57">
        <f t="shared" si="2"/>
        <v>193.63261022383017</v>
      </c>
      <c r="C57">
        <f t="shared" si="3"/>
        <v>145.09321675010668</v>
      </c>
    </row>
    <row r="58" spans="1:3">
      <c r="A58" s="17">
        <v>58</v>
      </c>
      <c r="B58">
        <f t="shared" si="2"/>
        <v>195.95175440905334</v>
      </c>
      <c r="C58">
        <f t="shared" si="3"/>
        <v>146.24124041810313</v>
      </c>
    </row>
    <row r="59" spans="1:3">
      <c r="A59" s="17">
        <v>59</v>
      </c>
      <c r="B59">
        <f t="shared" si="2"/>
        <v>198.27089859427647</v>
      </c>
      <c r="C59">
        <f t="shared" si="3"/>
        <v>147.38148746729604</v>
      </c>
    </row>
    <row r="60" spans="1:3">
      <c r="A60" s="17">
        <v>60</v>
      </c>
      <c r="B60">
        <f t="shared" si="2"/>
        <v>200.59004277949964</v>
      </c>
      <c r="C60">
        <f t="shared" si="3"/>
        <v>148.51448604108256</v>
      </c>
    </row>
    <row r="61" spans="1:3">
      <c r="A61" s="17">
        <v>61</v>
      </c>
      <c r="B61">
        <f t="shared" si="2"/>
        <v>202.90918696472281</v>
      </c>
      <c r="C61">
        <f t="shared" si="3"/>
        <v>149.64072034947068</v>
      </c>
    </row>
    <row r="62" spans="1:3">
      <c r="A62" s="17">
        <v>62</v>
      </c>
      <c r="B62">
        <f t="shared" si="2"/>
        <v>205.22833114994597</v>
      </c>
      <c r="C62">
        <f t="shared" si="3"/>
        <v>150.76063482796775</v>
      </c>
    </row>
    <row r="63" spans="1:3">
      <c r="A63" s="17">
        <v>63</v>
      </c>
      <c r="B63">
        <f t="shared" si="2"/>
        <v>207.54747533516911</v>
      </c>
      <c r="C63">
        <f t="shared" si="3"/>
        <v>151.87463787501156</v>
      </c>
    </row>
    <row r="64" spans="1:3">
      <c r="A64" s="17">
        <v>64</v>
      </c>
      <c r="B64">
        <f t="shared" si="2"/>
        <v>209.86661952039228</v>
      </c>
      <c r="C64">
        <f t="shared" si="3"/>
        <v>152.98310521030521</v>
      </c>
    </row>
    <row r="65" spans="1:3">
      <c r="A65" s="17">
        <v>65</v>
      </c>
      <c r="B65">
        <f t="shared" ref="B65:B70" si="4">63.7605358513332+(A65-1)*2.31914418522316</f>
        <v>212.18576370561544</v>
      </c>
      <c r="C65">
        <f t="shared" ref="C65:C70" si="5">0+1*B65-22.588910922525*(1.05882352941176+(B65-119.294117647059)^2/1552.92474771539)^0.5</f>
        <v>154.08638289286051</v>
      </c>
    </row>
    <row r="66" spans="1:3">
      <c r="A66" s="17">
        <v>66</v>
      </c>
      <c r="B66">
        <f t="shared" si="4"/>
        <v>214.50490789083861</v>
      </c>
      <c r="C66">
        <f t="shared" si="5"/>
        <v>155.18479003404383</v>
      </c>
    </row>
    <row r="67" spans="1:3">
      <c r="A67" s="17">
        <v>67</v>
      </c>
      <c r="B67">
        <f t="shared" si="4"/>
        <v>216.82405207606178</v>
      </c>
      <c r="C67">
        <f t="shared" si="5"/>
        <v>156.27862123754673</v>
      </c>
    </row>
    <row r="68" spans="1:3">
      <c r="A68" s="17">
        <v>68</v>
      </c>
      <c r="B68">
        <f t="shared" si="4"/>
        <v>219.14319626128491</v>
      </c>
      <c r="C68">
        <f t="shared" si="5"/>
        <v>157.36814879503308</v>
      </c>
    </row>
    <row r="69" spans="1:3">
      <c r="A69" s="17">
        <v>69</v>
      </c>
      <c r="B69">
        <f t="shared" si="4"/>
        <v>221.46234044650808</v>
      </c>
      <c r="C69">
        <f t="shared" si="5"/>
        <v>158.4536246632706</v>
      </c>
    </row>
    <row r="70" spans="1:3">
      <c r="A70" s="17">
        <v>70</v>
      </c>
      <c r="B70">
        <f t="shared" si="4"/>
        <v>223.78148463173125</v>
      </c>
      <c r="C70">
        <f t="shared" si="5"/>
        <v>159.53528224585625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70"/>
  <sheetViews>
    <sheetView workbookViewId="0"/>
  </sheetViews>
  <sheetFormatPr baseColWidth="10" defaultRowHeight="15" x14ac:dyDescent="0"/>
  <sheetData>
    <row r="1" spans="1:3">
      <c r="A1" s="17">
        <v>1</v>
      </c>
      <c r="B1">
        <f t="shared" ref="B1:B32" si="0">54.7845528249161+(A1-1)*2.44923089575094</f>
        <v>54.784552824916098</v>
      </c>
      <c r="C1">
        <f t="shared" ref="C1:C32" si="1">0+1*B1+22.588910922525*(1.05882352941176+(B1-119.294117647059)^2/1552.92474771539)^0.5</f>
        <v>98.461223144388384</v>
      </c>
    </row>
    <row r="2" spans="1:3">
      <c r="A2" s="17">
        <v>2</v>
      </c>
      <c r="B2">
        <f t="shared" si="0"/>
        <v>57.233783720667034</v>
      </c>
      <c r="C2">
        <f t="shared" si="1"/>
        <v>99.728398820330909</v>
      </c>
    </row>
    <row r="3" spans="1:3">
      <c r="A3" s="17">
        <v>3</v>
      </c>
      <c r="B3">
        <f t="shared" si="0"/>
        <v>59.683014616417978</v>
      </c>
      <c r="C3">
        <f t="shared" si="1"/>
        <v>101.00946150966746</v>
      </c>
    </row>
    <row r="4" spans="1:3">
      <c r="A4" s="17">
        <v>4</v>
      </c>
      <c r="B4">
        <f t="shared" si="0"/>
        <v>62.132245512168922</v>
      </c>
      <c r="C4">
        <f t="shared" si="1"/>
        <v>102.30562265738588</v>
      </c>
    </row>
    <row r="5" spans="1:3">
      <c r="A5" s="17">
        <v>5</v>
      </c>
      <c r="B5">
        <f t="shared" si="0"/>
        <v>64.581476407919865</v>
      </c>
      <c r="C5">
        <f t="shared" si="1"/>
        <v>103.61822022400156</v>
      </c>
    </row>
    <row r="6" spans="1:3">
      <c r="A6" s="17">
        <v>6</v>
      </c>
      <c r="B6">
        <f t="shared" si="0"/>
        <v>67.030707303670795</v>
      </c>
      <c r="C6">
        <f t="shared" si="1"/>
        <v>104.94873233599846</v>
      </c>
    </row>
    <row r="7" spans="1:3">
      <c r="A7" s="17">
        <v>7</v>
      </c>
      <c r="B7">
        <f t="shared" si="0"/>
        <v>69.479938199421738</v>
      </c>
      <c r="C7">
        <f t="shared" si="1"/>
        <v>106.29879199773194</v>
      </c>
    </row>
    <row r="8" spans="1:3">
      <c r="A8" s="17">
        <v>8</v>
      </c>
      <c r="B8">
        <f t="shared" si="0"/>
        <v>71.929169095172682</v>
      </c>
      <c r="C8">
        <f t="shared" si="1"/>
        <v>107.67020273676926</v>
      </c>
    </row>
    <row r="9" spans="1:3">
      <c r="A9" s="17">
        <v>9</v>
      </c>
      <c r="B9">
        <f t="shared" si="0"/>
        <v>74.378399990923612</v>
      </c>
      <c r="C9">
        <f t="shared" si="1"/>
        <v>109.06495494521991</v>
      </c>
    </row>
    <row r="10" spans="1:3">
      <c r="A10" s="17">
        <v>10</v>
      </c>
      <c r="B10">
        <f t="shared" si="0"/>
        <v>76.827630886674555</v>
      </c>
      <c r="C10">
        <f t="shared" si="1"/>
        <v>110.48524252957601</v>
      </c>
    </row>
    <row r="11" spans="1:3">
      <c r="A11" s="17">
        <v>11</v>
      </c>
      <c r="B11">
        <f t="shared" si="0"/>
        <v>79.276861782425499</v>
      </c>
      <c r="C11">
        <f t="shared" si="1"/>
        <v>111.9334792816494</v>
      </c>
    </row>
    <row r="12" spans="1:3">
      <c r="A12" s="17">
        <v>12</v>
      </c>
      <c r="B12">
        <f t="shared" si="0"/>
        <v>81.726092678176443</v>
      </c>
      <c r="C12">
        <f t="shared" si="1"/>
        <v>113.41231412466857</v>
      </c>
    </row>
    <row r="13" spans="1:3">
      <c r="A13" s="17">
        <v>13</v>
      </c>
      <c r="B13">
        <f t="shared" si="0"/>
        <v>84.175323573927386</v>
      </c>
      <c r="C13">
        <f t="shared" si="1"/>
        <v>114.92464406562185</v>
      </c>
    </row>
    <row r="14" spans="1:3">
      <c r="A14" s="17">
        <v>14</v>
      </c>
      <c r="B14">
        <f t="shared" si="0"/>
        <v>86.624554469678316</v>
      </c>
      <c r="C14">
        <f t="shared" si="1"/>
        <v>116.47362329811961</v>
      </c>
    </row>
    <row r="15" spans="1:3">
      <c r="A15" s="17">
        <v>15</v>
      </c>
      <c r="B15">
        <f t="shared" si="0"/>
        <v>89.073785365429259</v>
      </c>
      <c r="C15">
        <f t="shared" si="1"/>
        <v>118.062666461953</v>
      </c>
    </row>
    <row r="16" spans="1:3">
      <c r="A16" s="17">
        <v>16</v>
      </c>
      <c r="B16">
        <f t="shared" si="0"/>
        <v>91.523016261180203</v>
      </c>
      <c r="C16">
        <f t="shared" si="1"/>
        <v>119.69544360798578</v>
      </c>
    </row>
    <row r="17" spans="1:3">
      <c r="A17" s="17">
        <v>17</v>
      </c>
      <c r="B17">
        <f t="shared" si="0"/>
        <v>93.972247156931132</v>
      </c>
      <c r="C17">
        <f t="shared" si="1"/>
        <v>121.37586399984016</v>
      </c>
    </row>
    <row r="18" spans="1:3">
      <c r="A18" s="17">
        <v>18</v>
      </c>
      <c r="B18">
        <f t="shared" si="0"/>
        <v>96.42147805268209</v>
      </c>
      <c r="C18">
        <f t="shared" si="1"/>
        <v>123.10804560293435</v>
      </c>
    </row>
    <row r="19" spans="1:3">
      <c r="A19" s="17">
        <v>19</v>
      </c>
      <c r="B19">
        <f t="shared" si="0"/>
        <v>98.87070894843302</v>
      </c>
      <c r="C19">
        <f t="shared" si="1"/>
        <v>124.89626710257582</v>
      </c>
    </row>
    <row r="20" spans="1:3">
      <c r="A20" s="17">
        <v>20</v>
      </c>
      <c r="B20">
        <f t="shared" si="0"/>
        <v>101.31993984418395</v>
      </c>
      <c r="C20">
        <f t="shared" si="1"/>
        <v>126.74489972486894</v>
      </c>
    </row>
    <row r="21" spans="1:3">
      <c r="A21" s="17">
        <v>21</v>
      </c>
      <c r="B21">
        <f t="shared" si="0"/>
        <v>103.76917073993491</v>
      </c>
      <c r="C21">
        <f t="shared" si="1"/>
        <v>128.65831718398749</v>
      </c>
    </row>
    <row r="22" spans="1:3">
      <c r="A22" s="17">
        <v>22</v>
      </c>
      <c r="B22">
        <f t="shared" si="0"/>
        <v>106.21840163568584</v>
      </c>
      <c r="C22">
        <f t="shared" si="1"/>
        <v>130.64078388172874</v>
      </c>
    </row>
    <row r="23" spans="1:3">
      <c r="A23" s="17">
        <v>23</v>
      </c>
      <c r="B23">
        <f t="shared" si="0"/>
        <v>108.66763253143678</v>
      </c>
      <c r="C23">
        <f t="shared" si="1"/>
        <v>132.69632405863916</v>
      </c>
    </row>
    <row r="24" spans="1:3">
      <c r="A24" s="17">
        <v>24</v>
      </c>
      <c r="B24">
        <f t="shared" si="0"/>
        <v>111.11686342718772</v>
      </c>
      <c r="C24">
        <f t="shared" si="1"/>
        <v>134.828577758428</v>
      </c>
    </row>
    <row r="25" spans="1:3">
      <c r="A25" s="17">
        <v>25</v>
      </c>
      <c r="B25">
        <f t="shared" si="0"/>
        <v>113.56609432293865</v>
      </c>
      <c r="C25">
        <f t="shared" si="1"/>
        <v>137.04065277719982</v>
      </c>
    </row>
    <row r="26" spans="1:3">
      <c r="A26" s="17">
        <v>26</v>
      </c>
      <c r="B26">
        <f t="shared" si="0"/>
        <v>116.01532521868961</v>
      </c>
      <c r="C26">
        <f t="shared" si="1"/>
        <v>139.33498453862794</v>
      </c>
    </row>
    <row r="27" spans="1:3">
      <c r="A27" s="17">
        <v>27</v>
      </c>
      <c r="B27">
        <f t="shared" si="0"/>
        <v>118.46455611444054</v>
      </c>
      <c r="C27">
        <f t="shared" si="1"/>
        <v>141.71321725982111</v>
      </c>
    </row>
    <row r="28" spans="1:3">
      <c r="A28" s="17">
        <v>28</v>
      </c>
      <c r="B28">
        <f t="shared" si="0"/>
        <v>120.91378701019147</v>
      </c>
      <c r="C28">
        <f t="shared" si="1"/>
        <v>144.17611916728077</v>
      </c>
    </row>
    <row r="29" spans="1:3">
      <c r="A29" s="17">
        <v>29</v>
      </c>
      <c r="B29">
        <f t="shared" si="0"/>
        <v>123.36301790594243</v>
      </c>
      <c r="C29">
        <f t="shared" si="1"/>
        <v>146.72354161154578</v>
      </c>
    </row>
    <row r="30" spans="1:3">
      <c r="A30" s="17">
        <v>30</v>
      </c>
      <c r="B30">
        <f t="shared" si="0"/>
        <v>125.81224880169336</v>
      </c>
      <c r="C30">
        <f t="shared" si="1"/>
        <v>149.35442704187841</v>
      </c>
    </row>
    <row r="31" spans="1:3">
      <c r="A31" s="17">
        <v>31</v>
      </c>
      <c r="B31">
        <f t="shared" si="0"/>
        <v>128.26147969744429</v>
      </c>
      <c r="C31">
        <f t="shared" si="1"/>
        <v>152.066864862665</v>
      </c>
    </row>
    <row r="32" spans="1:3">
      <c r="A32" s="17">
        <v>32</v>
      </c>
      <c r="B32">
        <f t="shared" si="0"/>
        <v>130.71071059319524</v>
      </c>
      <c r="C32">
        <f t="shared" si="1"/>
        <v>154.85818846388929</v>
      </c>
    </row>
    <row r="33" spans="1:3">
      <c r="A33" s="17">
        <v>33</v>
      </c>
      <c r="B33">
        <f t="shared" ref="B33:B64" si="2">54.7845528249161+(A33-1)*2.44923089575094</f>
        <v>133.15994148894617</v>
      </c>
      <c r="C33">
        <f t="shared" ref="C33:C64" si="3">0+1*B33+22.588910922525*(1.05882352941176+(B33-119.294117647059)^2/1552.92474771539)^0.5</f>
        <v>157.72510239308212</v>
      </c>
    </row>
    <row r="34" spans="1:3">
      <c r="A34" s="17">
        <v>34</v>
      </c>
      <c r="B34">
        <f t="shared" si="2"/>
        <v>135.60917238469713</v>
      </c>
      <c r="C34">
        <f t="shared" si="3"/>
        <v>160.66382646444447</v>
      </c>
    </row>
    <row r="35" spans="1:3">
      <c r="A35" s="17">
        <v>35</v>
      </c>
      <c r="B35">
        <f t="shared" si="2"/>
        <v>138.05840328044806</v>
      </c>
      <c r="C35">
        <f t="shared" si="3"/>
        <v>163.67024370523583</v>
      </c>
    </row>
    <row r="36" spans="1:3">
      <c r="A36" s="17">
        <v>36</v>
      </c>
      <c r="B36">
        <f t="shared" si="2"/>
        <v>140.50763417619899</v>
      </c>
      <c r="C36">
        <f t="shared" si="3"/>
        <v>166.74004098367794</v>
      </c>
    </row>
    <row r="37" spans="1:3">
      <c r="A37" s="17">
        <v>37</v>
      </c>
      <c r="B37">
        <f t="shared" si="2"/>
        <v>142.95686507194995</v>
      </c>
      <c r="C37">
        <f t="shared" si="3"/>
        <v>169.86883419278209</v>
      </c>
    </row>
    <row r="38" spans="1:3">
      <c r="A38" s="17">
        <v>38</v>
      </c>
      <c r="B38">
        <f t="shared" si="2"/>
        <v>145.40609596770088</v>
      </c>
      <c r="C38">
        <f t="shared" si="3"/>
        <v>173.05227319145931</v>
      </c>
    </row>
    <row r="39" spans="1:3">
      <c r="A39" s="17">
        <v>39</v>
      </c>
      <c r="B39">
        <f t="shared" si="2"/>
        <v>147.85532686345181</v>
      </c>
      <c r="C39">
        <f t="shared" si="3"/>
        <v>176.28612471179889</v>
      </c>
    </row>
    <row r="40" spans="1:3">
      <c r="A40" s="17">
        <v>40</v>
      </c>
      <c r="B40">
        <f t="shared" si="2"/>
        <v>150.30455775920277</v>
      </c>
      <c r="C40">
        <f t="shared" si="3"/>
        <v>179.56633377466324</v>
      </c>
    </row>
    <row r="41" spans="1:3">
      <c r="A41" s="17">
        <v>41</v>
      </c>
      <c r="B41">
        <f t="shared" si="2"/>
        <v>152.75378865495369</v>
      </c>
      <c r="C41">
        <f t="shared" si="3"/>
        <v>182.88906570600565</v>
      </c>
    </row>
    <row r="42" spans="1:3">
      <c r="A42" s="17">
        <v>42</v>
      </c>
      <c r="B42">
        <f t="shared" si="2"/>
        <v>155.20301955070465</v>
      </c>
      <c r="C42">
        <f t="shared" si="3"/>
        <v>186.25073167877653</v>
      </c>
    </row>
    <row r="43" spans="1:3">
      <c r="A43" s="17">
        <v>43</v>
      </c>
      <c r="B43">
        <f t="shared" si="2"/>
        <v>157.65225044645558</v>
      </c>
      <c r="C43">
        <f t="shared" si="3"/>
        <v>189.64800097540652</v>
      </c>
    </row>
    <row r="44" spans="1:3">
      <c r="A44" s="17">
        <v>44</v>
      </c>
      <c r="B44">
        <f t="shared" si="2"/>
        <v>160.10148134220651</v>
      </c>
      <c r="C44">
        <f t="shared" si="3"/>
        <v>193.07780305208479</v>
      </c>
    </row>
    <row r="45" spans="1:3">
      <c r="A45" s="17">
        <v>45</v>
      </c>
      <c r="B45">
        <f t="shared" si="2"/>
        <v>162.55071223795747</v>
      </c>
      <c r="C45">
        <f t="shared" si="3"/>
        <v>196.53732214826181</v>
      </c>
    </row>
    <row r="46" spans="1:3">
      <c r="A46" s="17">
        <v>46</v>
      </c>
      <c r="B46">
        <f t="shared" si="2"/>
        <v>164.9999431337084</v>
      </c>
      <c r="C46">
        <f t="shared" si="3"/>
        <v>200.02398674600829</v>
      </c>
    </row>
    <row r="47" spans="1:3">
      <c r="A47" s="17">
        <v>47</v>
      </c>
      <c r="B47">
        <f t="shared" si="2"/>
        <v>167.44917402945933</v>
      </c>
      <c r="C47">
        <f t="shared" si="3"/>
        <v>203.53545572758739</v>
      </c>
    </row>
    <row r="48" spans="1:3">
      <c r="A48" s="17">
        <v>48</v>
      </c>
      <c r="B48">
        <f t="shared" si="2"/>
        <v>169.89840492521029</v>
      </c>
      <c r="C48">
        <f t="shared" si="3"/>
        <v>207.06960265566153</v>
      </c>
    </row>
    <row r="49" spans="1:3">
      <c r="A49" s="17">
        <v>49</v>
      </c>
      <c r="B49">
        <f t="shared" si="2"/>
        <v>172.34763582096122</v>
      </c>
      <c r="C49">
        <f t="shared" si="3"/>
        <v>210.62449923367092</v>
      </c>
    </row>
    <row r="50" spans="1:3">
      <c r="A50" s="17">
        <v>50</v>
      </c>
      <c r="B50">
        <f t="shared" si="2"/>
        <v>174.79686671671217</v>
      </c>
      <c r="C50">
        <f t="shared" si="3"/>
        <v>214.19839870207346</v>
      </c>
    </row>
    <row r="51" spans="1:3">
      <c r="A51" s="17">
        <v>51</v>
      </c>
      <c r="B51">
        <f t="shared" si="2"/>
        <v>177.2460976124631</v>
      </c>
      <c r="C51">
        <f t="shared" si="3"/>
        <v>217.78971968734612</v>
      </c>
    </row>
    <row r="52" spans="1:3">
      <c r="A52" s="17">
        <v>52</v>
      </c>
      <c r="B52">
        <f t="shared" si="2"/>
        <v>179.69532850821403</v>
      </c>
      <c r="C52">
        <f t="shared" si="3"/>
        <v>221.39703083782786</v>
      </c>
    </row>
    <row r="53" spans="1:3">
      <c r="A53" s="17">
        <v>53</v>
      </c>
      <c r="B53">
        <f t="shared" si="2"/>
        <v>182.14455940396499</v>
      </c>
      <c r="C53">
        <f t="shared" si="3"/>
        <v>225.01903644455146</v>
      </c>
    </row>
    <row r="54" spans="1:3">
      <c r="A54" s="17">
        <v>54</v>
      </c>
      <c r="B54">
        <f t="shared" si="2"/>
        <v>184.59379029971592</v>
      </c>
      <c r="C54">
        <f t="shared" si="3"/>
        <v>228.65456314699031</v>
      </c>
    </row>
    <row r="55" spans="1:3">
      <c r="A55" s="17">
        <v>55</v>
      </c>
      <c r="B55">
        <f t="shared" si="2"/>
        <v>187.04302119546685</v>
      </c>
      <c r="C55">
        <f t="shared" si="3"/>
        <v>232.30254775478619</v>
      </c>
    </row>
    <row r="56" spans="1:3">
      <c r="A56" s="17">
        <v>56</v>
      </c>
      <c r="B56">
        <f t="shared" si="2"/>
        <v>189.49225209121781</v>
      </c>
      <c r="C56">
        <f t="shared" si="3"/>
        <v>235.96202616994165</v>
      </c>
    </row>
    <row r="57" spans="1:3">
      <c r="A57" s="17">
        <v>57</v>
      </c>
      <c r="B57">
        <f t="shared" si="2"/>
        <v>191.94148298696874</v>
      </c>
      <c r="C57">
        <f t="shared" si="3"/>
        <v>239.63212336388983</v>
      </c>
    </row>
    <row r="58" spans="1:3">
      <c r="A58" s="17">
        <v>58</v>
      </c>
      <c r="B58">
        <f t="shared" si="2"/>
        <v>194.39071388271967</v>
      </c>
      <c r="C58">
        <f t="shared" si="3"/>
        <v>243.31204434575267</v>
      </c>
    </row>
    <row r="59" spans="1:3">
      <c r="A59" s="17">
        <v>59</v>
      </c>
      <c r="B59">
        <f t="shared" si="2"/>
        <v>196.83994477847062</v>
      </c>
      <c r="C59">
        <f t="shared" si="3"/>
        <v>247.00106604848438</v>
      </c>
    </row>
    <row r="60" spans="1:3">
      <c r="A60" s="17">
        <v>60</v>
      </c>
      <c r="B60">
        <f t="shared" si="2"/>
        <v>199.28917567422155</v>
      </c>
      <c r="C60">
        <f t="shared" si="3"/>
        <v>250.69853005585188</v>
      </c>
    </row>
    <row r="61" spans="1:3">
      <c r="A61" s="17">
        <v>61</v>
      </c>
      <c r="B61">
        <f t="shared" si="2"/>
        <v>201.73840656997248</v>
      </c>
      <c r="C61">
        <f t="shared" si="3"/>
        <v>254.40383609339287</v>
      </c>
    </row>
    <row r="62" spans="1:3">
      <c r="A62" s="17">
        <v>62</v>
      </c>
      <c r="B62">
        <f t="shared" si="2"/>
        <v>204.18763746572344</v>
      </c>
      <c r="C62">
        <f t="shared" si="3"/>
        <v>258.11643620921438</v>
      </c>
    </row>
    <row r="63" spans="1:3">
      <c r="A63" s="17">
        <v>63</v>
      </c>
      <c r="B63">
        <f t="shared" si="2"/>
        <v>206.63686836147437</v>
      </c>
      <c r="C63">
        <f t="shared" si="3"/>
        <v>261.83582957475102</v>
      </c>
    </row>
    <row r="64" spans="1:3">
      <c r="A64" s="17">
        <v>64</v>
      </c>
      <c r="B64">
        <f t="shared" si="2"/>
        <v>209.08609925722533</v>
      </c>
      <c r="C64">
        <f t="shared" si="3"/>
        <v>265.56155784069301</v>
      </c>
    </row>
    <row r="65" spans="1:3">
      <c r="A65" s="17">
        <v>65</v>
      </c>
      <c r="B65">
        <f t="shared" ref="B65:B70" si="4">54.7845528249161+(A65-1)*2.44923089575094</f>
        <v>211.53533015297626</v>
      </c>
      <c r="C65">
        <f t="shared" ref="C65:C70" si="5">0+1*B65+22.588910922525*(1.05882352941176+(B65-119.294117647059)^2/1552.92474771539)^0.5</f>
        <v>269.29320098873688</v>
      </c>
    </row>
    <row r="66" spans="1:3">
      <c r="A66" s="17">
        <v>66</v>
      </c>
      <c r="B66">
        <f t="shared" si="4"/>
        <v>213.98456104872719</v>
      </c>
      <c r="C66">
        <f t="shared" si="5"/>
        <v>273.03037362529454</v>
      </c>
    </row>
    <row r="67" spans="1:3">
      <c r="A67" s="17">
        <v>67</v>
      </c>
      <c r="B67">
        <f t="shared" si="4"/>
        <v>216.43379194447814</v>
      </c>
      <c r="C67">
        <f t="shared" si="5"/>
        <v>276.77272166860496</v>
      </c>
    </row>
    <row r="68" spans="1:3">
      <c r="A68" s="17">
        <v>68</v>
      </c>
      <c r="B68">
        <f t="shared" si="4"/>
        <v>218.88302284022907</v>
      </c>
      <c r="C68">
        <f t="shared" si="5"/>
        <v>280.51991938571064</v>
      </c>
    </row>
    <row r="69" spans="1:3">
      <c r="A69" s="17">
        <v>69</v>
      </c>
      <c r="B69">
        <f t="shared" si="4"/>
        <v>221.33225373598003</v>
      </c>
      <c r="C69">
        <f t="shared" si="5"/>
        <v>284.27166674041592</v>
      </c>
    </row>
    <row r="70" spans="1:3">
      <c r="A70" s="17">
        <v>70</v>
      </c>
      <c r="B70">
        <f t="shared" si="4"/>
        <v>223.78148463173096</v>
      </c>
      <c r="C70">
        <f t="shared" si="5"/>
        <v>288.02768701760584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70"/>
  <sheetViews>
    <sheetView workbookViewId="0"/>
  </sheetViews>
  <sheetFormatPr baseColWidth="10" defaultRowHeight="15" x14ac:dyDescent="0"/>
  <sheetData>
    <row r="1" spans="1:3">
      <c r="A1" s="17">
        <v>1</v>
      </c>
      <c r="B1">
        <f t="shared" ref="B1:B32" si="0">45.4189278772163+(A1-1)*2.53271656906696</f>
        <v>45.418927877216298</v>
      </c>
      <c r="C1">
        <f t="shared" ref="C1:C32" si="1">0+1*B1-28.0989448005943*(1.05555555555556+(B1-117.055555555556)^2/2606.88076916677)^0.5</f>
        <v>-3.4451093168367777</v>
      </c>
    </row>
    <row r="2" spans="1:3">
      <c r="A2" s="17">
        <v>2</v>
      </c>
      <c r="B2">
        <f t="shared" si="0"/>
        <v>47.951644446283261</v>
      </c>
      <c r="C2">
        <f t="shared" si="1"/>
        <v>0.20508762087258248</v>
      </c>
    </row>
    <row r="3" spans="1:3">
      <c r="A3" s="17">
        <v>3</v>
      </c>
      <c r="B3">
        <f t="shared" si="0"/>
        <v>50.484361015350217</v>
      </c>
      <c r="C3">
        <f t="shared" si="1"/>
        <v>3.8404023311441193</v>
      </c>
    </row>
    <row r="4" spans="1:3">
      <c r="A4" s="17">
        <v>4</v>
      </c>
      <c r="B4">
        <f t="shared" si="0"/>
        <v>53.01707758441718</v>
      </c>
      <c r="C4">
        <f t="shared" si="1"/>
        <v>7.4597542427516359</v>
      </c>
    </row>
    <row r="5" spans="1:3">
      <c r="A5" s="17">
        <v>5</v>
      </c>
      <c r="B5">
        <f t="shared" si="0"/>
        <v>55.549794153484136</v>
      </c>
      <c r="C5">
        <f t="shared" si="1"/>
        <v>11.061973644365139</v>
      </c>
    </row>
    <row r="6" spans="1:3">
      <c r="A6" s="17">
        <v>6</v>
      </c>
      <c r="B6">
        <f t="shared" si="0"/>
        <v>58.082510722551099</v>
      </c>
      <c r="C6">
        <f t="shared" si="1"/>
        <v>14.645795002811212</v>
      </c>
    </row>
    <row r="7" spans="1:3">
      <c r="A7" s="17">
        <v>7</v>
      </c>
      <c r="B7">
        <f t="shared" si="0"/>
        <v>60.615227291618055</v>
      </c>
      <c r="C7">
        <f t="shared" si="1"/>
        <v>18.209850195608247</v>
      </c>
    </row>
    <row r="8" spans="1:3">
      <c r="A8" s="17">
        <v>8</v>
      </c>
      <c r="B8">
        <f t="shared" si="0"/>
        <v>63.147943860685018</v>
      </c>
      <c r="C8">
        <f t="shared" si="1"/>
        <v>21.752661809906904</v>
      </c>
    </row>
    <row r="9" spans="1:3">
      <c r="A9" s="17">
        <v>9</v>
      </c>
      <c r="B9">
        <f t="shared" si="0"/>
        <v>65.680660429751981</v>
      </c>
      <c r="C9">
        <f t="shared" si="1"/>
        <v>25.27263671238196</v>
      </c>
    </row>
    <row r="10" spans="1:3">
      <c r="A10" s="17">
        <v>10</v>
      </c>
      <c r="B10">
        <f t="shared" si="0"/>
        <v>68.213376998818944</v>
      </c>
      <c r="C10">
        <f t="shared" si="1"/>
        <v>28.768060157716135</v>
      </c>
    </row>
    <row r="11" spans="1:3">
      <c r="A11" s="17">
        <v>11</v>
      </c>
      <c r="B11">
        <f t="shared" si="0"/>
        <v>70.746093567885893</v>
      </c>
      <c r="C11">
        <f t="shared" si="1"/>
        <v>32.237090777397725</v>
      </c>
    </row>
    <row r="12" spans="1:3">
      <c r="A12" s="17">
        <v>12</v>
      </c>
      <c r="B12">
        <f t="shared" si="0"/>
        <v>73.278810136952856</v>
      </c>
      <c r="C12">
        <f t="shared" si="1"/>
        <v>35.677756874949061</v>
      </c>
    </row>
    <row r="13" spans="1:3">
      <c r="A13" s="17">
        <v>13</v>
      </c>
      <c r="B13">
        <f t="shared" si="0"/>
        <v>75.811526706019819</v>
      </c>
      <c r="C13">
        <f t="shared" si="1"/>
        <v>39.087954546197828</v>
      </c>
    </row>
    <row r="14" spans="1:3">
      <c r="A14" s="17">
        <v>14</v>
      </c>
      <c r="B14">
        <f t="shared" si="0"/>
        <v>78.344243275086768</v>
      </c>
      <c r="C14">
        <f t="shared" si="1"/>
        <v>42.465448239374588</v>
      </c>
    </row>
    <row r="15" spans="1:3">
      <c r="A15" s="17">
        <v>15</v>
      </c>
      <c r="B15">
        <f t="shared" si="0"/>
        <v>80.876959844153731</v>
      </c>
      <c r="C15">
        <f t="shared" si="1"/>
        <v>45.807874462253309</v>
      </c>
    </row>
    <row r="16" spans="1:3">
      <c r="A16" s="17">
        <v>16</v>
      </c>
      <c r="B16">
        <f t="shared" si="0"/>
        <v>83.409676413220694</v>
      </c>
      <c r="C16">
        <f t="shared" si="1"/>
        <v>49.112749421101057</v>
      </c>
    </row>
    <row r="17" spans="1:3">
      <c r="A17" s="17">
        <v>17</v>
      </c>
      <c r="B17">
        <f t="shared" si="0"/>
        <v>85.942392982287657</v>
      </c>
      <c r="C17">
        <f t="shared" si="1"/>
        <v>52.377481423430076</v>
      </c>
    </row>
    <row r="18" spans="1:3">
      <c r="A18" s="17">
        <v>18</v>
      </c>
      <c r="B18">
        <f t="shared" si="0"/>
        <v>88.47510955135462</v>
      </c>
      <c r="C18">
        <f t="shared" si="1"/>
        <v>55.599388873680276</v>
      </c>
    </row>
    <row r="19" spans="1:3">
      <c r="A19" s="17">
        <v>19</v>
      </c>
      <c r="B19">
        <f t="shared" si="0"/>
        <v>91.007826120421583</v>
      </c>
      <c r="C19">
        <f t="shared" si="1"/>
        <v>58.775724614773793</v>
      </c>
    </row>
    <row r="20" spans="1:3">
      <c r="A20" s="17">
        <v>20</v>
      </c>
      <c r="B20">
        <f t="shared" si="0"/>
        <v>93.540542689488547</v>
      </c>
      <c r="C20">
        <f t="shared" si="1"/>
        <v>61.903707194520251</v>
      </c>
    </row>
    <row r="21" spans="1:3">
      <c r="A21" s="17">
        <v>21</v>
      </c>
      <c r="B21">
        <f t="shared" si="0"/>
        <v>96.073259258555495</v>
      </c>
      <c r="C21">
        <f t="shared" si="1"/>
        <v>64.980559342459841</v>
      </c>
    </row>
    <row r="22" spans="1:3">
      <c r="A22" s="17">
        <v>22</v>
      </c>
      <c r="B22">
        <f t="shared" si="0"/>
        <v>98.605975827622458</v>
      </c>
      <c r="C22">
        <f t="shared" si="1"/>
        <v>68.00355351695481</v>
      </c>
    </row>
    <row r="23" spans="1:3">
      <c r="A23" s="17">
        <v>23</v>
      </c>
      <c r="B23">
        <f t="shared" si="0"/>
        <v>101.13869239668941</v>
      </c>
      <c r="C23">
        <f t="shared" si="1"/>
        <v>70.97006382726471</v>
      </c>
    </row>
    <row r="24" spans="1:3">
      <c r="A24" s="17">
        <v>24</v>
      </c>
      <c r="B24">
        <f t="shared" si="0"/>
        <v>103.67140896575637</v>
      </c>
      <c r="C24">
        <f t="shared" si="1"/>
        <v>73.877622977554864</v>
      </c>
    </row>
    <row r="25" spans="1:3">
      <c r="A25" s="17">
        <v>25</v>
      </c>
      <c r="B25">
        <f t="shared" si="0"/>
        <v>106.20412553482333</v>
      </c>
      <c r="C25">
        <f t="shared" si="1"/>
        <v>76.723982174707501</v>
      </c>
    </row>
    <row r="26" spans="1:3">
      <c r="A26" s="17">
        <v>26</v>
      </c>
      <c r="B26">
        <f t="shared" si="0"/>
        <v>108.7368421038903</v>
      </c>
      <c r="C26">
        <f t="shared" si="1"/>
        <v>79.507171273951116</v>
      </c>
    </row>
    <row r="27" spans="1:3">
      <c r="A27" s="17">
        <v>27</v>
      </c>
      <c r="B27">
        <f t="shared" si="0"/>
        <v>111.26955867295726</v>
      </c>
      <c r="C27">
        <f t="shared" si="1"/>
        <v>82.225555911774407</v>
      </c>
    </row>
    <row r="28" spans="1:3">
      <c r="A28" s="17">
        <v>28</v>
      </c>
      <c r="B28">
        <f t="shared" si="0"/>
        <v>113.80227524202422</v>
      </c>
      <c r="C28">
        <f t="shared" si="1"/>
        <v>84.877888105422997</v>
      </c>
    </row>
    <row r="29" spans="1:3">
      <c r="A29" s="17">
        <v>29</v>
      </c>
      <c r="B29">
        <f t="shared" si="0"/>
        <v>116.33499181109119</v>
      </c>
      <c r="C29">
        <f t="shared" si="1"/>
        <v>87.463346874653055</v>
      </c>
    </row>
    <row r="30" spans="1:3">
      <c r="A30" s="17">
        <v>30</v>
      </c>
      <c r="B30">
        <f t="shared" si="0"/>
        <v>118.86770838015815</v>
      </c>
      <c r="C30">
        <f t="shared" si="1"/>
        <v>89.981565911581455</v>
      </c>
    </row>
    <row r="31" spans="1:3">
      <c r="A31" s="17">
        <v>31</v>
      </c>
      <c r="B31">
        <f t="shared" si="0"/>
        <v>121.40042494922508</v>
      </c>
      <c r="C31">
        <f t="shared" si="1"/>
        <v>92.432646170632978</v>
      </c>
    </row>
    <row r="32" spans="1:3">
      <c r="A32" s="17">
        <v>32</v>
      </c>
      <c r="B32">
        <f t="shared" si="0"/>
        <v>123.93314151829205</v>
      </c>
      <c r="C32">
        <f t="shared" si="1"/>
        <v>94.817152383670873</v>
      </c>
    </row>
    <row r="33" spans="1:3">
      <c r="A33" s="17">
        <v>33</v>
      </c>
      <c r="B33">
        <f t="shared" ref="B33:B64" si="2">45.4189278772163+(A33-1)*2.53271656906696</f>
        <v>126.46585808735901</v>
      </c>
      <c r="C33">
        <f t="shared" ref="C33:C64" si="3">0+1*B33-28.0989448005943*(1.05555555555556+(B33-117.055555555556)^2/2606.88076916677)^0.5</f>
        <v>97.136093777349814</v>
      </c>
    </row>
    <row r="34" spans="1:3">
      <c r="A34" s="17">
        <v>34</v>
      </c>
      <c r="B34">
        <f t="shared" si="2"/>
        <v>128.99857465642597</v>
      </c>
      <c r="C34">
        <f t="shared" si="3"/>
        <v>99.390890502723806</v>
      </c>
    </row>
    <row r="35" spans="1:3">
      <c r="A35" s="17">
        <v>35</v>
      </c>
      <c r="B35">
        <f t="shared" si="2"/>
        <v>131.53129122549294</v>
      </c>
      <c r="C35">
        <f t="shared" si="3"/>
        <v>101.58332831177427</v>
      </c>
    </row>
    <row r="36" spans="1:3">
      <c r="A36" s="17">
        <v>36</v>
      </c>
      <c r="B36">
        <f t="shared" si="2"/>
        <v>134.0640077945599</v>
      </c>
      <c r="C36">
        <f t="shared" si="3"/>
        <v>103.7155047064513</v>
      </c>
    </row>
    <row r="37" spans="1:3">
      <c r="A37" s="17">
        <v>37</v>
      </c>
      <c r="B37">
        <f t="shared" si="2"/>
        <v>136.59672436362686</v>
      </c>
      <c r="C37">
        <f t="shared" si="3"/>
        <v>105.7897700843121</v>
      </c>
    </row>
    <row r="38" spans="1:3">
      <c r="A38" s="17">
        <v>38</v>
      </c>
      <c r="B38">
        <f t="shared" si="2"/>
        <v>139.12944093269383</v>
      </c>
      <c r="C38">
        <f t="shared" si="3"/>
        <v>107.80866732286694</v>
      </c>
    </row>
    <row r="39" spans="1:3">
      <c r="A39" s="17">
        <v>39</v>
      </c>
      <c r="B39">
        <f t="shared" si="2"/>
        <v>141.66215750176079</v>
      </c>
      <c r="C39">
        <f t="shared" si="3"/>
        <v>109.77487285192502</v>
      </c>
    </row>
    <row r="40" spans="1:3">
      <c r="A40" s="17">
        <v>40</v>
      </c>
      <c r="B40">
        <f t="shared" si="2"/>
        <v>144.19487407082772</v>
      </c>
      <c r="C40">
        <f t="shared" si="3"/>
        <v>111.69114166310783</v>
      </c>
    </row>
    <row r="41" spans="1:3">
      <c r="A41" s="17">
        <v>41</v>
      </c>
      <c r="B41">
        <f t="shared" si="2"/>
        <v>146.72759063989469</v>
      </c>
      <c r="C41">
        <f t="shared" si="3"/>
        <v>113.56025800977422</v>
      </c>
    </row>
    <row r="42" spans="1:3">
      <c r="A42" s="17">
        <v>42</v>
      </c>
      <c r="B42">
        <f t="shared" si="2"/>
        <v>149.26030720896165</v>
      </c>
      <c r="C42">
        <f t="shared" si="3"/>
        <v>115.38499285716804</v>
      </c>
    </row>
    <row r="43" spans="1:3">
      <c r="A43" s="17">
        <v>43</v>
      </c>
      <c r="B43">
        <f t="shared" si="2"/>
        <v>151.79302377802861</v>
      </c>
      <c r="C43">
        <f t="shared" si="3"/>
        <v>117.16806852405033</v>
      </c>
    </row>
    <row r="44" spans="1:3">
      <c r="A44" s="17">
        <v>44</v>
      </c>
      <c r="B44">
        <f t="shared" si="2"/>
        <v>154.32574034709558</v>
      </c>
      <c r="C44">
        <f t="shared" si="3"/>
        <v>118.91213045600217</v>
      </c>
    </row>
    <row r="45" spans="1:3">
      <c r="A45" s="17">
        <v>45</v>
      </c>
      <c r="B45">
        <f t="shared" si="2"/>
        <v>156.85845691616254</v>
      </c>
      <c r="C45">
        <f t="shared" si="3"/>
        <v>120.6197257026048</v>
      </c>
    </row>
    <row r="46" spans="1:3">
      <c r="A46" s="17">
        <v>46</v>
      </c>
      <c r="B46">
        <f t="shared" si="2"/>
        <v>159.3911734852295</v>
      </c>
      <c r="C46">
        <f t="shared" si="3"/>
        <v>122.29328743103763</v>
      </c>
    </row>
    <row r="47" spans="1:3">
      <c r="A47" s="17">
        <v>47</v>
      </c>
      <c r="B47">
        <f t="shared" si="2"/>
        <v>161.92389005429646</v>
      </c>
      <c r="C47">
        <f t="shared" si="3"/>
        <v>123.93512467974777</v>
      </c>
    </row>
    <row r="48" spans="1:3">
      <c r="A48" s="17">
        <v>48</v>
      </c>
      <c r="B48">
        <f t="shared" si="2"/>
        <v>164.45660662336343</v>
      </c>
      <c r="C48">
        <f t="shared" si="3"/>
        <v>125.54741651425681</v>
      </c>
    </row>
    <row r="49" spans="1:3">
      <c r="A49" s="17">
        <v>49</v>
      </c>
      <c r="B49">
        <f t="shared" si="2"/>
        <v>166.98932319243039</v>
      </c>
      <c r="C49">
        <f t="shared" si="3"/>
        <v>127.13220976857495</v>
      </c>
    </row>
    <row r="50" spans="1:3">
      <c r="A50" s="17">
        <v>50</v>
      </c>
      <c r="B50">
        <f t="shared" si="2"/>
        <v>169.52203976149733</v>
      </c>
      <c r="C50">
        <f t="shared" si="3"/>
        <v>128.69141961816692</v>
      </c>
    </row>
    <row r="51" spans="1:3">
      <c r="A51" s="17">
        <v>51</v>
      </c>
      <c r="B51">
        <f t="shared" si="2"/>
        <v>172.05475633056429</v>
      </c>
      <c r="C51">
        <f t="shared" si="3"/>
        <v>130.22683231601169</v>
      </c>
    </row>
    <row r="52" spans="1:3">
      <c r="A52" s="17">
        <v>52</v>
      </c>
      <c r="B52">
        <f t="shared" si="2"/>
        <v>174.58747289963125</v>
      </c>
      <c r="C52">
        <f t="shared" si="3"/>
        <v>131.74010951847538</v>
      </c>
    </row>
    <row r="53" spans="1:3">
      <c r="A53" s="17">
        <v>53</v>
      </c>
      <c r="B53">
        <f t="shared" si="2"/>
        <v>177.12018946869821</v>
      </c>
      <c r="C53">
        <f t="shared" si="3"/>
        <v>133.23279372301931</v>
      </c>
    </row>
    <row r="54" spans="1:3">
      <c r="A54" s="17">
        <v>54</v>
      </c>
      <c r="B54">
        <f t="shared" si="2"/>
        <v>179.65290603776518</v>
      </c>
      <c r="C54">
        <f t="shared" si="3"/>
        <v>134.70631442916556</v>
      </c>
    </row>
    <row r="55" spans="1:3">
      <c r="A55" s="17">
        <v>55</v>
      </c>
      <c r="B55">
        <f t="shared" si="2"/>
        <v>182.18562260683214</v>
      </c>
      <c r="C55">
        <f t="shared" si="3"/>
        <v>136.16199471425912</v>
      </c>
    </row>
    <row r="56" spans="1:3">
      <c r="A56" s="17">
        <v>56</v>
      </c>
      <c r="B56">
        <f t="shared" si="2"/>
        <v>184.7183391758991</v>
      </c>
      <c r="C56">
        <f t="shared" si="3"/>
        <v>137.60105798492631</v>
      </c>
    </row>
    <row r="57" spans="1:3">
      <c r="A57" s="17">
        <v>57</v>
      </c>
      <c r="B57">
        <f t="shared" si="2"/>
        <v>187.25105574496607</v>
      </c>
      <c r="C57">
        <f t="shared" si="3"/>
        <v>139.02463472354094</v>
      </c>
    </row>
    <row r="58" spans="1:3">
      <c r="A58" s="17">
        <v>58</v>
      </c>
      <c r="B58">
        <f t="shared" si="2"/>
        <v>189.78377231403303</v>
      </c>
      <c r="C58">
        <f t="shared" si="3"/>
        <v>140.4337690970757</v>
      </c>
    </row>
    <row r="59" spans="1:3">
      <c r="A59" s="17">
        <v>59</v>
      </c>
      <c r="B59">
        <f t="shared" si="2"/>
        <v>192.31648888309999</v>
      </c>
      <c r="C59">
        <f t="shared" si="3"/>
        <v>141.82942533447371</v>
      </c>
    </row>
    <row r="60" spans="1:3">
      <c r="A60" s="17">
        <v>60</v>
      </c>
      <c r="B60">
        <f t="shared" si="2"/>
        <v>194.84920545216696</v>
      </c>
      <c r="C60">
        <f t="shared" si="3"/>
        <v>143.21249380934694</v>
      </c>
    </row>
    <row r="61" spans="1:3">
      <c r="A61" s="17">
        <v>61</v>
      </c>
      <c r="B61">
        <f t="shared" si="2"/>
        <v>197.38192202123389</v>
      </c>
      <c r="C61">
        <f t="shared" si="3"/>
        <v>144.58379678864782</v>
      </c>
    </row>
    <row r="62" spans="1:3">
      <c r="A62" s="17">
        <v>62</v>
      </c>
      <c r="B62">
        <f t="shared" si="2"/>
        <v>199.91463859030085</v>
      </c>
      <c r="C62">
        <f t="shared" si="3"/>
        <v>145.94409382614893</v>
      </c>
    </row>
    <row r="63" spans="1:3">
      <c r="A63" s="17">
        <v>63</v>
      </c>
      <c r="B63">
        <f t="shared" si="2"/>
        <v>202.44735515936782</v>
      </c>
      <c r="C63">
        <f t="shared" si="3"/>
        <v>147.29408679316674</v>
      </c>
    </row>
    <row r="64" spans="1:3">
      <c r="A64" s="17">
        <v>64</v>
      </c>
      <c r="B64">
        <f t="shared" si="2"/>
        <v>204.98007172843478</v>
      </c>
      <c r="C64">
        <f t="shared" si="3"/>
        <v>148.63442454890145</v>
      </c>
    </row>
    <row r="65" spans="1:3">
      <c r="A65" s="17">
        <v>65</v>
      </c>
      <c r="B65">
        <f t="shared" ref="B65:B70" si="4">45.4189278772163+(A65-1)*2.53271656906696</f>
        <v>207.51278829750174</v>
      </c>
      <c r="C65">
        <f t="shared" ref="C65:C70" si="5">0+1*B65-28.0989448005943*(1.05555555555556+(B65-117.055555555556)^2/2606.88076916677)^0.5</f>
        <v>149.96570725981493</v>
      </c>
    </row>
    <row r="66" spans="1:3">
      <c r="A66" s="17">
        <v>66</v>
      </c>
      <c r="B66">
        <f t="shared" si="4"/>
        <v>210.04550486656871</v>
      </c>
      <c r="C66">
        <f t="shared" si="5"/>
        <v>151.28849038227824</v>
      </c>
    </row>
    <row r="67" spans="1:3">
      <c r="A67" s="17">
        <v>67</v>
      </c>
      <c r="B67">
        <f t="shared" si="4"/>
        <v>212.57822143563567</v>
      </c>
      <c r="C67">
        <f t="shared" si="5"/>
        <v>152.60328832581445</v>
      </c>
    </row>
    <row r="68" spans="1:3">
      <c r="A68" s="17">
        <v>68</v>
      </c>
      <c r="B68">
        <f t="shared" si="4"/>
        <v>215.11093800470263</v>
      </c>
      <c r="C68">
        <f t="shared" si="5"/>
        <v>153.91057781606219</v>
      </c>
    </row>
    <row r="69" spans="1:3">
      <c r="A69" s="17">
        <v>69</v>
      </c>
      <c r="B69">
        <f t="shared" si="4"/>
        <v>217.6436545737696</v>
      </c>
      <c r="C69">
        <f t="shared" si="5"/>
        <v>155.21080097742572</v>
      </c>
    </row>
    <row r="70" spans="1:3">
      <c r="A70" s="17">
        <v>70</v>
      </c>
      <c r="B70">
        <f t="shared" si="4"/>
        <v>220.17637114283653</v>
      </c>
      <c r="C70">
        <f t="shared" si="5"/>
        <v>156.50436815551819</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C70"/>
  <sheetViews>
    <sheetView workbookViewId="0"/>
  </sheetViews>
  <sheetFormatPr baseColWidth="10" defaultRowHeight="15" x14ac:dyDescent="0"/>
  <sheetData>
    <row r="1" spans="1:3">
      <c r="A1" s="17">
        <v>1</v>
      </c>
      <c r="B1">
        <f t="shared" ref="B1:B32" si="0">40.5831848066494+(A1-1)*2.60279980197373</f>
        <v>40.583184806649399</v>
      </c>
      <c r="C1">
        <f t="shared" ref="C1:C32" si="1">0+1*B1+28.0989448005943*(1.05555555555556+(B1-117.055555555556)^2/2606.88076916677)^0.5</f>
        <v>91.618624352083231</v>
      </c>
    </row>
    <row r="2" spans="1:3">
      <c r="A2" s="17">
        <v>2</v>
      </c>
      <c r="B2">
        <f t="shared" si="0"/>
        <v>43.18598460862313</v>
      </c>
      <c r="C2">
        <f t="shared" si="1"/>
        <v>93.046784126746473</v>
      </c>
    </row>
    <row r="3" spans="1:3">
      <c r="A3" s="17">
        <v>3</v>
      </c>
      <c r="B3">
        <f t="shared" si="0"/>
        <v>45.788784410596861</v>
      </c>
      <c r="C3">
        <f t="shared" si="1"/>
        <v>94.488745583169731</v>
      </c>
    </row>
    <row r="4" spans="1:3">
      <c r="A4" s="17">
        <v>4</v>
      </c>
      <c r="B4">
        <f t="shared" si="0"/>
        <v>48.391584212570592</v>
      </c>
      <c r="C4">
        <f t="shared" si="1"/>
        <v>95.945519469986266</v>
      </c>
    </row>
    <row r="5" spans="1:3">
      <c r="A5" s="17">
        <v>5</v>
      </c>
      <c r="B5">
        <f t="shared" si="0"/>
        <v>50.994384014544323</v>
      </c>
      <c r="C5">
        <f t="shared" si="1"/>
        <v>97.41820278633017</v>
      </c>
    </row>
    <row r="6" spans="1:3">
      <c r="A6" s="17">
        <v>6</v>
      </c>
      <c r="B6">
        <f t="shared" si="0"/>
        <v>53.597183816518054</v>
      </c>
      <c r="C6">
        <f t="shared" si="1"/>
        <v>98.907985959908871</v>
      </c>
    </row>
    <row r="7" spans="1:3">
      <c r="A7" s="17">
        <v>7</v>
      </c>
      <c r="B7">
        <f t="shared" si="0"/>
        <v>56.199983618491778</v>
      </c>
      <c r="C7">
        <f t="shared" si="1"/>
        <v>100.41616033055229</v>
      </c>
    </row>
    <row r="8" spans="1:3">
      <c r="A8" s="17">
        <v>8</v>
      </c>
      <c r="B8">
        <f t="shared" si="0"/>
        <v>58.802783420465509</v>
      </c>
      <c r="C8">
        <f t="shared" si="1"/>
        <v>101.94412584069593</v>
      </c>
    </row>
    <row r="9" spans="1:3">
      <c r="A9" s="17">
        <v>9</v>
      </c>
      <c r="B9">
        <f t="shared" si="0"/>
        <v>61.40558322243924</v>
      </c>
      <c r="C9">
        <f t="shared" si="1"/>
        <v>103.49339878988991</v>
      </c>
    </row>
    <row r="10" spans="1:3">
      <c r="A10" s="17">
        <v>10</v>
      </c>
      <c r="B10">
        <f t="shared" si="0"/>
        <v>64.008383024412979</v>
      </c>
      <c r="C10">
        <f t="shared" si="1"/>
        <v>105.06561945470223</v>
      </c>
    </row>
    <row r="11" spans="1:3">
      <c r="A11" s="17">
        <v>11</v>
      </c>
      <c r="B11">
        <f t="shared" si="0"/>
        <v>66.61118282638671</v>
      </c>
      <c r="C11">
        <f t="shared" si="1"/>
        <v>106.66255930683191</v>
      </c>
    </row>
    <row r="12" spans="1:3">
      <c r="A12" s="17">
        <v>12</v>
      </c>
      <c r="B12">
        <f t="shared" si="0"/>
        <v>69.213982628360426</v>
      </c>
      <c r="C12">
        <f t="shared" si="1"/>
        <v>108.28612747986308</v>
      </c>
    </row>
    <row r="13" spans="1:3">
      <c r="A13" s="17">
        <v>13</v>
      </c>
      <c r="B13">
        <f t="shared" si="0"/>
        <v>71.816782430334158</v>
      </c>
      <c r="C13">
        <f t="shared" si="1"/>
        <v>109.93837603878671</v>
      </c>
    </row>
    <row r="14" spans="1:3">
      <c r="A14" s="17">
        <v>14</v>
      </c>
      <c r="B14">
        <f t="shared" si="0"/>
        <v>74.419582232307889</v>
      </c>
      <c r="C14">
        <f t="shared" si="1"/>
        <v>111.62150349764008</v>
      </c>
    </row>
    <row r="15" spans="1:3">
      <c r="A15" s="17">
        <v>15</v>
      </c>
      <c r="B15">
        <f t="shared" si="0"/>
        <v>77.02238203428162</v>
      </c>
      <c r="C15">
        <f t="shared" si="1"/>
        <v>113.33785591317653</v>
      </c>
    </row>
    <row r="16" spans="1:3">
      <c r="A16" s="17">
        <v>16</v>
      </c>
      <c r="B16">
        <f t="shared" si="0"/>
        <v>79.625181836255351</v>
      </c>
      <c r="C16">
        <f t="shared" si="1"/>
        <v>115.08992476353708</v>
      </c>
    </row>
    <row r="17" spans="1:3">
      <c r="A17" s="17">
        <v>17</v>
      </c>
      <c r="B17">
        <f t="shared" si="0"/>
        <v>82.227981638229082</v>
      </c>
      <c r="C17">
        <f t="shared" si="1"/>
        <v>116.88034071204137</v>
      </c>
    </row>
    <row r="18" spans="1:3">
      <c r="A18" s="17">
        <v>18</v>
      </c>
      <c r="B18">
        <f t="shared" si="0"/>
        <v>84.830781440202813</v>
      </c>
      <c r="C18">
        <f t="shared" si="1"/>
        <v>118.71186227442976</v>
      </c>
    </row>
    <row r="19" spans="1:3">
      <c r="A19" s="17">
        <v>19</v>
      </c>
      <c r="B19">
        <f t="shared" si="0"/>
        <v>87.433581242176544</v>
      </c>
      <c r="C19">
        <f t="shared" si="1"/>
        <v>120.58735837605947</v>
      </c>
    </row>
    <row r="20" spans="1:3">
      <c r="A20" s="17">
        <v>20</v>
      </c>
      <c r="B20">
        <f t="shared" si="0"/>
        <v>90.036381044150275</v>
      </c>
      <c r="C20">
        <f t="shared" si="1"/>
        <v>122.50978383202724</v>
      </c>
    </row>
    <row r="21" spans="1:3">
      <c r="A21" s="17">
        <v>21</v>
      </c>
      <c r="B21">
        <f t="shared" si="0"/>
        <v>92.639180846124006</v>
      </c>
      <c r="C21">
        <f t="shared" si="1"/>
        <v>124.48214693970536</v>
      </c>
    </row>
    <row r="22" spans="1:3">
      <c r="A22" s="17">
        <v>22</v>
      </c>
      <c r="B22">
        <f t="shared" si="0"/>
        <v>95.241980648097723</v>
      </c>
      <c r="C22">
        <f t="shared" si="1"/>
        <v>126.50746867056439</v>
      </c>
    </row>
    <row r="23" spans="1:3">
      <c r="A23" s="17">
        <v>23</v>
      </c>
      <c r="B23">
        <f t="shared" si="0"/>
        <v>97.844780450071454</v>
      </c>
      <c r="C23">
        <f t="shared" si="1"/>
        <v>128.58873340934136</v>
      </c>
    </row>
    <row r="24" spans="1:3">
      <c r="A24" s="17">
        <v>24</v>
      </c>
      <c r="B24">
        <f t="shared" si="0"/>
        <v>100.44758025204519</v>
      </c>
      <c r="C24">
        <f t="shared" si="1"/>
        <v>130.72883181920062</v>
      </c>
    </row>
    <row r="25" spans="1:3">
      <c r="A25" s="17">
        <v>25</v>
      </c>
      <c r="B25">
        <f t="shared" si="0"/>
        <v>103.05038005401892</v>
      </c>
      <c r="C25">
        <f t="shared" si="1"/>
        <v>132.9304971892924</v>
      </c>
    </row>
    <row r="26" spans="1:3">
      <c r="A26" s="17">
        <v>26</v>
      </c>
      <c r="B26">
        <f t="shared" si="0"/>
        <v>105.65317985599265</v>
      </c>
      <c r="C26">
        <f t="shared" si="1"/>
        <v>135.19623748709668</v>
      </c>
    </row>
    <row r="27" spans="1:3">
      <c r="A27" s="17">
        <v>27</v>
      </c>
      <c r="B27">
        <f t="shared" si="0"/>
        <v>108.25597965796638</v>
      </c>
      <c r="C27">
        <f t="shared" si="1"/>
        <v>137.52826619326396</v>
      </c>
    </row>
    <row r="28" spans="1:3">
      <c r="A28" s="17">
        <v>28</v>
      </c>
      <c r="B28">
        <f t="shared" si="0"/>
        <v>110.85877945994011</v>
      </c>
      <c r="C28">
        <f t="shared" si="1"/>
        <v>139.92843570914869</v>
      </c>
    </row>
    <row r="29" spans="1:3">
      <c r="A29" s="17">
        <v>29</v>
      </c>
      <c r="B29">
        <f t="shared" si="0"/>
        <v>113.46157926191384</v>
      </c>
      <c r="C29">
        <f t="shared" si="1"/>
        <v>142.39817755062944</v>
      </c>
    </row>
    <row r="30" spans="1:3">
      <c r="A30" s="17">
        <v>30</v>
      </c>
      <c r="B30">
        <f t="shared" si="0"/>
        <v>116.06437906388757</v>
      </c>
      <c r="C30">
        <f t="shared" si="1"/>
        <v>144.93845354655463</v>
      </c>
    </row>
    <row r="31" spans="1:3">
      <c r="A31" s="17">
        <v>31</v>
      </c>
      <c r="B31">
        <f t="shared" si="0"/>
        <v>118.6671788658613</v>
      </c>
      <c r="C31">
        <f t="shared" si="1"/>
        <v>147.54972176934314</v>
      </c>
    </row>
    <row r="32" spans="1:3">
      <c r="A32" s="17">
        <v>32</v>
      </c>
      <c r="B32">
        <f t="shared" si="0"/>
        <v>121.26997866783503</v>
      </c>
      <c r="C32">
        <f t="shared" si="1"/>
        <v>150.23191994505422</v>
      </c>
    </row>
    <row r="33" spans="1:3">
      <c r="A33" s="17">
        <v>33</v>
      </c>
      <c r="B33">
        <f t="shared" ref="B33:B64" si="2">40.5831848066494+(A33-1)*2.60279980197373</f>
        <v>123.87277846980876</v>
      </c>
      <c r="C33">
        <f t="shared" ref="C33:C64" si="3">0+1*B33+28.0989448005943*(1.05555555555556+(B33-117.055555555556)^2/2606.88076916677)^0.5</f>
        <v>152.98446772260678</v>
      </c>
    </row>
    <row r="34" spans="1:3">
      <c r="A34" s="17">
        <v>34</v>
      </c>
      <c r="B34">
        <f t="shared" si="2"/>
        <v>126.4755782717825</v>
      </c>
      <c r="C34">
        <f t="shared" si="3"/>
        <v>155.80628761183453</v>
      </c>
    </row>
    <row r="35" spans="1:3">
      <c r="A35" s="17">
        <v>35</v>
      </c>
      <c r="B35">
        <f t="shared" si="2"/>
        <v>129.07837807375623</v>
      </c>
      <c r="C35">
        <f t="shared" si="3"/>
        <v>158.69584285828017</v>
      </c>
    </row>
    <row r="36" spans="1:3">
      <c r="A36" s="17">
        <v>36</v>
      </c>
      <c r="B36">
        <f t="shared" si="2"/>
        <v>131.68117787572996</v>
      </c>
      <c r="C36">
        <f t="shared" si="3"/>
        <v>161.65118923320486</v>
      </c>
    </row>
    <row r="37" spans="1:3">
      <c r="A37" s="17">
        <v>37</v>
      </c>
      <c r="B37">
        <f t="shared" si="2"/>
        <v>134.28397767770369</v>
      </c>
      <c r="C37">
        <f t="shared" si="3"/>
        <v>164.67003684806326</v>
      </c>
    </row>
    <row r="38" spans="1:3">
      <c r="A38" s="17">
        <v>38</v>
      </c>
      <c r="B38">
        <f t="shared" si="2"/>
        <v>136.88677747967742</v>
      </c>
      <c r="C38">
        <f t="shared" si="3"/>
        <v>167.74981773294425</v>
      </c>
    </row>
    <row r="39" spans="1:3">
      <c r="A39" s="17">
        <v>39</v>
      </c>
      <c r="B39">
        <f t="shared" si="2"/>
        <v>139.48957728165115</v>
      </c>
      <c r="C39">
        <f t="shared" si="3"/>
        <v>170.88775503256059</v>
      </c>
    </row>
    <row r="40" spans="1:3">
      <c r="A40" s="17">
        <v>40</v>
      </c>
      <c r="B40">
        <f t="shared" si="2"/>
        <v>142.09237708362488</v>
      </c>
      <c r="C40">
        <f t="shared" si="3"/>
        <v>174.08093017865247</v>
      </c>
    </row>
    <row r="41" spans="1:3">
      <c r="A41" s="17">
        <v>41</v>
      </c>
      <c r="B41">
        <f t="shared" si="2"/>
        <v>144.69517688559861</v>
      </c>
      <c r="C41">
        <f t="shared" si="3"/>
        <v>177.32634515738826</v>
      </c>
    </row>
    <row r="42" spans="1:3">
      <c r="A42" s="17">
        <v>42</v>
      </c>
      <c r="B42">
        <f t="shared" si="2"/>
        <v>147.29797668757232</v>
      </c>
      <c r="C42">
        <f t="shared" si="3"/>
        <v>180.62097785918144</v>
      </c>
    </row>
    <row r="43" spans="1:3">
      <c r="A43" s="17">
        <v>43</v>
      </c>
      <c r="B43">
        <f t="shared" si="2"/>
        <v>149.90077648954605</v>
      </c>
      <c r="C43">
        <f t="shared" si="3"/>
        <v>183.9618293507985</v>
      </c>
    </row>
    <row r="44" spans="1:3">
      <c r="A44" s="17">
        <v>44</v>
      </c>
      <c r="B44">
        <f t="shared" si="2"/>
        <v>152.50357629151978</v>
      </c>
      <c r="C44">
        <f t="shared" si="3"/>
        <v>187.34596265617287</v>
      </c>
    </row>
    <row r="45" spans="1:3">
      <c r="A45" s="17">
        <v>45</v>
      </c>
      <c r="B45">
        <f t="shared" si="2"/>
        <v>155.10637609349351</v>
      </c>
      <c r="C45">
        <f t="shared" si="3"/>
        <v>190.77053322335223</v>
      </c>
    </row>
    <row r="46" spans="1:3">
      <c r="A46" s="17">
        <v>46</v>
      </c>
      <c r="B46">
        <f t="shared" si="2"/>
        <v>157.70917589546724</v>
      </c>
      <c r="C46">
        <f t="shared" si="3"/>
        <v>194.23281167581501</v>
      </c>
    </row>
    <row r="47" spans="1:3">
      <c r="A47" s="17">
        <v>47</v>
      </c>
      <c r="B47">
        <f t="shared" si="2"/>
        <v>160.31197569744097</v>
      </c>
      <c r="C47">
        <f t="shared" si="3"/>
        <v>197.73019970768104</v>
      </c>
    </row>
    <row r="48" spans="1:3">
      <c r="A48" s="17">
        <v>48</v>
      </c>
      <c r="B48">
        <f t="shared" si="2"/>
        <v>162.9147754994147</v>
      </c>
      <c r="C48">
        <f t="shared" si="3"/>
        <v>201.26024010969516</v>
      </c>
    </row>
    <row r="49" spans="1:3">
      <c r="A49" s="17">
        <v>49</v>
      </c>
      <c r="B49">
        <f t="shared" si="2"/>
        <v>165.51757530138843</v>
      </c>
      <c r="C49">
        <f t="shared" si="3"/>
        <v>204.82062193786174</v>
      </c>
    </row>
    <row r="50" spans="1:3">
      <c r="A50" s="17">
        <v>50</v>
      </c>
      <c r="B50">
        <f t="shared" si="2"/>
        <v>168.12037510336216</v>
      </c>
      <c r="C50">
        <f t="shared" si="3"/>
        <v>208.40918179048157</v>
      </c>
    </row>
    <row r="51" spans="1:3">
      <c r="A51" s="17">
        <v>51</v>
      </c>
      <c r="B51">
        <f t="shared" si="2"/>
        <v>170.7231749053359</v>
      </c>
      <c r="C51">
        <f t="shared" si="3"/>
        <v>212.02390206925057</v>
      </c>
    </row>
    <row r="52" spans="1:3">
      <c r="A52" s="17">
        <v>52</v>
      </c>
      <c r="B52">
        <f t="shared" si="2"/>
        <v>173.32597470730963</v>
      </c>
      <c r="C52">
        <f t="shared" si="3"/>
        <v>215.66290698749401</v>
      </c>
    </row>
    <row r="53" spans="1:3">
      <c r="A53" s="17">
        <v>53</v>
      </c>
      <c r="B53">
        <f t="shared" si="2"/>
        <v>175.92877450928336</v>
      </c>
      <c r="C53">
        <f t="shared" si="3"/>
        <v>219.32445696916039</v>
      </c>
    </row>
    <row r="54" spans="1:3">
      <c r="A54" s="17">
        <v>54</v>
      </c>
      <c r="B54">
        <f t="shared" si="2"/>
        <v>178.53157431125709</v>
      </c>
      <c r="C54">
        <f t="shared" si="3"/>
        <v>223.00694196631753</v>
      </c>
    </row>
    <row r="55" spans="1:3">
      <c r="A55" s="17">
        <v>55</v>
      </c>
      <c r="B55">
        <f t="shared" si="2"/>
        <v>181.13437411323082</v>
      </c>
      <c r="C55">
        <f t="shared" si="3"/>
        <v>226.70887411684987</v>
      </c>
    </row>
    <row r="56" spans="1:3">
      <c r="A56" s="17">
        <v>56</v>
      </c>
      <c r="B56">
        <f t="shared" si="2"/>
        <v>183.73717391520455</v>
      </c>
      <c r="C56">
        <f t="shared" si="3"/>
        <v>230.42888007100601</v>
      </c>
    </row>
    <row r="57" spans="1:3">
      <c r="A57" s="17">
        <v>57</v>
      </c>
      <c r="B57">
        <f t="shared" si="2"/>
        <v>186.33997371717828</v>
      </c>
      <c r="C57">
        <f t="shared" si="3"/>
        <v>234.16569323641085</v>
      </c>
    </row>
    <row r="58" spans="1:3">
      <c r="A58" s="17">
        <v>58</v>
      </c>
      <c r="B58">
        <f t="shared" si="2"/>
        <v>188.94277351915201</v>
      </c>
      <c r="C58">
        <f t="shared" si="3"/>
        <v>237.91814612577602</v>
      </c>
    </row>
    <row r="59" spans="1:3">
      <c r="A59" s="17">
        <v>59</v>
      </c>
      <c r="B59">
        <f t="shared" si="2"/>
        <v>191.54557332112574</v>
      </c>
      <c r="C59">
        <f t="shared" si="3"/>
        <v>241.68516293867017</v>
      </c>
    </row>
    <row r="60" spans="1:3">
      <c r="A60" s="17">
        <v>60</v>
      </c>
      <c r="B60">
        <f t="shared" si="2"/>
        <v>194.14837312309947</v>
      </c>
      <c r="C60">
        <f t="shared" si="3"/>
        <v>245.46575246681346</v>
      </c>
    </row>
    <row r="61" spans="1:3">
      <c r="A61" s="17">
        <v>61</v>
      </c>
      <c r="B61">
        <f t="shared" si="2"/>
        <v>196.75117292507321</v>
      </c>
      <c r="C61">
        <f t="shared" si="3"/>
        <v>249.25900137979289</v>
      </c>
    </row>
    <row r="62" spans="1:3">
      <c r="A62" s="17">
        <v>62</v>
      </c>
      <c r="B62">
        <f t="shared" si="2"/>
        <v>199.35397272704694</v>
      </c>
      <c r="C62">
        <f t="shared" si="3"/>
        <v>253.06406792326362</v>
      </c>
    </row>
    <row r="63" spans="1:3">
      <c r="A63" s="17">
        <v>63</v>
      </c>
      <c r="B63">
        <f t="shared" si="2"/>
        <v>201.95677252902067</v>
      </c>
      <c r="C63">
        <f t="shared" si="3"/>
        <v>256.88017604314939</v>
      </c>
    </row>
    <row r="64" spans="1:3">
      <c r="A64" s="17">
        <v>64</v>
      </c>
      <c r="B64">
        <f t="shared" si="2"/>
        <v>204.5595723309944</v>
      </c>
      <c r="C64">
        <f t="shared" si="3"/>
        <v>260.70660993582015</v>
      </c>
    </row>
    <row r="65" spans="1:3">
      <c r="A65" s="17">
        <v>65</v>
      </c>
      <c r="B65">
        <f t="shared" ref="B65:B70" si="4">40.5831848066494+(A65-1)*2.60279980197373</f>
        <v>207.16237213296813</v>
      </c>
      <c r="C65">
        <f t="shared" ref="C65:C70" si="5">0+1*B65+28.0989448005943*(1.05555555555556+(B65-117.055555555556)^2/2606.88076916677)^0.5</f>
        <v>264.54270901462456</v>
      </c>
    </row>
    <row r="66" spans="1:3">
      <c r="A66" s="17">
        <v>66</v>
      </c>
      <c r="B66">
        <f t="shared" si="4"/>
        <v>209.76517193494186</v>
      </c>
      <c r="C66">
        <f t="shared" si="5"/>
        <v>268.38786327660415</v>
      </c>
    </row>
    <row r="67" spans="1:3">
      <c r="A67" s="17">
        <v>67</v>
      </c>
      <c r="B67">
        <f t="shared" si="4"/>
        <v>212.36797173691559</v>
      </c>
      <c r="C67">
        <f t="shared" si="5"/>
        <v>272.24150904898681</v>
      </c>
    </row>
    <row r="68" spans="1:3">
      <c r="A68" s="17">
        <v>68</v>
      </c>
      <c r="B68">
        <f t="shared" si="4"/>
        <v>214.97077153888932</v>
      </c>
      <c r="C68">
        <f t="shared" si="5"/>
        <v>276.10312509257585</v>
      </c>
    </row>
    <row r="69" spans="1:3">
      <c r="A69" s="17">
        <v>69</v>
      </c>
      <c r="B69">
        <f t="shared" si="4"/>
        <v>217.57357134086305</v>
      </c>
      <c r="C69">
        <f t="shared" si="5"/>
        <v>279.97222903795324</v>
      </c>
    </row>
    <row r="70" spans="1:3">
      <c r="A70" s="17">
        <v>70</v>
      </c>
      <c r="B70">
        <f t="shared" si="4"/>
        <v>220.17637114283679</v>
      </c>
      <c r="C70">
        <f t="shared" si="5"/>
        <v>283.84837413015526</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8" workbookViewId="0">
      <selection activeCell="F21" sqref="F21"/>
    </sheetView>
  </sheetViews>
  <sheetFormatPr baseColWidth="10" defaultColWidth="8.83203125" defaultRowHeight="14" x14ac:dyDescent="0"/>
  <cols>
    <col min="1" max="1" width="8.83203125" style="131"/>
    <col min="2" max="2" width="10" style="131" customWidth="1"/>
    <col min="3" max="3" width="12.33203125" style="131" customWidth="1"/>
    <col min="4" max="4" width="8.83203125" style="131"/>
    <col min="5" max="5" width="17.5" style="131" customWidth="1"/>
    <col min="6" max="6" width="8.83203125" style="131"/>
    <col min="7" max="7" width="15.6640625" style="131" bestFit="1" customWidth="1"/>
    <col min="8" max="9" width="8.83203125" style="131"/>
    <col min="10" max="10" width="14" style="131" bestFit="1" customWidth="1"/>
    <col min="11" max="16384" width="8.83203125" style="131"/>
  </cols>
  <sheetData>
    <row r="1" spans="1:10">
      <c r="A1" s="139" t="s">
        <v>120</v>
      </c>
      <c r="B1" s="139" t="s">
        <v>116</v>
      </c>
      <c r="C1" s="139" t="s">
        <v>148</v>
      </c>
      <c r="D1" s="139" t="s">
        <v>147</v>
      </c>
      <c r="E1" s="139" t="s">
        <v>146</v>
      </c>
      <c r="F1" s="139" t="s">
        <v>145</v>
      </c>
      <c r="G1" s="139" t="s">
        <v>144</v>
      </c>
    </row>
    <row r="2" spans="1:10">
      <c r="A2" s="136">
        <v>1</v>
      </c>
      <c r="B2" s="136">
        <v>51</v>
      </c>
      <c r="C2" s="137">
        <f t="shared" ref="C2:C11" si="0">B2/45.6</f>
        <v>1.118421052631579</v>
      </c>
      <c r="D2" s="136" t="s">
        <v>140</v>
      </c>
      <c r="E2" s="137">
        <f t="shared" ref="E2:E21" si="1">B2/47.05</f>
        <v>1.0839532412327313</v>
      </c>
      <c r="F2" s="136" t="s">
        <v>140</v>
      </c>
      <c r="G2" s="136" t="s">
        <v>140</v>
      </c>
      <c r="I2" s="252" t="s">
        <v>143</v>
      </c>
      <c r="J2" s="252"/>
    </row>
    <row r="3" spans="1:10">
      <c r="A3" s="136">
        <v>2</v>
      </c>
      <c r="B3" s="136">
        <v>42</v>
      </c>
      <c r="C3" s="137">
        <f t="shared" si="0"/>
        <v>0.92105263157894735</v>
      </c>
      <c r="D3" s="136" t="s">
        <v>140</v>
      </c>
      <c r="E3" s="137">
        <f t="shared" si="1"/>
        <v>0.89266737513283745</v>
      </c>
      <c r="F3" s="136" t="s">
        <v>140</v>
      </c>
      <c r="G3" s="136" t="s">
        <v>140</v>
      </c>
      <c r="I3" s="136" t="s">
        <v>142</v>
      </c>
      <c r="J3" s="136">
        <v>45.6</v>
      </c>
    </row>
    <row r="4" spans="1:10">
      <c r="A4" s="136">
        <v>3</v>
      </c>
      <c r="B4" s="136">
        <v>42</v>
      </c>
      <c r="C4" s="137">
        <f t="shared" si="0"/>
        <v>0.92105263157894735</v>
      </c>
      <c r="D4" s="136" t="s">
        <v>140</v>
      </c>
      <c r="E4" s="137">
        <f t="shared" si="1"/>
        <v>0.89266737513283745</v>
      </c>
      <c r="F4" s="136" t="s">
        <v>140</v>
      </c>
      <c r="G4" s="136" t="s">
        <v>140</v>
      </c>
      <c r="I4" s="136" t="s">
        <v>141</v>
      </c>
      <c r="J4" s="136">
        <f>SUM(B2:B21)/20</f>
        <v>47.05</v>
      </c>
    </row>
    <row r="5" spans="1:10">
      <c r="A5" s="136">
        <v>4</v>
      </c>
      <c r="B5" s="136">
        <v>45</v>
      </c>
      <c r="C5" s="137">
        <f t="shared" si="0"/>
        <v>0.98684210526315785</v>
      </c>
      <c r="D5" s="136" t="s">
        <v>140</v>
      </c>
      <c r="E5" s="137">
        <f t="shared" si="1"/>
        <v>0.95642933049946866</v>
      </c>
      <c r="F5" s="136" t="s">
        <v>140</v>
      </c>
      <c r="G5" s="136" t="s">
        <v>140</v>
      </c>
    </row>
    <row r="6" spans="1:10">
      <c r="A6" s="136">
        <v>5</v>
      </c>
      <c r="B6" s="136">
        <v>45</v>
      </c>
      <c r="C6" s="137">
        <f t="shared" si="0"/>
        <v>0.98684210526315785</v>
      </c>
      <c r="D6" s="136" t="s">
        <v>140</v>
      </c>
      <c r="E6" s="137">
        <f t="shared" si="1"/>
        <v>0.95642933049946866</v>
      </c>
      <c r="F6" s="136" t="s">
        <v>140</v>
      </c>
      <c r="G6" s="136" t="s">
        <v>140</v>
      </c>
    </row>
    <row r="7" spans="1:10">
      <c r="A7" s="136">
        <v>6</v>
      </c>
      <c r="B7" s="136">
        <v>47</v>
      </c>
      <c r="C7" s="137">
        <f t="shared" si="0"/>
        <v>1.0307017543859649</v>
      </c>
      <c r="D7" s="136" t="s">
        <v>140</v>
      </c>
      <c r="E7" s="137">
        <f t="shared" si="1"/>
        <v>0.99893730074388953</v>
      </c>
      <c r="F7" s="136" t="s">
        <v>140</v>
      </c>
      <c r="G7" s="136" t="s">
        <v>140</v>
      </c>
    </row>
    <row r="8" spans="1:10">
      <c r="A8" s="136">
        <v>7</v>
      </c>
      <c r="B8" s="136">
        <v>42</v>
      </c>
      <c r="C8" s="137">
        <f t="shared" si="0"/>
        <v>0.92105263157894735</v>
      </c>
      <c r="D8" s="136" t="s">
        <v>140</v>
      </c>
      <c r="E8" s="137">
        <f t="shared" si="1"/>
        <v>0.89266737513283745</v>
      </c>
      <c r="F8" s="136" t="s">
        <v>140</v>
      </c>
      <c r="G8" s="136" t="s">
        <v>140</v>
      </c>
    </row>
    <row r="9" spans="1:10">
      <c r="A9" s="136">
        <v>8</v>
      </c>
      <c r="B9" s="136">
        <v>46</v>
      </c>
      <c r="C9" s="137">
        <f t="shared" si="0"/>
        <v>1.0087719298245614</v>
      </c>
      <c r="D9" s="136" t="s">
        <v>140</v>
      </c>
      <c r="E9" s="137">
        <f t="shared" si="1"/>
        <v>0.97768331562167909</v>
      </c>
      <c r="F9" s="136" t="s">
        <v>140</v>
      </c>
      <c r="G9" s="136" t="s">
        <v>140</v>
      </c>
    </row>
    <row r="10" spans="1:10">
      <c r="A10" s="136">
        <v>9</v>
      </c>
      <c r="B10" s="136">
        <v>49</v>
      </c>
      <c r="C10" s="137">
        <f t="shared" si="0"/>
        <v>1.0745614035087718</v>
      </c>
      <c r="D10" s="136" t="s">
        <v>140</v>
      </c>
      <c r="E10" s="137">
        <f t="shared" si="1"/>
        <v>1.0414452709883104</v>
      </c>
      <c r="F10" s="136" t="s">
        <v>140</v>
      </c>
      <c r="G10" s="136" t="s">
        <v>140</v>
      </c>
    </row>
    <row r="11" spans="1:10">
      <c r="A11" s="136">
        <v>10</v>
      </c>
      <c r="B11" s="136">
        <v>47</v>
      </c>
      <c r="C11" s="137">
        <f t="shared" si="0"/>
        <v>1.0307017543859649</v>
      </c>
      <c r="D11" s="136" t="s">
        <v>140</v>
      </c>
      <c r="E11" s="137">
        <f t="shared" si="1"/>
        <v>0.99893730074388953</v>
      </c>
      <c r="F11" s="136" t="s">
        <v>140</v>
      </c>
      <c r="G11" s="136" t="s">
        <v>140</v>
      </c>
    </row>
    <row r="12" spans="1:10">
      <c r="A12" s="136">
        <v>11</v>
      </c>
      <c r="B12" s="136">
        <v>50</v>
      </c>
      <c r="C12" s="136" t="s">
        <v>140</v>
      </c>
      <c r="D12" s="136">
        <f t="shared" ref="D12:D21" si="2">45.6*(C2)</f>
        <v>51</v>
      </c>
      <c r="E12" s="137">
        <f t="shared" si="1"/>
        <v>1.0626992561105209</v>
      </c>
      <c r="F12" s="136" t="s">
        <v>140</v>
      </c>
      <c r="G12" s="136">
        <f t="shared" ref="G12:G21" si="3">ABS(B12-D12)</f>
        <v>1</v>
      </c>
    </row>
    <row r="13" spans="1:10">
      <c r="A13" s="136">
        <v>12</v>
      </c>
      <c r="B13" s="136">
        <v>49</v>
      </c>
      <c r="C13" s="136" t="s">
        <v>140</v>
      </c>
      <c r="D13" s="136">
        <f t="shared" si="2"/>
        <v>42</v>
      </c>
      <c r="E13" s="137">
        <f t="shared" si="1"/>
        <v>1.0414452709883104</v>
      </c>
      <c r="F13" s="136" t="s">
        <v>140</v>
      </c>
      <c r="G13" s="136">
        <f t="shared" si="3"/>
        <v>7</v>
      </c>
    </row>
    <row r="14" spans="1:10">
      <c r="A14" s="136">
        <v>13</v>
      </c>
      <c r="B14" s="136">
        <v>53</v>
      </c>
      <c r="C14" s="136" t="s">
        <v>140</v>
      </c>
      <c r="D14" s="136">
        <f t="shared" si="2"/>
        <v>42</v>
      </c>
      <c r="E14" s="137">
        <f t="shared" si="1"/>
        <v>1.1264612114771519</v>
      </c>
      <c r="F14" s="136" t="s">
        <v>140</v>
      </c>
      <c r="G14" s="136">
        <f t="shared" si="3"/>
        <v>11</v>
      </c>
    </row>
    <row r="15" spans="1:10">
      <c r="A15" s="136">
        <v>14</v>
      </c>
      <c r="B15" s="136">
        <v>52</v>
      </c>
      <c r="C15" s="136" t="s">
        <v>140</v>
      </c>
      <c r="D15" s="136">
        <f t="shared" si="2"/>
        <v>45</v>
      </c>
      <c r="E15" s="137">
        <f t="shared" si="1"/>
        <v>1.1052072263549415</v>
      </c>
      <c r="F15" s="136" t="s">
        <v>140</v>
      </c>
      <c r="G15" s="136">
        <f t="shared" si="3"/>
        <v>7</v>
      </c>
    </row>
    <row r="16" spans="1:10">
      <c r="A16" s="136">
        <v>15</v>
      </c>
      <c r="B16" s="136">
        <v>48</v>
      </c>
      <c r="C16" s="136" t="s">
        <v>140</v>
      </c>
      <c r="D16" s="136">
        <f t="shared" si="2"/>
        <v>45</v>
      </c>
      <c r="E16" s="137">
        <f t="shared" si="1"/>
        <v>1.0201912858661</v>
      </c>
      <c r="F16" s="136" t="s">
        <v>140</v>
      </c>
      <c r="G16" s="136">
        <f t="shared" si="3"/>
        <v>3</v>
      </c>
    </row>
    <row r="17" spans="1:10">
      <c r="A17" s="136">
        <v>16</v>
      </c>
      <c r="B17" s="136">
        <v>47</v>
      </c>
      <c r="C17" s="136" t="s">
        <v>140</v>
      </c>
      <c r="D17" s="136">
        <f t="shared" si="2"/>
        <v>47</v>
      </c>
      <c r="E17" s="137">
        <f t="shared" si="1"/>
        <v>0.99893730074388953</v>
      </c>
      <c r="F17" s="136" t="s">
        <v>140</v>
      </c>
      <c r="G17" s="136">
        <f t="shared" si="3"/>
        <v>0</v>
      </c>
    </row>
    <row r="18" spans="1:10">
      <c r="A18" s="136">
        <v>17</v>
      </c>
      <c r="B18" s="136">
        <v>45</v>
      </c>
      <c r="C18" s="136" t="s">
        <v>140</v>
      </c>
      <c r="D18" s="136">
        <f t="shared" si="2"/>
        <v>42</v>
      </c>
      <c r="E18" s="137">
        <f t="shared" si="1"/>
        <v>0.95642933049946866</v>
      </c>
      <c r="F18" s="138" t="s">
        <v>140</v>
      </c>
      <c r="G18" s="136">
        <f t="shared" si="3"/>
        <v>3</v>
      </c>
    </row>
    <row r="19" spans="1:10">
      <c r="A19" s="136">
        <v>18</v>
      </c>
      <c r="B19" s="136">
        <v>49</v>
      </c>
      <c r="C19" s="136" t="s">
        <v>140</v>
      </c>
      <c r="D19" s="136">
        <f t="shared" si="2"/>
        <v>46</v>
      </c>
      <c r="E19" s="137">
        <f t="shared" si="1"/>
        <v>1.0414452709883104</v>
      </c>
      <c r="F19" s="136" t="s">
        <v>140</v>
      </c>
      <c r="G19" s="136">
        <f t="shared" si="3"/>
        <v>3</v>
      </c>
    </row>
    <row r="20" spans="1:10">
      <c r="A20" s="136">
        <v>19</v>
      </c>
      <c r="B20" s="136">
        <v>42</v>
      </c>
      <c r="C20" s="136" t="s">
        <v>140</v>
      </c>
      <c r="D20" s="136">
        <f t="shared" si="2"/>
        <v>49</v>
      </c>
      <c r="E20" s="137">
        <f t="shared" si="1"/>
        <v>0.89266737513283745</v>
      </c>
      <c r="F20" s="136" t="s">
        <v>140</v>
      </c>
      <c r="G20" s="136">
        <f t="shared" si="3"/>
        <v>7</v>
      </c>
    </row>
    <row r="21" spans="1:10">
      <c r="A21" s="136">
        <v>20</v>
      </c>
      <c r="B21" s="136">
        <v>50</v>
      </c>
      <c r="C21" s="136" t="s">
        <v>140</v>
      </c>
      <c r="D21" s="136">
        <f t="shared" si="2"/>
        <v>47</v>
      </c>
      <c r="E21" s="137">
        <f t="shared" si="1"/>
        <v>1.0626992561105209</v>
      </c>
      <c r="F21" s="136" t="s">
        <v>140</v>
      </c>
      <c r="G21" s="136">
        <f t="shared" si="3"/>
        <v>3</v>
      </c>
    </row>
    <row r="22" spans="1:10">
      <c r="A22" s="133">
        <v>21</v>
      </c>
      <c r="B22" s="133"/>
      <c r="C22" s="133"/>
      <c r="D22" s="133"/>
      <c r="E22" s="133"/>
      <c r="F22" s="134">
        <f>47.05*(E2)</f>
        <v>51.000000000000007</v>
      </c>
      <c r="G22" s="133"/>
      <c r="J22" s="135"/>
    </row>
    <row r="23" spans="1:10">
      <c r="A23" s="133">
        <v>22</v>
      </c>
      <c r="B23" s="133"/>
      <c r="C23" s="133"/>
      <c r="D23" s="133"/>
      <c r="E23" s="133"/>
      <c r="F23" s="134">
        <f>47.05*(E3)</f>
        <v>42</v>
      </c>
      <c r="G23" s="133"/>
    </row>
    <row r="24" spans="1:10">
      <c r="A24" s="133">
        <v>23</v>
      </c>
      <c r="B24" s="133"/>
      <c r="C24" s="133"/>
      <c r="D24" s="133"/>
      <c r="E24" s="133"/>
      <c r="F24" s="134">
        <f>47.05*(E4)</f>
        <v>42</v>
      </c>
      <c r="G24" s="133"/>
    </row>
    <row r="25" spans="1:10">
      <c r="A25" s="133">
        <v>24</v>
      </c>
      <c r="B25" s="133"/>
      <c r="C25" s="133"/>
      <c r="D25" s="133"/>
      <c r="E25" s="133"/>
      <c r="F25" s="134">
        <f>47.05*(E5)</f>
        <v>45</v>
      </c>
      <c r="G25" s="133"/>
    </row>
    <row r="26" spans="1:10">
      <c r="A26" s="133">
        <v>25</v>
      </c>
      <c r="B26" s="133"/>
      <c r="C26" s="133"/>
      <c r="D26" s="133"/>
      <c r="E26" s="133"/>
      <c r="F26" s="134">
        <f>47.05*(E6)</f>
        <v>45</v>
      </c>
      <c r="G26" s="133"/>
    </row>
    <row r="28" spans="1:10" ht="36.75" customHeight="1">
      <c r="B28" s="253" t="s">
        <v>139</v>
      </c>
      <c r="C28" s="253"/>
      <c r="D28" s="253"/>
      <c r="E28" s="132">
        <f>SUM(G12:G21)/10</f>
        <v>4.5</v>
      </c>
    </row>
  </sheetData>
  <mergeCells count="2">
    <mergeCell ref="I2:J2"/>
    <mergeCell ref="B28:D28"/>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39"/>
  <sheetViews>
    <sheetView topLeftCell="A4" workbookViewId="0">
      <selection activeCell="L27" sqref="L27"/>
    </sheetView>
  </sheetViews>
  <sheetFormatPr baseColWidth="10" defaultColWidth="8.83203125" defaultRowHeight="14" x14ac:dyDescent="0"/>
  <cols>
    <col min="1" max="1" width="8.83203125" style="131"/>
    <col min="2" max="2" width="29.5" style="131" customWidth="1"/>
    <col min="3" max="9" width="8.83203125" style="131"/>
    <col min="10" max="10" width="10.1640625" style="131" bestFit="1" customWidth="1"/>
    <col min="11" max="11" width="8.5" style="131" customWidth="1"/>
    <col min="12" max="12" width="21.33203125" style="131" customWidth="1"/>
    <col min="13" max="16" width="8.83203125" style="131"/>
    <col min="17" max="17" width="24.83203125" style="131" customWidth="1"/>
    <col min="18" max="16384" width="8.83203125" style="131"/>
  </cols>
  <sheetData>
    <row r="1" spans="2:20">
      <c r="B1" s="140"/>
      <c r="C1" s="140"/>
      <c r="D1" s="140"/>
      <c r="E1" s="140"/>
      <c r="F1" s="140"/>
      <c r="G1" s="140"/>
      <c r="H1" s="140"/>
      <c r="I1" s="140"/>
      <c r="J1" s="140"/>
      <c r="K1" s="140"/>
      <c r="L1" s="140"/>
      <c r="M1" s="140"/>
      <c r="N1" s="140"/>
      <c r="O1" s="140"/>
      <c r="P1" s="140"/>
      <c r="Q1" s="140"/>
      <c r="R1" s="140"/>
      <c r="S1" s="140"/>
      <c r="T1" s="109"/>
    </row>
    <row r="2" spans="2:20">
      <c r="B2" s="140"/>
      <c r="C2" s="140"/>
      <c r="D2" s="140"/>
      <c r="E2" s="140"/>
      <c r="F2" s="140"/>
      <c r="G2" s="140"/>
      <c r="H2" s="140"/>
      <c r="I2" s="140"/>
      <c r="J2" s="140"/>
      <c r="K2" s="140"/>
      <c r="L2" s="140"/>
      <c r="M2" s="140"/>
      <c r="N2" s="140"/>
      <c r="O2" s="140"/>
      <c r="P2" s="140"/>
      <c r="Q2" s="140"/>
      <c r="R2" s="140"/>
      <c r="S2" s="140"/>
      <c r="T2" s="109"/>
    </row>
    <row r="3" spans="2:20">
      <c r="B3" s="140"/>
      <c r="C3" s="140"/>
      <c r="D3" s="140"/>
      <c r="E3" s="140"/>
      <c r="F3" s="140"/>
      <c r="G3" s="140"/>
      <c r="H3" s="140"/>
      <c r="I3" s="140"/>
      <c r="J3" s="140"/>
      <c r="K3" s="141"/>
      <c r="L3" s="141"/>
      <c r="M3" s="141"/>
      <c r="N3" s="141"/>
      <c r="O3" s="141"/>
      <c r="P3" s="141"/>
      <c r="Q3" s="140"/>
      <c r="R3" s="141"/>
      <c r="S3" s="141"/>
      <c r="T3" s="142"/>
    </row>
    <row r="4" spans="2:20">
      <c r="B4" s="141"/>
      <c r="C4" s="144" t="s">
        <v>161</v>
      </c>
      <c r="D4" s="143"/>
      <c r="E4" s="143"/>
      <c r="F4" s="140"/>
      <c r="G4" s="140"/>
      <c r="H4" s="109"/>
      <c r="I4" s="109"/>
      <c r="J4" s="140"/>
      <c r="K4" s="140"/>
      <c r="L4" s="140"/>
      <c r="M4" s="140" t="s">
        <v>160</v>
      </c>
      <c r="N4" s="140"/>
      <c r="O4" s="140"/>
      <c r="P4" s="140"/>
      <c r="Q4" s="140"/>
      <c r="R4" s="140"/>
      <c r="S4" s="140"/>
      <c r="T4" s="109"/>
    </row>
    <row r="5" spans="2:20">
      <c r="B5" s="141"/>
      <c r="C5" s="140"/>
      <c r="D5" s="140"/>
      <c r="E5" s="140"/>
      <c r="F5" s="140"/>
      <c r="G5" s="140"/>
      <c r="H5" s="140"/>
      <c r="I5" s="140"/>
      <c r="J5" s="140"/>
      <c r="K5" s="140"/>
      <c r="L5" s="140" t="s">
        <v>20</v>
      </c>
      <c r="M5" s="141">
        <v>82</v>
      </c>
      <c r="N5" s="140"/>
      <c r="O5" s="140"/>
      <c r="P5" s="140"/>
      <c r="Q5" s="140"/>
      <c r="R5" s="140"/>
      <c r="S5" s="140"/>
      <c r="T5" s="109"/>
    </row>
    <row r="6" spans="2:20">
      <c r="B6" s="150" t="s">
        <v>9</v>
      </c>
      <c r="C6" s="150">
        <v>21</v>
      </c>
      <c r="D6" s="150">
        <v>22</v>
      </c>
      <c r="E6" s="150">
        <v>23</v>
      </c>
      <c r="F6" s="150">
        <v>24</v>
      </c>
      <c r="G6" s="150">
        <v>25</v>
      </c>
      <c r="H6" s="150" t="s">
        <v>149</v>
      </c>
      <c r="I6" s="150" t="s">
        <v>32</v>
      </c>
      <c r="J6" s="140"/>
      <c r="K6" s="140"/>
      <c r="L6" s="140" t="s">
        <v>159</v>
      </c>
      <c r="M6" s="140">
        <v>10</v>
      </c>
      <c r="N6" s="140"/>
      <c r="O6" s="140"/>
      <c r="P6" s="140"/>
      <c r="Q6" s="140"/>
      <c r="R6" s="140"/>
      <c r="S6" s="140"/>
      <c r="T6" s="109"/>
    </row>
    <row r="7" spans="2:20">
      <c r="B7" s="150" t="s">
        <v>152</v>
      </c>
      <c r="C7" s="151">
        <v>0</v>
      </c>
      <c r="D7" s="151">
        <v>0</v>
      </c>
      <c r="E7" s="151">
        <v>0</v>
      </c>
      <c r="F7" s="151">
        <v>0</v>
      </c>
      <c r="G7" s="151">
        <v>0</v>
      </c>
      <c r="H7" s="151"/>
      <c r="I7" s="151"/>
      <c r="J7" s="140"/>
      <c r="K7" s="140"/>
      <c r="L7" s="140" t="s">
        <v>158</v>
      </c>
      <c r="M7" s="140">
        <v>28</v>
      </c>
      <c r="N7" s="140"/>
      <c r="O7" s="140"/>
      <c r="P7" s="140"/>
      <c r="Q7" s="140"/>
      <c r="R7" s="140"/>
      <c r="S7" s="140"/>
      <c r="T7" s="109"/>
    </row>
    <row r="8" spans="2:20">
      <c r="B8" s="150" t="s">
        <v>11</v>
      </c>
      <c r="C8" s="151">
        <f>ROUNDUP(AVERAGE($C$9:$G$9),0)</f>
        <v>45</v>
      </c>
      <c r="D8" s="151">
        <f t="shared" ref="D8:G8" si="0">ROUNDUP(AVERAGE($C$9:$G$9),0)</f>
        <v>45</v>
      </c>
      <c r="E8" s="151">
        <f t="shared" si="0"/>
        <v>45</v>
      </c>
      <c r="F8" s="151">
        <f t="shared" si="0"/>
        <v>45</v>
      </c>
      <c r="G8" s="151">
        <f t="shared" si="0"/>
        <v>45</v>
      </c>
      <c r="H8" s="151">
        <v>225</v>
      </c>
      <c r="I8" s="151">
        <f>225*82</f>
        <v>18450</v>
      </c>
      <c r="J8" s="140"/>
      <c r="K8" s="140"/>
      <c r="L8" s="140" t="s">
        <v>23</v>
      </c>
      <c r="M8" s="140">
        <v>30</v>
      </c>
      <c r="N8" s="140"/>
      <c r="O8" s="140"/>
      <c r="P8" s="140"/>
      <c r="Q8" s="140"/>
      <c r="R8" s="140"/>
      <c r="S8" s="140"/>
      <c r="T8" s="109"/>
    </row>
    <row r="9" spans="2:20">
      <c r="B9" s="150" t="s">
        <v>12</v>
      </c>
      <c r="C9" s="151">
        <v>51</v>
      </c>
      <c r="D9" s="151">
        <v>42</v>
      </c>
      <c r="E9" s="151">
        <v>42</v>
      </c>
      <c r="F9" s="151">
        <v>45</v>
      </c>
      <c r="G9" s="151">
        <v>45</v>
      </c>
      <c r="H9" s="151">
        <f>SUM(C9:G9)</f>
        <v>225</v>
      </c>
      <c r="I9" s="151"/>
      <c r="J9" s="140"/>
      <c r="K9" s="140"/>
      <c r="L9" s="140" t="s">
        <v>24</v>
      </c>
      <c r="M9" s="140">
        <v>2000</v>
      </c>
      <c r="N9" s="140"/>
      <c r="O9" s="140"/>
      <c r="P9" s="140"/>
      <c r="Q9" s="140"/>
      <c r="R9" s="140"/>
      <c r="S9" s="140"/>
      <c r="T9" s="109"/>
    </row>
    <row r="10" spans="2:20">
      <c r="B10" s="150" t="s">
        <v>13</v>
      </c>
      <c r="C10" s="151">
        <v>2</v>
      </c>
      <c r="D10" s="151">
        <v>2</v>
      </c>
      <c r="E10" s="151">
        <v>2</v>
      </c>
      <c r="F10" s="151">
        <v>2</v>
      </c>
      <c r="G10" s="151">
        <v>2</v>
      </c>
      <c r="H10" s="151">
        <v>10</v>
      </c>
      <c r="I10" s="151"/>
      <c r="J10" s="140"/>
      <c r="K10" s="140"/>
      <c r="L10" s="140" t="s">
        <v>157</v>
      </c>
      <c r="M10" s="140">
        <v>1500</v>
      </c>
      <c r="N10" s="140"/>
      <c r="O10" s="140"/>
      <c r="P10" s="140"/>
      <c r="Q10" s="140"/>
      <c r="R10" s="140"/>
      <c r="S10" s="140"/>
      <c r="T10" s="109"/>
    </row>
    <row r="11" spans="2:20">
      <c r="B11" s="150" t="s">
        <v>14</v>
      </c>
      <c r="C11" s="151">
        <v>5</v>
      </c>
      <c r="D11" s="151">
        <v>2</v>
      </c>
      <c r="E11" s="151">
        <v>2</v>
      </c>
      <c r="F11" s="151">
        <v>2</v>
      </c>
      <c r="G11" s="151">
        <v>2</v>
      </c>
      <c r="H11" s="151"/>
      <c r="I11" s="151"/>
      <c r="J11" s="140"/>
      <c r="K11" s="140"/>
      <c r="L11" s="140" t="s">
        <v>10</v>
      </c>
      <c r="M11" s="140">
        <v>0</v>
      </c>
      <c r="N11" s="140"/>
      <c r="O11" s="140"/>
      <c r="P11" s="140"/>
      <c r="Q11" s="140"/>
      <c r="R11" s="140"/>
      <c r="S11" s="140"/>
      <c r="T11" s="109"/>
    </row>
    <row r="12" spans="2:20">
      <c r="B12" s="150" t="s">
        <v>15</v>
      </c>
      <c r="C12" s="151">
        <v>0</v>
      </c>
      <c r="D12" s="151">
        <v>0</v>
      </c>
      <c r="E12" s="151">
        <v>0</v>
      </c>
      <c r="F12" s="151">
        <v>0</v>
      </c>
      <c r="G12" s="151">
        <v>0</v>
      </c>
      <c r="H12" s="151"/>
      <c r="I12" s="151"/>
      <c r="J12" s="140"/>
      <c r="K12" s="140"/>
      <c r="L12" s="140" t="s">
        <v>25</v>
      </c>
      <c r="M12" s="140">
        <v>30</v>
      </c>
      <c r="N12" s="140"/>
      <c r="O12" s="140"/>
      <c r="P12" s="140"/>
      <c r="Q12" s="140"/>
      <c r="R12" s="140"/>
      <c r="S12" s="140"/>
      <c r="T12" s="109"/>
    </row>
    <row r="13" spans="2:20">
      <c r="B13" s="150" t="s">
        <v>16</v>
      </c>
      <c r="C13" s="151">
        <v>3</v>
      </c>
      <c r="D13" s="151">
        <v>0</v>
      </c>
      <c r="E13" s="151">
        <v>0</v>
      </c>
      <c r="F13" s="151">
        <v>0</v>
      </c>
      <c r="G13" s="151">
        <v>0</v>
      </c>
      <c r="H13" s="151">
        <v>3</v>
      </c>
      <c r="I13" s="151">
        <f>3*1500</f>
        <v>4500</v>
      </c>
      <c r="J13" s="140"/>
      <c r="K13" s="140"/>
      <c r="L13" s="140" t="s">
        <v>26</v>
      </c>
      <c r="M13" s="140">
        <v>5</v>
      </c>
      <c r="N13" s="140"/>
      <c r="O13" s="140"/>
      <c r="P13" s="140"/>
      <c r="Q13" s="140"/>
      <c r="R13" s="140"/>
      <c r="S13" s="140"/>
      <c r="T13" s="109"/>
    </row>
    <row r="14" spans="2:20">
      <c r="B14" s="150" t="s">
        <v>151</v>
      </c>
      <c r="C14" s="151">
        <v>0</v>
      </c>
      <c r="D14" s="151">
        <v>3</v>
      </c>
      <c r="E14" s="151">
        <v>3</v>
      </c>
      <c r="F14" s="151">
        <v>0</v>
      </c>
      <c r="G14" s="151">
        <v>0</v>
      </c>
      <c r="H14" s="151"/>
      <c r="I14" s="151">
        <v>0</v>
      </c>
      <c r="J14" s="140"/>
      <c r="K14" s="140"/>
      <c r="L14" s="140"/>
      <c r="M14" s="140"/>
      <c r="N14" s="140"/>
      <c r="O14" s="140"/>
      <c r="P14" s="140"/>
      <c r="Q14" s="140"/>
      <c r="R14" s="140"/>
      <c r="S14" s="140"/>
      <c r="T14" s="109"/>
    </row>
    <row r="15" spans="2:20">
      <c r="B15" s="150" t="s">
        <v>17</v>
      </c>
      <c r="C15" s="151">
        <v>6</v>
      </c>
      <c r="D15" s="151">
        <v>3</v>
      </c>
      <c r="E15" s="151">
        <v>0</v>
      </c>
      <c r="F15" s="151">
        <v>0</v>
      </c>
      <c r="G15" s="151">
        <v>0</v>
      </c>
      <c r="H15" s="151"/>
      <c r="I15" s="151">
        <f>(6*28)+(3*28)</f>
        <v>252</v>
      </c>
      <c r="J15" s="140"/>
      <c r="K15" s="140"/>
      <c r="L15" s="140"/>
      <c r="M15" s="140"/>
      <c r="N15" s="140"/>
      <c r="O15" s="140"/>
      <c r="P15" s="140"/>
      <c r="Q15" s="140"/>
      <c r="R15" s="140"/>
      <c r="S15" s="140"/>
      <c r="T15" s="109"/>
    </row>
    <row r="16" spans="2:20">
      <c r="B16" s="150" t="s">
        <v>156</v>
      </c>
      <c r="C16" s="151">
        <v>0</v>
      </c>
      <c r="D16" s="151">
        <v>0</v>
      </c>
      <c r="E16" s="151">
        <v>0</v>
      </c>
      <c r="F16" s="151">
        <v>0</v>
      </c>
      <c r="G16" s="151">
        <v>0</v>
      </c>
      <c r="H16" s="151"/>
      <c r="I16" s="151"/>
      <c r="J16" s="140"/>
      <c r="K16" s="140"/>
      <c r="L16" s="140"/>
      <c r="M16" s="140"/>
      <c r="N16" s="140"/>
      <c r="O16" s="140"/>
      <c r="P16" s="140"/>
      <c r="Q16" s="145"/>
      <c r="R16" s="140"/>
      <c r="S16" s="140"/>
      <c r="T16" s="109"/>
    </row>
    <row r="17" spans="2:20">
      <c r="B17" s="150" t="s">
        <v>155</v>
      </c>
      <c r="C17" s="151">
        <v>15</v>
      </c>
      <c r="D17" s="151">
        <v>15</v>
      </c>
      <c r="E17" s="151">
        <v>15</v>
      </c>
      <c r="F17" s="151">
        <v>15</v>
      </c>
      <c r="G17" s="151">
        <v>15</v>
      </c>
      <c r="H17" s="151">
        <f>15*5</f>
        <v>75</v>
      </c>
      <c r="I17" s="151">
        <f>75*30</f>
        <v>2250</v>
      </c>
      <c r="J17" s="140"/>
      <c r="K17" s="140"/>
      <c r="L17" s="140"/>
      <c r="M17" s="140"/>
      <c r="N17" s="140"/>
      <c r="O17" s="140"/>
      <c r="P17" s="140"/>
      <c r="Q17" s="140"/>
      <c r="R17" s="140"/>
      <c r="S17" s="140"/>
      <c r="T17" s="109"/>
    </row>
    <row r="18" spans="2:20" ht="23">
      <c r="B18" s="152" t="s">
        <v>154</v>
      </c>
      <c r="C18" s="151"/>
      <c r="D18" s="151"/>
      <c r="E18" s="151"/>
      <c r="F18" s="151"/>
      <c r="G18" s="151"/>
      <c r="H18" s="151"/>
      <c r="I18" s="155">
        <f>I8+I13+I15+I17</f>
        <v>25452</v>
      </c>
      <c r="J18" s="140"/>
      <c r="K18" s="140"/>
      <c r="L18" s="140"/>
      <c r="M18" s="140"/>
      <c r="N18" s="140"/>
      <c r="O18" s="140"/>
      <c r="P18" s="140"/>
      <c r="Q18" s="140"/>
      <c r="R18" s="140"/>
      <c r="S18" s="140"/>
      <c r="T18" s="109"/>
    </row>
    <row r="19" spans="2:20">
      <c r="B19" s="140"/>
      <c r="C19" s="140"/>
      <c r="D19" s="140"/>
      <c r="E19" s="140"/>
      <c r="F19" s="140"/>
      <c r="G19" s="140"/>
      <c r="H19" s="140"/>
      <c r="I19" s="140"/>
      <c r="J19" s="141"/>
      <c r="K19" s="141"/>
      <c r="L19" s="141"/>
      <c r="M19" s="141"/>
      <c r="N19" s="141"/>
      <c r="O19" s="141"/>
      <c r="P19" s="141"/>
      <c r="Q19" s="141"/>
      <c r="R19" s="141"/>
      <c r="S19" s="141"/>
      <c r="T19" s="142"/>
    </row>
    <row r="20" spans="2:20">
      <c r="B20" s="140"/>
      <c r="C20" s="140"/>
      <c r="D20" s="140"/>
      <c r="E20" s="140"/>
      <c r="F20" s="140"/>
      <c r="G20" s="140"/>
      <c r="H20" s="140"/>
      <c r="I20" s="140"/>
      <c r="J20" s="140"/>
      <c r="K20" s="140"/>
      <c r="L20" s="140"/>
      <c r="M20" s="140"/>
      <c r="N20" s="140"/>
      <c r="O20" s="140"/>
      <c r="P20" s="140"/>
      <c r="Q20" s="140"/>
      <c r="R20" s="140"/>
      <c r="S20" s="140"/>
      <c r="T20" s="109"/>
    </row>
    <row r="21" spans="2:20">
      <c r="B21" s="140"/>
      <c r="C21" s="144"/>
      <c r="D21" s="143"/>
      <c r="E21" s="143"/>
      <c r="F21" s="140"/>
      <c r="G21" s="140"/>
      <c r="H21" s="140"/>
      <c r="I21" s="140"/>
      <c r="J21" s="140"/>
      <c r="K21" s="140"/>
      <c r="L21" s="141"/>
      <c r="M21" s="141"/>
      <c r="N21" s="141"/>
      <c r="O21" s="141"/>
      <c r="P21" s="141"/>
      <c r="Q21" s="141"/>
      <c r="R21" s="141"/>
      <c r="S21" s="141"/>
      <c r="T21" s="142"/>
    </row>
    <row r="22" spans="2:20">
      <c r="B22" s="141"/>
      <c r="C22" s="141" t="s">
        <v>153</v>
      </c>
      <c r="D22" s="141"/>
      <c r="E22" s="141"/>
      <c r="F22" s="141"/>
      <c r="G22" s="141"/>
      <c r="H22" s="109"/>
      <c r="I22" s="109"/>
      <c r="J22" s="140"/>
      <c r="K22" s="140"/>
      <c r="L22" s="140"/>
      <c r="M22" s="140"/>
      <c r="N22" s="140"/>
      <c r="O22" s="140"/>
      <c r="P22" s="140"/>
      <c r="Q22" s="140"/>
      <c r="R22" s="140"/>
      <c r="S22" s="140"/>
      <c r="T22" s="109"/>
    </row>
    <row r="23" spans="2:20">
      <c r="B23" s="141"/>
      <c r="C23" s="140"/>
      <c r="D23" s="140"/>
      <c r="E23" s="140"/>
      <c r="F23" s="140"/>
      <c r="G23" s="140"/>
      <c r="H23" s="140"/>
      <c r="I23" s="140"/>
      <c r="J23" s="140"/>
      <c r="K23" s="140"/>
      <c r="L23" s="140"/>
      <c r="M23" s="140"/>
      <c r="N23" s="140"/>
      <c r="O23" s="140"/>
      <c r="P23" s="140"/>
      <c r="Q23" s="140"/>
      <c r="R23" s="140"/>
      <c r="S23" s="140"/>
      <c r="T23" s="109"/>
    </row>
    <row r="24" spans="2:20">
      <c r="B24" s="150" t="s">
        <v>9</v>
      </c>
      <c r="C24" s="150">
        <v>21</v>
      </c>
      <c r="D24" s="150">
        <v>22</v>
      </c>
      <c r="E24" s="150">
        <v>23</v>
      </c>
      <c r="F24" s="150">
        <v>24</v>
      </c>
      <c r="G24" s="150">
        <v>25</v>
      </c>
      <c r="H24" s="150" t="s">
        <v>19</v>
      </c>
      <c r="I24" s="150" t="s">
        <v>32</v>
      </c>
      <c r="J24" s="140"/>
      <c r="K24" s="140"/>
      <c r="L24" s="140"/>
      <c r="M24" s="140"/>
      <c r="N24" s="140"/>
      <c r="O24" s="140"/>
      <c r="P24" s="140"/>
      <c r="Q24" s="140"/>
      <c r="R24" s="140"/>
      <c r="S24" s="140"/>
      <c r="T24" s="109"/>
    </row>
    <row r="25" spans="2:20">
      <c r="B25" s="150" t="s">
        <v>152</v>
      </c>
      <c r="C25" s="151">
        <v>0</v>
      </c>
      <c r="D25" s="151">
        <v>0</v>
      </c>
      <c r="E25" s="151">
        <v>0</v>
      </c>
      <c r="F25" s="151">
        <v>0</v>
      </c>
      <c r="G25" s="151">
        <v>0</v>
      </c>
      <c r="H25" s="151"/>
      <c r="I25" s="151"/>
      <c r="J25" s="140"/>
      <c r="K25" s="140"/>
      <c r="L25" s="140"/>
      <c r="M25" s="140"/>
      <c r="N25" s="140"/>
      <c r="O25" s="140"/>
      <c r="P25" s="140"/>
      <c r="Q25" s="140"/>
      <c r="R25" s="140"/>
      <c r="S25" s="140"/>
      <c r="T25" s="109"/>
    </row>
    <row r="26" spans="2:20">
      <c r="B26" s="150" t="s">
        <v>11</v>
      </c>
      <c r="C26" s="151">
        <f>C27</f>
        <v>51</v>
      </c>
      <c r="D26" s="151">
        <f t="shared" ref="D26:G26" si="1">D27</f>
        <v>42</v>
      </c>
      <c r="E26" s="151">
        <f t="shared" si="1"/>
        <v>42</v>
      </c>
      <c r="F26" s="151">
        <f t="shared" si="1"/>
        <v>45</v>
      </c>
      <c r="G26" s="151">
        <f t="shared" si="1"/>
        <v>45</v>
      </c>
      <c r="H26" s="151">
        <v>225</v>
      </c>
      <c r="I26" s="151">
        <v>18450</v>
      </c>
      <c r="J26" s="140"/>
      <c r="K26" s="140"/>
      <c r="L26" s="140"/>
      <c r="M26" s="140"/>
      <c r="N26" s="140"/>
      <c r="O26" s="140"/>
      <c r="P26" s="140"/>
      <c r="Q26" s="140"/>
      <c r="R26" s="140"/>
      <c r="S26" s="140"/>
      <c r="T26" s="109"/>
    </row>
    <row r="27" spans="2:20">
      <c r="B27" s="150" t="s">
        <v>12</v>
      </c>
      <c r="C27" s="151">
        <v>51</v>
      </c>
      <c r="D27" s="151">
        <v>42</v>
      </c>
      <c r="E27" s="151">
        <v>42</v>
      </c>
      <c r="F27" s="151">
        <v>45</v>
      </c>
      <c r="G27" s="151">
        <v>45</v>
      </c>
      <c r="H27" s="151">
        <f>SUM(C27:G27)</f>
        <v>225</v>
      </c>
      <c r="I27" s="151"/>
      <c r="J27" s="140"/>
      <c r="K27" s="140"/>
      <c r="L27" s="140"/>
      <c r="M27" s="140"/>
      <c r="N27" s="140"/>
      <c r="O27" s="140"/>
      <c r="P27" s="140"/>
      <c r="Q27" s="140"/>
      <c r="R27" s="140"/>
      <c r="S27" s="140"/>
      <c r="T27" s="109"/>
    </row>
    <row r="28" spans="2:20">
      <c r="B28" s="150" t="s">
        <v>13</v>
      </c>
      <c r="C28" s="151">
        <v>2</v>
      </c>
      <c r="D28" s="151">
        <v>2</v>
      </c>
      <c r="E28" s="151">
        <v>2</v>
      </c>
      <c r="F28" s="151">
        <v>2</v>
      </c>
      <c r="G28" s="151">
        <v>2</v>
      </c>
      <c r="H28" s="151"/>
      <c r="I28" s="151"/>
      <c r="J28" s="140"/>
      <c r="K28" s="140"/>
      <c r="L28" s="140"/>
      <c r="M28" s="140"/>
      <c r="N28" s="140"/>
      <c r="O28" s="140"/>
      <c r="P28" s="140"/>
      <c r="Q28" s="140"/>
      <c r="R28" s="140"/>
      <c r="S28" s="140"/>
      <c r="T28" s="109"/>
    </row>
    <row r="29" spans="2:20">
      <c r="B29" s="150" t="s">
        <v>14</v>
      </c>
      <c r="C29" s="151">
        <v>5</v>
      </c>
      <c r="D29" s="151">
        <v>2</v>
      </c>
      <c r="E29" s="151">
        <v>2</v>
      </c>
      <c r="F29" s="151">
        <v>2</v>
      </c>
      <c r="G29" s="151">
        <v>2</v>
      </c>
      <c r="H29" s="151"/>
      <c r="I29" s="151"/>
      <c r="J29" s="140"/>
      <c r="K29" s="140"/>
      <c r="L29" s="140"/>
      <c r="M29" s="140"/>
      <c r="N29" s="140"/>
      <c r="O29" s="140"/>
      <c r="P29" s="140"/>
      <c r="Q29" s="140"/>
      <c r="R29" s="140"/>
      <c r="S29" s="140"/>
      <c r="T29" s="109"/>
    </row>
    <row r="30" spans="2:20">
      <c r="B30" s="150" t="s">
        <v>15</v>
      </c>
      <c r="C30" s="151">
        <v>0</v>
      </c>
      <c r="D30" s="151">
        <v>0</v>
      </c>
      <c r="E30" s="151">
        <v>0</v>
      </c>
      <c r="F30" s="151">
        <v>0</v>
      </c>
      <c r="G30" s="151">
        <v>0</v>
      </c>
      <c r="H30" s="151"/>
      <c r="I30" s="151"/>
      <c r="J30" s="140"/>
      <c r="K30" s="140"/>
      <c r="L30" s="140"/>
      <c r="M30" s="140"/>
      <c r="N30" s="140"/>
      <c r="O30" s="140"/>
      <c r="P30" s="140"/>
      <c r="Q30" s="140"/>
      <c r="R30" s="140"/>
      <c r="S30" s="140"/>
      <c r="T30" s="109"/>
    </row>
    <row r="31" spans="2:20">
      <c r="B31" s="150" t="s">
        <v>16</v>
      </c>
      <c r="C31" s="151">
        <v>3</v>
      </c>
      <c r="D31" s="151">
        <v>0</v>
      </c>
      <c r="E31" s="151">
        <v>0</v>
      </c>
      <c r="F31" s="151">
        <v>0</v>
      </c>
      <c r="G31" s="151">
        <v>0</v>
      </c>
      <c r="H31" s="151"/>
      <c r="I31" s="151">
        <f>4500</f>
        <v>4500</v>
      </c>
      <c r="J31" s="140"/>
      <c r="K31" s="140"/>
      <c r="L31" s="140"/>
      <c r="M31" s="140"/>
      <c r="N31" s="140"/>
      <c r="O31" s="140"/>
      <c r="P31" s="140"/>
      <c r="Q31" s="140"/>
      <c r="R31" s="140"/>
      <c r="S31" s="140"/>
      <c r="T31" s="109"/>
    </row>
    <row r="32" spans="2:20">
      <c r="B32" s="150" t="s">
        <v>151</v>
      </c>
      <c r="C32" s="151">
        <v>0</v>
      </c>
      <c r="D32" s="151">
        <v>0</v>
      </c>
      <c r="E32" s="151">
        <v>0</v>
      </c>
      <c r="F32" s="151">
        <v>0</v>
      </c>
      <c r="G32" s="151">
        <v>0</v>
      </c>
      <c r="H32" s="151"/>
      <c r="I32" s="151"/>
      <c r="J32" s="140"/>
      <c r="K32" s="140"/>
      <c r="L32" s="140"/>
      <c r="M32" s="140"/>
      <c r="N32" s="140"/>
      <c r="O32" s="140"/>
      <c r="P32" s="140"/>
      <c r="Q32" s="140"/>
      <c r="R32" s="140"/>
      <c r="S32" s="140"/>
      <c r="T32" s="109"/>
    </row>
    <row r="33" spans="2:19">
      <c r="B33" s="150" t="s">
        <v>17</v>
      </c>
      <c r="C33" s="151">
        <v>0</v>
      </c>
      <c r="D33" s="151">
        <v>0</v>
      </c>
      <c r="E33" s="151">
        <v>0</v>
      </c>
      <c r="F33" s="151">
        <v>0</v>
      </c>
      <c r="G33" s="151">
        <v>0</v>
      </c>
      <c r="H33" s="151"/>
      <c r="I33" s="151">
        <v>0</v>
      </c>
      <c r="J33" s="140"/>
      <c r="K33" s="140"/>
      <c r="L33" s="140"/>
      <c r="M33" s="140"/>
      <c r="N33" s="140"/>
      <c r="O33" s="140"/>
      <c r="P33" s="140"/>
      <c r="Q33" s="140"/>
      <c r="R33" s="140"/>
      <c r="S33" s="140"/>
    </row>
    <row r="34" spans="2:19">
      <c r="B34" s="150" t="s">
        <v>150</v>
      </c>
      <c r="C34" s="151">
        <v>0</v>
      </c>
      <c r="D34" s="151">
        <v>0</v>
      </c>
      <c r="E34" s="151">
        <v>0</v>
      </c>
      <c r="F34" s="151">
        <v>0</v>
      </c>
      <c r="G34" s="151">
        <v>0</v>
      </c>
      <c r="H34" s="151"/>
      <c r="I34" s="151">
        <v>0</v>
      </c>
      <c r="J34" s="140"/>
      <c r="K34" s="140"/>
      <c r="L34" s="140"/>
      <c r="M34" s="140"/>
      <c r="N34" s="140"/>
      <c r="O34" s="140"/>
      <c r="P34" s="140"/>
      <c r="Q34" s="140"/>
      <c r="R34" s="140"/>
      <c r="S34" s="140"/>
    </row>
    <row r="35" spans="2:19">
      <c r="B35" s="150" t="s">
        <v>18</v>
      </c>
      <c r="C35" s="151">
        <v>9</v>
      </c>
      <c r="D35" s="151">
        <v>18</v>
      </c>
      <c r="E35" s="151">
        <v>18</v>
      </c>
      <c r="F35" s="151">
        <v>15</v>
      </c>
      <c r="G35" s="151">
        <v>15</v>
      </c>
      <c r="H35" s="151">
        <f>9+18+18+30</f>
        <v>75</v>
      </c>
      <c r="I35" s="151">
        <f>2250</f>
        <v>2250</v>
      </c>
      <c r="J35" s="140"/>
      <c r="K35" s="140"/>
      <c r="L35" s="140"/>
      <c r="M35" s="140"/>
      <c r="N35" s="140"/>
      <c r="O35" s="140"/>
      <c r="P35" s="140"/>
      <c r="Q35" s="140"/>
      <c r="R35" s="140"/>
      <c r="S35" s="140"/>
    </row>
    <row r="36" spans="2:19" ht="23">
      <c r="B36" s="152" t="s">
        <v>149</v>
      </c>
      <c r="C36" s="151"/>
      <c r="D36" s="151"/>
      <c r="E36" s="151"/>
      <c r="F36" s="151"/>
      <c r="G36" s="151"/>
      <c r="H36" s="151"/>
      <c r="I36" s="153">
        <f>I26+I31+I35</f>
        <v>25200</v>
      </c>
      <c r="J36" s="154" t="s">
        <v>133</v>
      </c>
      <c r="K36" s="140"/>
      <c r="L36" s="140"/>
      <c r="M36" s="140"/>
      <c r="N36" s="140"/>
      <c r="O36" s="140"/>
      <c r="P36" s="140"/>
      <c r="Q36" s="140"/>
      <c r="R36" s="140"/>
      <c r="S36" s="140"/>
    </row>
    <row r="37" spans="2:19">
      <c r="B37" s="140"/>
      <c r="C37" s="140"/>
      <c r="D37" s="140"/>
      <c r="E37" s="140"/>
      <c r="F37" s="140"/>
      <c r="G37" s="140"/>
      <c r="H37" s="140"/>
      <c r="I37" s="140"/>
      <c r="J37" s="140"/>
      <c r="K37" s="140"/>
      <c r="L37" s="140"/>
      <c r="M37" s="140"/>
      <c r="N37" s="140"/>
      <c r="O37" s="140"/>
      <c r="P37" s="140"/>
      <c r="Q37" s="140"/>
      <c r="R37" s="140"/>
      <c r="S37" s="140"/>
    </row>
    <row r="38" spans="2:19">
      <c r="B38" s="140"/>
      <c r="C38" s="140"/>
      <c r="D38" s="140"/>
      <c r="E38" s="140"/>
      <c r="F38" s="140"/>
      <c r="G38" s="140"/>
      <c r="H38" s="140"/>
      <c r="I38" s="140"/>
      <c r="J38" s="140"/>
      <c r="K38" s="140"/>
      <c r="L38" s="140"/>
      <c r="M38" s="140"/>
      <c r="N38" s="140"/>
      <c r="O38" s="140"/>
      <c r="P38" s="140"/>
      <c r="Q38" s="140"/>
      <c r="R38" s="140"/>
      <c r="S38" s="140"/>
    </row>
    <row r="39" spans="2:19">
      <c r="B39" s="109"/>
      <c r="C39" s="109"/>
      <c r="D39" s="109"/>
      <c r="E39" s="109"/>
      <c r="F39" s="109"/>
      <c r="G39" s="109"/>
      <c r="H39" s="109"/>
      <c r="I39" s="109"/>
      <c r="J39" s="109"/>
      <c r="K39" s="109"/>
      <c r="L39" s="109"/>
      <c r="M39" s="109"/>
      <c r="N39" s="109"/>
      <c r="O39" s="109"/>
      <c r="P39" s="109"/>
      <c r="Q39" s="109"/>
      <c r="R39" s="109"/>
      <c r="S39" s="10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workbookViewId="0">
      <selection activeCell="O10" sqref="O10"/>
    </sheetView>
  </sheetViews>
  <sheetFormatPr baseColWidth="10" defaultColWidth="8.83203125" defaultRowHeight="14" x14ac:dyDescent="0"/>
  <cols>
    <col min="1" max="1" width="8.83203125" style="131"/>
    <col min="2" max="2" width="12.5" style="131" customWidth="1"/>
    <col min="3" max="7" width="8.83203125" style="131"/>
    <col min="8" max="8" width="12" style="131" customWidth="1"/>
    <col min="9" max="14" width="8.83203125" style="131"/>
    <col min="15" max="15" width="18" style="131" bestFit="1" customWidth="1"/>
    <col min="16" max="16" width="12" style="131" bestFit="1" customWidth="1"/>
    <col min="17" max="17" width="14.5" style="131" bestFit="1" customWidth="1"/>
    <col min="18" max="19" width="12" style="131" bestFit="1" customWidth="1"/>
    <col min="20" max="20" width="13.5" style="131" bestFit="1" customWidth="1"/>
    <col min="21" max="21" width="12" style="131" bestFit="1" customWidth="1"/>
    <col min="22" max="22" width="12.6640625" style="131" bestFit="1" customWidth="1"/>
    <col min="23" max="23" width="12.5" style="131" bestFit="1" customWidth="1"/>
    <col min="24" max="16384" width="8.83203125" style="131"/>
  </cols>
  <sheetData>
    <row r="1" spans="1:20">
      <c r="B1" s="131" t="s">
        <v>199</v>
      </c>
      <c r="C1" s="131" t="s">
        <v>198</v>
      </c>
      <c r="D1" s="131" t="s">
        <v>197</v>
      </c>
      <c r="E1" s="131" t="s">
        <v>147</v>
      </c>
      <c r="F1" s="131" t="s">
        <v>196</v>
      </c>
    </row>
    <row r="2" spans="1:20">
      <c r="A2" s="131">
        <v>3</v>
      </c>
      <c r="B2" s="131">
        <v>42</v>
      </c>
      <c r="C2" s="131">
        <v>42</v>
      </c>
      <c r="D2" s="131">
        <v>51</v>
      </c>
      <c r="O2" s="131" t="s">
        <v>195</v>
      </c>
    </row>
    <row r="3" spans="1:20" ht="15" thickBot="1">
      <c r="A3" s="131">
        <v>4</v>
      </c>
      <c r="B3" s="131">
        <v>45</v>
      </c>
      <c r="C3" s="131">
        <v>42</v>
      </c>
      <c r="D3" s="131">
        <v>42</v>
      </c>
    </row>
    <row r="4" spans="1:20">
      <c r="A4" s="131">
        <v>5</v>
      </c>
      <c r="B4" s="131">
        <v>45</v>
      </c>
      <c r="C4" s="131">
        <v>45</v>
      </c>
      <c r="D4" s="131">
        <v>42</v>
      </c>
      <c r="O4" s="149" t="s">
        <v>194</v>
      </c>
      <c r="P4" s="149"/>
    </row>
    <row r="5" spans="1:20">
      <c r="A5" s="131">
        <v>6</v>
      </c>
      <c r="B5" s="131">
        <v>47</v>
      </c>
      <c r="C5" s="131">
        <v>45</v>
      </c>
      <c r="D5" s="131">
        <v>45</v>
      </c>
      <c r="O5" s="147" t="s">
        <v>193</v>
      </c>
      <c r="P5" s="147">
        <v>0.40296275723638009</v>
      </c>
    </row>
    <row r="6" spans="1:20">
      <c r="A6" s="131">
        <v>7</v>
      </c>
      <c r="B6" s="131">
        <v>42</v>
      </c>
      <c r="C6" s="131">
        <v>47</v>
      </c>
      <c r="D6" s="131">
        <v>45</v>
      </c>
      <c r="O6" s="147" t="s">
        <v>192</v>
      </c>
      <c r="P6" s="147">
        <v>0.16237898371954579</v>
      </c>
    </row>
    <row r="7" spans="1:20">
      <c r="A7" s="131">
        <v>8</v>
      </c>
      <c r="B7" s="131">
        <v>46</v>
      </c>
      <c r="C7" s="131">
        <v>42</v>
      </c>
      <c r="D7" s="131">
        <v>47</v>
      </c>
      <c r="O7" s="147" t="s">
        <v>191</v>
      </c>
      <c r="P7" s="147">
        <v>5.069618154881856E-2</v>
      </c>
    </row>
    <row r="8" spans="1:20">
      <c r="A8" s="131">
        <v>9</v>
      </c>
      <c r="B8" s="131">
        <v>49</v>
      </c>
      <c r="C8" s="131">
        <v>46</v>
      </c>
      <c r="D8" s="131">
        <v>42</v>
      </c>
      <c r="O8" s="147" t="s">
        <v>177</v>
      </c>
      <c r="P8" s="147">
        <v>3.1684448859218399</v>
      </c>
    </row>
    <row r="9" spans="1:20" ht="15" thickBot="1">
      <c r="A9" s="131">
        <v>10</v>
      </c>
      <c r="B9" s="131">
        <v>47</v>
      </c>
      <c r="C9" s="131">
        <v>49</v>
      </c>
      <c r="D9" s="131">
        <v>46</v>
      </c>
      <c r="O9" s="146" t="s">
        <v>40</v>
      </c>
      <c r="P9" s="146">
        <v>18</v>
      </c>
    </row>
    <row r="10" spans="1:20">
      <c r="A10" s="131">
        <v>11</v>
      </c>
      <c r="B10" s="131">
        <v>50</v>
      </c>
      <c r="C10" s="131">
        <v>47</v>
      </c>
      <c r="D10" s="131">
        <v>49</v>
      </c>
      <c r="E10" s="131">
        <f t="shared" ref="E10:E24" si="0">24.81285+0.281597*(B9)+0.194143*(B8)</f>
        <v>47.560916000000006</v>
      </c>
      <c r="F10" s="131">
        <f t="shared" ref="F10:F19" si="1">ABS(B10-E10)</f>
        <v>2.439083999999994</v>
      </c>
      <c r="H10" s="147" t="s">
        <v>190</v>
      </c>
      <c r="I10" s="147">
        <v>24.812845965921404</v>
      </c>
    </row>
    <row r="11" spans="1:20" ht="15" thickBot="1">
      <c r="A11" s="131">
        <v>12</v>
      </c>
      <c r="B11" s="131">
        <v>49</v>
      </c>
      <c r="C11" s="131">
        <v>50</v>
      </c>
      <c r="D11" s="131">
        <v>47</v>
      </c>
      <c r="E11" s="131">
        <f t="shared" si="0"/>
        <v>48.017420999999999</v>
      </c>
      <c r="F11" s="131">
        <f t="shared" si="1"/>
        <v>0.9825790000000012</v>
      </c>
      <c r="H11" s="147" t="s">
        <v>189</v>
      </c>
      <c r="I11" s="147">
        <v>0.28159693230664545</v>
      </c>
      <c r="O11" s="131" t="s">
        <v>188</v>
      </c>
    </row>
    <row r="12" spans="1:20" ht="15" thickBot="1">
      <c r="A12" s="131">
        <v>13</v>
      </c>
      <c r="B12" s="131">
        <v>53</v>
      </c>
      <c r="C12" s="131">
        <v>49</v>
      </c>
      <c r="D12" s="131">
        <v>50</v>
      </c>
      <c r="E12" s="131">
        <f t="shared" si="0"/>
        <v>48.318252999999999</v>
      </c>
      <c r="F12" s="131">
        <f t="shared" si="1"/>
        <v>4.6817470000000014</v>
      </c>
      <c r="H12" s="146" t="s">
        <v>187</v>
      </c>
      <c r="I12" s="146">
        <v>0.19414293224479701</v>
      </c>
      <c r="O12" s="148"/>
      <c r="P12" s="148" t="s">
        <v>186</v>
      </c>
      <c r="Q12" s="148" t="s">
        <v>185</v>
      </c>
      <c r="R12" s="148" t="s">
        <v>184</v>
      </c>
      <c r="S12" s="148" t="s">
        <v>56</v>
      </c>
      <c r="T12" s="148" t="s">
        <v>183</v>
      </c>
    </row>
    <row r="13" spans="1:20">
      <c r="A13" s="131">
        <v>14</v>
      </c>
      <c r="B13" s="131">
        <v>52</v>
      </c>
      <c r="C13" s="131">
        <v>53</v>
      </c>
      <c r="D13" s="131">
        <v>49</v>
      </c>
      <c r="E13" s="131">
        <f t="shared" si="0"/>
        <v>49.250498</v>
      </c>
      <c r="F13" s="131">
        <f t="shared" si="1"/>
        <v>2.7495019999999997</v>
      </c>
      <c r="O13" s="147" t="s">
        <v>182</v>
      </c>
      <c r="P13" s="147">
        <v>2</v>
      </c>
      <c r="Q13" s="147">
        <v>29.192132850913907</v>
      </c>
      <c r="R13" s="147">
        <v>14.596066425456954</v>
      </c>
      <c r="S13" s="147">
        <v>1.4539300641053075</v>
      </c>
      <c r="T13" s="147">
        <v>0.26476266313113128</v>
      </c>
    </row>
    <row r="14" spans="1:20" ht="16">
      <c r="A14" s="131">
        <v>15</v>
      </c>
      <c r="B14" s="131">
        <v>48</v>
      </c>
      <c r="C14" s="131">
        <v>52</v>
      </c>
      <c r="D14" s="131">
        <v>53</v>
      </c>
      <c r="E14" s="131">
        <f t="shared" si="0"/>
        <v>49.745473000000004</v>
      </c>
      <c r="F14" s="131">
        <f t="shared" si="1"/>
        <v>1.745473000000004</v>
      </c>
      <c r="H14" s="131" t="s">
        <v>181</v>
      </c>
      <c r="J14" s="131" t="s">
        <v>180</v>
      </c>
      <c r="O14" s="147" t="s">
        <v>179</v>
      </c>
      <c r="P14" s="147">
        <v>15</v>
      </c>
      <c r="Q14" s="147">
        <v>150.58564492686392</v>
      </c>
      <c r="R14" s="147">
        <v>10.039042995124261</v>
      </c>
      <c r="S14" s="147"/>
      <c r="T14" s="147"/>
    </row>
    <row r="15" spans="1:20" ht="15" thickBot="1">
      <c r="A15" s="131">
        <v>16</v>
      </c>
      <c r="B15" s="131">
        <v>47</v>
      </c>
      <c r="C15" s="131">
        <v>48</v>
      </c>
      <c r="D15" s="131">
        <v>52</v>
      </c>
      <c r="E15" s="131">
        <f t="shared" si="0"/>
        <v>48.424942000000001</v>
      </c>
      <c r="F15" s="131">
        <f t="shared" si="1"/>
        <v>1.4249420000000015</v>
      </c>
      <c r="O15" s="146" t="s">
        <v>19</v>
      </c>
      <c r="P15" s="146">
        <v>17</v>
      </c>
      <c r="Q15" s="146">
        <v>179.77777777777783</v>
      </c>
      <c r="R15" s="146"/>
      <c r="S15" s="146"/>
      <c r="T15" s="146"/>
    </row>
    <row r="16" spans="1:20" ht="15" thickBot="1">
      <c r="A16" s="131">
        <v>17</v>
      </c>
      <c r="B16" s="131">
        <v>45</v>
      </c>
      <c r="C16" s="131">
        <v>47</v>
      </c>
      <c r="D16" s="131">
        <v>48</v>
      </c>
      <c r="E16" s="131">
        <f t="shared" si="0"/>
        <v>47.366773000000009</v>
      </c>
      <c r="F16" s="131">
        <f t="shared" si="1"/>
        <v>2.3667730000000091</v>
      </c>
    </row>
    <row r="17" spans="1:23">
      <c r="A17" s="131">
        <v>18</v>
      </c>
      <c r="B17" s="131">
        <v>49</v>
      </c>
      <c r="C17" s="131">
        <v>45</v>
      </c>
      <c r="D17" s="131">
        <v>47</v>
      </c>
      <c r="E17" s="131">
        <f t="shared" si="0"/>
        <v>46.609436000000002</v>
      </c>
      <c r="F17" s="131">
        <f t="shared" si="1"/>
        <v>2.3905639999999977</v>
      </c>
      <c r="O17" s="148"/>
      <c r="P17" s="148" t="s">
        <v>178</v>
      </c>
      <c r="Q17" s="148" t="s">
        <v>177</v>
      </c>
      <c r="R17" s="148" t="s">
        <v>176</v>
      </c>
      <c r="S17" s="148" t="s">
        <v>175</v>
      </c>
      <c r="T17" s="148" t="s">
        <v>174</v>
      </c>
      <c r="U17" s="148" t="s">
        <v>173</v>
      </c>
      <c r="V17" s="148" t="s">
        <v>172</v>
      </c>
      <c r="W17" s="148" t="s">
        <v>171</v>
      </c>
    </row>
    <row r="18" spans="1:23">
      <c r="A18" s="131">
        <v>19</v>
      </c>
      <c r="B18" s="131">
        <v>42</v>
      </c>
      <c r="C18" s="131">
        <v>49</v>
      </c>
      <c r="D18" s="131">
        <v>45</v>
      </c>
      <c r="E18" s="131">
        <f t="shared" si="0"/>
        <v>47.347538</v>
      </c>
      <c r="F18" s="131">
        <f t="shared" si="1"/>
        <v>5.3475380000000001</v>
      </c>
      <c r="O18" s="147" t="s">
        <v>69</v>
      </c>
      <c r="P18" s="147">
        <v>24.812845965921404</v>
      </c>
      <c r="Q18" s="147">
        <v>13.262838921463374</v>
      </c>
      <c r="R18" s="147">
        <v>1.8708548081486951</v>
      </c>
      <c r="S18" s="147">
        <v>8.1003362743906862E-2</v>
      </c>
      <c r="T18" s="147">
        <v>-3.4562258949766527</v>
      </c>
      <c r="U18" s="147">
        <v>53.081917826819463</v>
      </c>
      <c r="V18" s="147">
        <v>-3.4562258949766527</v>
      </c>
      <c r="W18" s="147">
        <v>53.081917826819463</v>
      </c>
    </row>
    <row r="19" spans="1:23">
      <c r="A19" s="131">
        <v>20</v>
      </c>
      <c r="B19" s="131">
        <v>50</v>
      </c>
      <c r="C19" s="131">
        <v>42</v>
      </c>
      <c r="D19" s="131">
        <v>49</v>
      </c>
      <c r="E19" s="131">
        <f t="shared" si="0"/>
        <v>46.152931000000002</v>
      </c>
      <c r="F19" s="131">
        <f t="shared" si="1"/>
        <v>3.8470689999999976</v>
      </c>
      <c r="O19" s="147" t="s">
        <v>170</v>
      </c>
      <c r="P19" s="147">
        <v>0.28159693230664545</v>
      </c>
      <c r="Q19" s="147">
        <v>0.24062221033312059</v>
      </c>
      <c r="R19" s="147">
        <v>1.1702865330544463</v>
      </c>
      <c r="S19" s="147">
        <v>0.26014392160466493</v>
      </c>
      <c r="T19" s="147">
        <v>-0.23127716618120578</v>
      </c>
      <c r="U19" s="147">
        <v>0.79447103079449666</v>
      </c>
      <c r="V19" s="147">
        <v>-0.23127716618120578</v>
      </c>
      <c r="W19" s="147">
        <v>0.79447103079449666</v>
      </c>
    </row>
    <row r="20" spans="1:23" ht="15" thickBot="1">
      <c r="A20" s="131" t="s">
        <v>169</v>
      </c>
      <c r="B20" s="131">
        <f>24.81285+0.281597*(B19)+0.194143*(B18)</f>
        <v>47.046706</v>
      </c>
      <c r="E20" s="131">
        <f t="shared" si="0"/>
        <v>47.046706</v>
      </c>
      <c r="O20" s="146" t="s">
        <v>168</v>
      </c>
      <c r="P20" s="146">
        <v>0.19414293224479701</v>
      </c>
      <c r="Q20" s="146">
        <v>0.24541277076840098</v>
      </c>
      <c r="R20" s="146">
        <v>0.79108732457942077</v>
      </c>
      <c r="S20" s="146">
        <v>0.44122287832163609</v>
      </c>
      <c r="T20" s="146">
        <v>-0.32894200405846019</v>
      </c>
      <c r="U20" s="146">
        <v>0.7172278685480542</v>
      </c>
      <c r="V20" s="146">
        <v>-0.32894200405846019</v>
      </c>
      <c r="W20" s="146">
        <v>0.7172278685480542</v>
      </c>
    </row>
    <row r="21" spans="1:23">
      <c r="A21" s="131" t="s">
        <v>167</v>
      </c>
      <c r="B21" s="131">
        <f>24.81285+0.281597*(B20)+0.194143*(B19)</f>
        <v>47.768211269481995</v>
      </c>
      <c r="E21" s="131">
        <f t="shared" si="0"/>
        <v>47.768211269481995</v>
      </c>
      <c r="F21" s="131">
        <f>SUM(F10:F19)</f>
        <v>27.975271000000006</v>
      </c>
      <c r="G21" s="131" t="s">
        <v>166</v>
      </c>
    </row>
    <row r="22" spans="1:23">
      <c r="A22" s="131" t="s">
        <v>165</v>
      </c>
      <c r="B22" s="131">
        <f>24.81285+0.281597*(B21)+0.194143*(B20)</f>
        <v>47.398023631810325</v>
      </c>
      <c r="E22" s="131">
        <f t="shared" si="0"/>
        <v>47.398023631810325</v>
      </c>
      <c r="H22" s="131" t="s">
        <v>164</v>
      </c>
      <c r="I22" s="131">
        <f>F21/COUNT(F10:F19)</f>
        <v>2.7975271000000008</v>
      </c>
    </row>
    <row r="23" spans="1:23">
      <c r="A23" s="131" t="s">
        <v>163</v>
      </c>
      <c r="B23" s="131">
        <f>24.81285+0.281597*(B22)+0.194143*(B21)</f>
        <v>47.433855101137937</v>
      </c>
      <c r="E23" s="131">
        <f t="shared" si="0"/>
        <v>47.433855101137937</v>
      </c>
    </row>
    <row r="24" spans="1:23">
      <c r="A24" s="131" t="s">
        <v>162</v>
      </c>
      <c r="B24" s="131">
        <f>24.81285+0.281597*(B23)+0.194143*(B22)</f>
        <v>47.372075796865687</v>
      </c>
      <c r="E24" s="131">
        <f t="shared" si="0"/>
        <v>47.372075796865687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E22" sqref="E22"/>
    </sheetView>
  </sheetViews>
  <sheetFormatPr baseColWidth="10" defaultColWidth="8.5" defaultRowHeight="14" x14ac:dyDescent="0"/>
  <cols>
    <col min="1" max="1" width="14.6640625" style="131" bestFit="1" customWidth="1"/>
    <col min="2" max="2" width="14.1640625" style="131" customWidth="1"/>
    <col min="3" max="3" width="26.6640625" style="131" customWidth="1"/>
    <col min="4" max="4" width="42.33203125" style="131" customWidth="1"/>
    <col min="5" max="5" width="10.6640625" style="131" customWidth="1"/>
    <col min="6" max="6" width="13.83203125" style="131" customWidth="1"/>
    <col min="7" max="8" width="8.5" style="131"/>
    <col min="9" max="10" width="10.5" style="131" bestFit="1" customWidth="1"/>
    <col min="11" max="16384" width="8.5" style="131"/>
  </cols>
  <sheetData>
    <row r="1" spans="1:11">
      <c r="A1" s="164" t="s">
        <v>209</v>
      </c>
      <c r="B1" s="163" t="s">
        <v>208</v>
      </c>
      <c r="C1" s="162" t="s">
        <v>207</v>
      </c>
      <c r="D1" s="162" t="s">
        <v>206</v>
      </c>
      <c r="E1" s="162" t="s">
        <v>205</v>
      </c>
      <c r="F1" s="162" t="s">
        <v>204</v>
      </c>
    </row>
    <row r="2" spans="1:11">
      <c r="A2" s="157">
        <v>1</v>
      </c>
      <c r="B2" s="160">
        <v>110</v>
      </c>
      <c r="C2" s="157"/>
      <c r="D2" s="157"/>
      <c r="E2" s="157"/>
      <c r="F2" s="157"/>
      <c r="I2" s="161" t="s">
        <v>203</v>
      </c>
      <c r="J2" s="161">
        <v>3.16</v>
      </c>
    </row>
    <row r="3" spans="1:11">
      <c r="A3" s="157">
        <v>2</v>
      </c>
      <c r="B3" s="160">
        <v>123</v>
      </c>
      <c r="C3" s="157">
        <f t="shared" ref="C3:C26" si="0">ROUNDUP(PRODUCT(0.83,B2)+PRODUCT(0.17,SUM(C2,3.16)),2)</f>
        <v>91.84</v>
      </c>
      <c r="D3" s="157">
        <f t="shared" ref="D3:D26" si="1">ROUNDUP(PRODUCT(0.31,(C3-C2))+PRODUCT(0.69,3.16),2)</f>
        <v>30.66</v>
      </c>
      <c r="E3" s="157">
        <f t="shared" ref="E3:E26" si="2">ROUNDUP(SUM(C3,D3),0)</f>
        <v>123</v>
      </c>
      <c r="F3" s="157">
        <f t="shared" ref="F3:F26" si="3">ABS(B3-E3)</f>
        <v>0</v>
      </c>
      <c r="I3" s="161" t="s">
        <v>202</v>
      </c>
      <c r="J3" s="161">
        <v>0.91</v>
      </c>
    </row>
    <row r="4" spans="1:11">
      <c r="A4" s="157">
        <v>3</v>
      </c>
      <c r="B4" s="160">
        <v>128</v>
      </c>
      <c r="C4" s="157">
        <f t="shared" si="0"/>
        <v>118.24</v>
      </c>
      <c r="D4" s="157">
        <f t="shared" si="1"/>
        <v>10.37</v>
      </c>
      <c r="E4" s="157">
        <f t="shared" si="2"/>
        <v>129</v>
      </c>
      <c r="F4" s="157">
        <f t="shared" si="3"/>
        <v>1</v>
      </c>
      <c r="I4" s="161" t="s">
        <v>201</v>
      </c>
      <c r="J4" s="161">
        <v>0.34</v>
      </c>
    </row>
    <row r="5" spans="1:11">
      <c r="A5" s="157">
        <v>4</v>
      </c>
      <c r="B5" s="160">
        <v>136</v>
      </c>
      <c r="C5" s="157">
        <f t="shared" si="0"/>
        <v>126.88000000000001</v>
      </c>
      <c r="D5" s="157">
        <f t="shared" si="1"/>
        <v>4.8599999999999994</v>
      </c>
      <c r="E5" s="157">
        <f t="shared" si="2"/>
        <v>132</v>
      </c>
      <c r="F5" s="157">
        <f t="shared" si="3"/>
        <v>4</v>
      </c>
      <c r="I5" s="161" t="s">
        <v>76</v>
      </c>
      <c r="J5" s="161">
        <f>ROUND(SUM(F3:F21)/19,2)</f>
        <v>4.32</v>
      </c>
    </row>
    <row r="6" spans="1:11">
      <c r="A6" s="157">
        <v>5</v>
      </c>
      <c r="B6" s="160">
        <v>139</v>
      </c>
      <c r="C6" s="157">
        <f t="shared" si="0"/>
        <v>134.98999999999998</v>
      </c>
      <c r="D6" s="157">
        <f t="shared" si="1"/>
        <v>4.7</v>
      </c>
      <c r="E6" s="157">
        <f t="shared" si="2"/>
        <v>140</v>
      </c>
      <c r="F6" s="157">
        <f t="shared" si="3"/>
        <v>1</v>
      </c>
    </row>
    <row r="7" spans="1:11">
      <c r="A7" s="157">
        <v>6</v>
      </c>
      <c r="B7" s="160">
        <v>134</v>
      </c>
      <c r="C7" s="157">
        <f t="shared" si="0"/>
        <v>138.85999999999999</v>
      </c>
      <c r="D7" s="157">
        <f t="shared" si="1"/>
        <v>3.3899999999999997</v>
      </c>
      <c r="E7" s="157">
        <f t="shared" si="2"/>
        <v>143</v>
      </c>
      <c r="F7" s="157">
        <f t="shared" si="3"/>
        <v>9</v>
      </c>
    </row>
    <row r="8" spans="1:11">
      <c r="A8" s="157">
        <v>7</v>
      </c>
      <c r="B8" s="160">
        <v>142</v>
      </c>
      <c r="C8" s="157">
        <f t="shared" si="0"/>
        <v>135.37</v>
      </c>
      <c r="D8" s="157">
        <f t="shared" si="1"/>
        <v>1.1000000000000001</v>
      </c>
      <c r="E8" s="157">
        <f t="shared" si="2"/>
        <v>137</v>
      </c>
      <c r="F8" s="157">
        <f t="shared" si="3"/>
        <v>5</v>
      </c>
    </row>
    <row r="9" spans="1:11">
      <c r="A9" s="157">
        <v>8</v>
      </c>
      <c r="B9" s="160">
        <v>149</v>
      </c>
      <c r="C9" s="157">
        <f t="shared" si="0"/>
        <v>141.41999999999999</v>
      </c>
      <c r="D9" s="157">
        <f t="shared" si="1"/>
        <v>4.0599999999999996</v>
      </c>
      <c r="E9" s="157">
        <f t="shared" si="2"/>
        <v>146</v>
      </c>
      <c r="F9" s="157">
        <f t="shared" si="3"/>
        <v>3</v>
      </c>
    </row>
    <row r="10" spans="1:11">
      <c r="A10" s="157">
        <v>9</v>
      </c>
      <c r="B10" s="160">
        <v>158</v>
      </c>
      <c r="C10" s="157">
        <f t="shared" si="0"/>
        <v>148.25</v>
      </c>
      <c r="D10" s="157">
        <f t="shared" si="1"/>
        <v>4.3</v>
      </c>
      <c r="E10" s="157">
        <f t="shared" si="2"/>
        <v>153</v>
      </c>
      <c r="F10" s="157">
        <f t="shared" si="3"/>
        <v>5</v>
      </c>
      <c r="H10" s="254" t="s">
        <v>200</v>
      </c>
      <c r="I10" s="254"/>
      <c r="J10" s="254"/>
      <c r="K10" s="254"/>
    </row>
    <row r="11" spans="1:11">
      <c r="A11" s="157">
        <v>10</v>
      </c>
      <c r="B11" s="160">
        <v>147</v>
      </c>
      <c r="C11" s="157">
        <f t="shared" si="0"/>
        <v>156.88</v>
      </c>
      <c r="D11" s="157">
        <f t="shared" si="1"/>
        <v>4.8599999999999994</v>
      </c>
      <c r="E11" s="157">
        <f t="shared" si="2"/>
        <v>162</v>
      </c>
      <c r="F11" s="157">
        <f t="shared" si="3"/>
        <v>15</v>
      </c>
      <c r="H11" s="254"/>
      <c r="I11" s="254"/>
      <c r="J11" s="254"/>
      <c r="K11" s="254"/>
    </row>
    <row r="12" spans="1:11">
      <c r="A12" s="157">
        <v>11</v>
      </c>
      <c r="B12" s="160">
        <v>139</v>
      </c>
      <c r="C12" s="157">
        <f t="shared" si="0"/>
        <v>149.22</v>
      </c>
      <c r="D12" s="157">
        <f t="shared" si="1"/>
        <v>-0.2</v>
      </c>
      <c r="E12" s="157">
        <f t="shared" si="2"/>
        <v>150</v>
      </c>
      <c r="F12" s="157">
        <f t="shared" si="3"/>
        <v>11</v>
      </c>
      <c r="H12" s="254"/>
      <c r="I12" s="254"/>
      <c r="J12" s="254"/>
      <c r="K12" s="254"/>
    </row>
    <row r="13" spans="1:11">
      <c r="A13" s="157">
        <v>12</v>
      </c>
      <c r="B13" s="160">
        <v>140</v>
      </c>
      <c r="C13" s="157">
        <f t="shared" si="0"/>
        <v>141.28</v>
      </c>
      <c r="D13" s="157">
        <f t="shared" si="1"/>
        <v>-0.29000000000000004</v>
      </c>
      <c r="E13" s="157">
        <f t="shared" si="2"/>
        <v>141</v>
      </c>
      <c r="F13" s="157">
        <f t="shared" si="3"/>
        <v>1</v>
      </c>
      <c r="H13" s="254"/>
      <c r="I13" s="254"/>
      <c r="J13" s="254"/>
      <c r="K13" s="254"/>
    </row>
    <row r="14" spans="1:11">
      <c r="A14" s="157">
        <v>13</v>
      </c>
      <c r="B14" s="160">
        <v>143</v>
      </c>
      <c r="C14" s="157">
        <f t="shared" si="0"/>
        <v>140.76</v>
      </c>
      <c r="D14" s="157">
        <f t="shared" si="1"/>
        <v>2.0199999999999996</v>
      </c>
      <c r="E14" s="157">
        <f t="shared" si="2"/>
        <v>143</v>
      </c>
      <c r="F14" s="157">
        <f t="shared" si="3"/>
        <v>0</v>
      </c>
      <c r="H14" s="254"/>
      <c r="I14" s="254"/>
      <c r="J14" s="254"/>
      <c r="K14" s="254"/>
    </row>
    <row r="15" spans="1:11">
      <c r="A15" s="157">
        <v>14</v>
      </c>
      <c r="B15" s="160">
        <v>156</v>
      </c>
      <c r="C15" s="157">
        <f t="shared" si="0"/>
        <v>143.16</v>
      </c>
      <c r="D15" s="157">
        <f t="shared" si="1"/>
        <v>2.9299999999999997</v>
      </c>
      <c r="E15" s="157">
        <f t="shared" si="2"/>
        <v>147</v>
      </c>
      <c r="F15" s="157">
        <f t="shared" si="3"/>
        <v>9</v>
      </c>
      <c r="H15" s="254"/>
      <c r="I15" s="254"/>
      <c r="J15" s="254"/>
      <c r="K15" s="254"/>
    </row>
    <row r="16" spans="1:11">
      <c r="A16" s="157">
        <v>15</v>
      </c>
      <c r="B16" s="160">
        <v>161</v>
      </c>
      <c r="C16" s="157">
        <f t="shared" si="0"/>
        <v>154.35999999999999</v>
      </c>
      <c r="D16" s="157">
        <f t="shared" si="1"/>
        <v>5.66</v>
      </c>
      <c r="E16" s="157">
        <f t="shared" si="2"/>
        <v>161</v>
      </c>
      <c r="F16" s="157">
        <f t="shared" si="3"/>
        <v>0</v>
      </c>
      <c r="H16" s="254"/>
      <c r="I16" s="254"/>
      <c r="J16" s="254"/>
      <c r="K16" s="254"/>
    </row>
    <row r="17" spans="1:11">
      <c r="A17" s="157">
        <v>16</v>
      </c>
      <c r="B17" s="160">
        <v>170</v>
      </c>
      <c r="C17" s="157">
        <f t="shared" si="0"/>
        <v>160.41</v>
      </c>
      <c r="D17" s="157">
        <f t="shared" si="1"/>
        <v>4.0599999999999996</v>
      </c>
      <c r="E17" s="157">
        <f t="shared" si="2"/>
        <v>165</v>
      </c>
      <c r="F17" s="157">
        <f t="shared" si="3"/>
        <v>5</v>
      </c>
      <c r="H17" s="254"/>
      <c r="I17" s="254"/>
      <c r="J17" s="254"/>
      <c r="K17" s="254"/>
    </row>
    <row r="18" spans="1:11">
      <c r="A18" s="157">
        <v>17</v>
      </c>
      <c r="B18" s="160">
        <v>169</v>
      </c>
      <c r="C18" s="157">
        <f t="shared" si="0"/>
        <v>168.91</v>
      </c>
      <c r="D18" s="157">
        <f t="shared" si="1"/>
        <v>4.8199999999999994</v>
      </c>
      <c r="E18" s="157">
        <f t="shared" si="2"/>
        <v>174</v>
      </c>
      <c r="F18" s="157">
        <f t="shared" si="3"/>
        <v>5</v>
      </c>
    </row>
    <row r="19" spans="1:11">
      <c r="A19" s="157">
        <v>18</v>
      </c>
      <c r="B19" s="160">
        <v>176</v>
      </c>
      <c r="C19" s="157">
        <f t="shared" si="0"/>
        <v>169.53</v>
      </c>
      <c r="D19" s="157">
        <f t="shared" si="1"/>
        <v>2.38</v>
      </c>
      <c r="E19" s="157">
        <f t="shared" si="2"/>
        <v>172</v>
      </c>
      <c r="F19" s="157">
        <f t="shared" si="3"/>
        <v>4</v>
      </c>
    </row>
    <row r="20" spans="1:11">
      <c r="A20" s="159">
        <v>19</v>
      </c>
      <c r="B20" s="158">
        <v>181</v>
      </c>
      <c r="C20" s="157">
        <f t="shared" si="0"/>
        <v>175.44</v>
      </c>
      <c r="D20" s="157">
        <f t="shared" si="1"/>
        <v>4.0199999999999996</v>
      </c>
      <c r="E20" s="157">
        <f t="shared" si="2"/>
        <v>180</v>
      </c>
      <c r="F20" s="157">
        <f t="shared" si="3"/>
        <v>1</v>
      </c>
    </row>
    <row r="21" spans="1:11">
      <c r="A21" s="157">
        <v>20</v>
      </c>
      <c r="B21" s="157">
        <v>188</v>
      </c>
      <c r="C21" s="157">
        <f t="shared" si="0"/>
        <v>180.6</v>
      </c>
      <c r="D21" s="157">
        <f t="shared" si="1"/>
        <v>3.78</v>
      </c>
      <c r="E21" s="157">
        <f t="shared" si="2"/>
        <v>185</v>
      </c>
      <c r="F21" s="157">
        <f t="shared" si="3"/>
        <v>3</v>
      </c>
    </row>
    <row r="22" spans="1:11">
      <c r="A22" s="156">
        <v>21</v>
      </c>
      <c r="B22" s="156">
        <v>185</v>
      </c>
      <c r="C22" s="156">
        <f t="shared" si="0"/>
        <v>187.28</v>
      </c>
      <c r="D22" s="156">
        <f t="shared" si="1"/>
        <v>4.26</v>
      </c>
      <c r="E22" s="156">
        <f t="shared" si="2"/>
        <v>192</v>
      </c>
      <c r="F22" s="156">
        <f t="shared" si="3"/>
        <v>7</v>
      </c>
    </row>
    <row r="23" spans="1:11">
      <c r="A23" s="156">
        <v>22</v>
      </c>
      <c r="B23" s="156">
        <v>192</v>
      </c>
      <c r="C23" s="156">
        <f t="shared" si="0"/>
        <v>185.92999999999998</v>
      </c>
      <c r="D23" s="156">
        <f t="shared" si="1"/>
        <v>1.77</v>
      </c>
      <c r="E23" s="156">
        <f t="shared" si="2"/>
        <v>188</v>
      </c>
      <c r="F23" s="156">
        <f t="shared" si="3"/>
        <v>4</v>
      </c>
    </row>
    <row r="24" spans="1:11">
      <c r="A24" s="156">
        <v>23</v>
      </c>
      <c r="B24" s="156">
        <v>188</v>
      </c>
      <c r="C24" s="156">
        <f t="shared" si="0"/>
        <v>191.51</v>
      </c>
      <c r="D24" s="156">
        <f t="shared" si="1"/>
        <v>3.92</v>
      </c>
      <c r="E24" s="156">
        <f t="shared" si="2"/>
        <v>196</v>
      </c>
      <c r="F24" s="156">
        <f t="shared" si="3"/>
        <v>8</v>
      </c>
    </row>
    <row r="25" spans="1:11">
      <c r="A25" s="156">
        <v>24</v>
      </c>
      <c r="B25" s="156">
        <v>196</v>
      </c>
      <c r="C25" s="156">
        <f t="shared" si="0"/>
        <v>189.14</v>
      </c>
      <c r="D25" s="156">
        <f t="shared" si="1"/>
        <v>1.45</v>
      </c>
      <c r="E25" s="156">
        <f t="shared" si="2"/>
        <v>191</v>
      </c>
      <c r="F25" s="156">
        <f t="shared" si="3"/>
        <v>5</v>
      </c>
    </row>
    <row r="26" spans="1:11">
      <c r="A26" s="156">
        <v>25</v>
      </c>
      <c r="B26" s="156">
        <v>191</v>
      </c>
      <c r="C26" s="156">
        <f t="shared" si="0"/>
        <v>195.38</v>
      </c>
      <c r="D26" s="156">
        <f t="shared" si="1"/>
        <v>4.12</v>
      </c>
      <c r="E26" s="156">
        <f t="shared" si="2"/>
        <v>200</v>
      </c>
      <c r="F26" s="156">
        <f t="shared" si="3"/>
        <v>9</v>
      </c>
    </row>
  </sheetData>
  <mergeCells count="1">
    <mergeCell ref="H10:K17"/>
  </mergeCells>
  <pageMargins left="0.7" right="0.7" top="0.75" bottom="0.75" header="0.3" footer="0.3"/>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topLeftCell="A27" workbookViewId="0">
      <selection activeCell="Q61" sqref="Q61"/>
    </sheetView>
  </sheetViews>
  <sheetFormatPr baseColWidth="10" defaultColWidth="8.83203125" defaultRowHeight="14" x14ac:dyDescent="0"/>
  <cols>
    <col min="1" max="1" width="8.83203125" style="131"/>
    <col min="2" max="2" width="29" style="131" bestFit="1" customWidth="1"/>
    <col min="3" max="3" width="9" style="131" customWidth="1"/>
    <col min="4" max="4" width="8.83203125" style="131"/>
    <col min="5" max="5" width="16.33203125" style="131" bestFit="1" customWidth="1"/>
    <col min="6" max="6" width="15.5" style="131" bestFit="1" customWidth="1"/>
    <col min="7" max="7" width="8.83203125" style="131"/>
    <col min="8" max="8" width="10.1640625" style="131" bestFit="1" customWidth="1"/>
    <col min="9" max="9" width="8.83203125" style="131"/>
    <col min="10" max="10" width="17.5" style="131" bestFit="1" customWidth="1"/>
    <col min="11" max="16384" width="8.83203125" style="131"/>
  </cols>
  <sheetData>
    <row r="1" spans="1:7" ht="33" customHeight="1">
      <c r="A1" s="256" t="s">
        <v>238</v>
      </c>
      <c r="B1" s="257"/>
      <c r="C1" s="257"/>
      <c r="D1" s="257"/>
      <c r="E1" s="258"/>
    </row>
    <row r="2" spans="1:7">
      <c r="B2" s="190" t="s">
        <v>237</v>
      </c>
      <c r="C2" s="189">
        <v>75</v>
      </c>
    </row>
    <row r="3" spans="1:7">
      <c r="B3" s="187" t="s">
        <v>236</v>
      </c>
      <c r="C3" s="157">
        <v>9</v>
      </c>
    </row>
    <row r="4" spans="1:7">
      <c r="B4" s="187" t="s">
        <v>235</v>
      </c>
      <c r="C4" s="157">
        <v>20</v>
      </c>
    </row>
    <row r="5" spans="1:7">
      <c r="B5" s="188" t="s">
        <v>234</v>
      </c>
      <c r="C5" s="159">
        <v>5</v>
      </c>
    </row>
    <row r="6" spans="1:7">
      <c r="B6" s="187" t="s">
        <v>233</v>
      </c>
      <c r="C6" s="157">
        <v>20</v>
      </c>
    </row>
    <row r="7" spans="1:7">
      <c r="B7" s="157" t="s">
        <v>232</v>
      </c>
      <c r="C7" s="157">
        <v>30</v>
      </c>
    </row>
    <row r="8" spans="1:7">
      <c r="B8" s="157" t="s">
        <v>231</v>
      </c>
      <c r="C8" s="157">
        <v>2000</v>
      </c>
    </row>
    <row r="9" spans="1:7">
      <c r="B9" s="157" t="s">
        <v>230</v>
      </c>
      <c r="C9" s="157">
        <v>1500</v>
      </c>
    </row>
    <row r="12" spans="1:7">
      <c r="B12" s="156" t="s">
        <v>228</v>
      </c>
      <c r="C12" s="185">
        <v>21</v>
      </c>
      <c r="D12" s="185">
        <v>22</v>
      </c>
      <c r="E12" s="185">
        <v>23</v>
      </c>
      <c r="F12" s="186">
        <v>24</v>
      </c>
      <c r="G12" s="185">
        <v>25</v>
      </c>
    </row>
    <row r="13" spans="1:7">
      <c r="B13" s="173" t="s">
        <v>227</v>
      </c>
      <c r="C13" s="157">
        <v>0</v>
      </c>
      <c r="D13" s="157">
        <v>2</v>
      </c>
      <c r="E13" s="157">
        <v>8</v>
      </c>
      <c r="F13" s="157">
        <v>6</v>
      </c>
      <c r="G13" s="157">
        <v>9</v>
      </c>
    </row>
    <row r="14" spans="1:7">
      <c r="B14" s="173" t="s">
        <v>226</v>
      </c>
      <c r="C14" s="157">
        <f>ROUNDUP(AVERAGE($C$15:$G$15),0)</f>
        <v>194</v>
      </c>
      <c r="D14" s="157">
        <f t="shared" ref="D14:G14" si="0">ROUNDUP(AVERAGE($C$15:$G$15),0)</f>
        <v>194</v>
      </c>
      <c r="E14" s="157">
        <f t="shared" si="0"/>
        <v>194</v>
      </c>
      <c r="F14" s="157">
        <f t="shared" si="0"/>
        <v>194</v>
      </c>
      <c r="G14" s="157">
        <f t="shared" si="0"/>
        <v>194</v>
      </c>
    </row>
    <row r="15" spans="1:7">
      <c r="B15" s="173" t="s">
        <v>12</v>
      </c>
      <c r="C15" s="157">
        <v>192</v>
      </c>
      <c r="D15" s="157">
        <v>188</v>
      </c>
      <c r="E15" s="157">
        <v>196</v>
      </c>
      <c r="F15" s="157">
        <v>191</v>
      </c>
      <c r="G15" s="157">
        <v>200</v>
      </c>
    </row>
    <row r="16" spans="1:7">
      <c r="B16" s="161" t="s">
        <v>225</v>
      </c>
      <c r="C16" s="183">
        <v>10</v>
      </c>
      <c r="D16" s="183">
        <v>0</v>
      </c>
      <c r="E16" s="183">
        <v>0</v>
      </c>
      <c r="F16" s="184">
        <v>0</v>
      </c>
      <c r="G16" s="183">
        <v>0</v>
      </c>
    </row>
    <row r="17" spans="2:12">
      <c r="B17" s="161" t="s">
        <v>14</v>
      </c>
      <c r="C17" s="157">
        <v>5</v>
      </c>
      <c r="D17" s="157">
        <v>10</v>
      </c>
      <c r="E17" s="157">
        <v>10</v>
      </c>
      <c r="F17" s="157">
        <v>10</v>
      </c>
      <c r="G17" s="157">
        <v>10</v>
      </c>
    </row>
    <row r="18" spans="2:12">
      <c r="B18" s="161" t="s">
        <v>224</v>
      </c>
      <c r="C18" s="157">
        <v>5</v>
      </c>
      <c r="D18" s="157">
        <v>0</v>
      </c>
      <c r="E18" s="157">
        <v>0</v>
      </c>
      <c r="F18" s="160">
        <v>0</v>
      </c>
      <c r="G18" s="157">
        <v>0</v>
      </c>
      <c r="J18" s="255" t="s">
        <v>210</v>
      </c>
      <c r="K18" s="255"/>
      <c r="L18" s="255"/>
    </row>
    <row r="19" spans="2:12">
      <c r="B19" s="161" t="s">
        <v>223</v>
      </c>
      <c r="C19" s="157">
        <v>0</v>
      </c>
      <c r="D19" s="157">
        <v>0</v>
      </c>
      <c r="E19" s="157">
        <v>0</v>
      </c>
      <c r="F19" s="160">
        <v>0</v>
      </c>
      <c r="G19" s="157">
        <v>0</v>
      </c>
      <c r="J19" s="255"/>
      <c r="K19" s="255"/>
      <c r="L19" s="255"/>
    </row>
    <row r="20" spans="2:12">
      <c r="B20" s="161" t="s">
        <v>222</v>
      </c>
      <c r="C20" s="157">
        <v>2</v>
      </c>
      <c r="D20" s="157">
        <f>(D13+D14)-D15</f>
        <v>8</v>
      </c>
      <c r="E20" s="157">
        <f>(E13+E14)-E15</f>
        <v>6</v>
      </c>
      <c r="F20" s="157">
        <f>(F13+F14)-F15</f>
        <v>9</v>
      </c>
      <c r="G20" s="157">
        <f>(G13+G14)-G15</f>
        <v>3</v>
      </c>
    </row>
    <row r="21" spans="2:12">
      <c r="B21" s="182" t="s">
        <v>221</v>
      </c>
      <c r="C21" s="159">
        <v>0</v>
      </c>
      <c r="D21" s="159">
        <v>0</v>
      </c>
      <c r="E21" s="159">
        <v>0</v>
      </c>
      <c r="F21" s="158">
        <v>0</v>
      </c>
      <c r="G21" s="159">
        <v>0</v>
      </c>
    </row>
    <row r="22" spans="2:12">
      <c r="B22" s="173" t="s">
        <v>220</v>
      </c>
      <c r="C22" s="157">
        <v>200</v>
      </c>
      <c r="D22" s="157">
        <v>200</v>
      </c>
      <c r="E22" s="157">
        <v>200</v>
      </c>
      <c r="F22" s="157">
        <v>200</v>
      </c>
      <c r="G22" s="157">
        <v>200</v>
      </c>
    </row>
    <row r="23" spans="2:12">
      <c r="B23" s="161" t="s">
        <v>213</v>
      </c>
      <c r="C23" s="157">
        <f>C22-C14</f>
        <v>6</v>
      </c>
      <c r="D23" s="157">
        <f>D22-D14</f>
        <v>6</v>
      </c>
      <c r="E23" s="157">
        <f>E22-E14</f>
        <v>6</v>
      </c>
      <c r="F23" s="157">
        <f>F22-F14</f>
        <v>6</v>
      </c>
      <c r="G23" s="157">
        <f>G22-G14</f>
        <v>6</v>
      </c>
    </row>
    <row r="27" spans="2:12">
      <c r="B27" s="169" t="s">
        <v>219</v>
      </c>
      <c r="C27" s="169">
        <f>SUM(C20:G20)</f>
        <v>28</v>
      </c>
      <c r="E27" s="167" t="s">
        <v>218</v>
      </c>
      <c r="F27" s="167">
        <f>PRODUCT(C27,C3)</f>
        <v>252</v>
      </c>
    </row>
    <row r="28" spans="2:12">
      <c r="B28" s="169" t="s">
        <v>217</v>
      </c>
      <c r="C28" s="169">
        <v>5</v>
      </c>
      <c r="E28" s="167" t="s">
        <v>216</v>
      </c>
      <c r="F28" s="167">
        <f>PRODUCT(C28,C8)</f>
        <v>10000</v>
      </c>
    </row>
    <row r="29" spans="2:12">
      <c r="B29" s="181" t="s">
        <v>215</v>
      </c>
      <c r="C29" s="181">
        <f>SUM(C14:G14)</f>
        <v>970</v>
      </c>
      <c r="E29" s="180" t="s">
        <v>214</v>
      </c>
      <c r="F29" s="180">
        <f>PRODUCT(C29,C2)</f>
        <v>72750</v>
      </c>
    </row>
    <row r="30" spans="2:12">
      <c r="B30" s="169" t="s">
        <v>213</v>
      </c>
      <c r="C30" s="169">
        <f>SUM(C23:G23)</f>
        <v>30</v>
      </c>
      <c r="E30" s="167" t="s">
        <v>212</v>
      </c>
      <c r="F30" s="167">
        <f>30*C30</f>
        <v>900</v>
      </c>
    </row>
    <row r="31" spans="2:12" ht="15">
      <c r="E31" s="179" t="s">
        <v>211</v>
      </c>
      <c r="F31" s="192">
        <f>SUM(F27:F30)</f>
        <v>83902</v>
      </c>
    </row>
    <row r="34" spans="1:7" ht="35.25" customHeight="1">
      <c r="A34" s="259" t="s">
        <v>229</v>
      </c>
      <c r="B34" s="259"/>
      <c r="C34" s="259"/>
      <c r="D34" s="259"/>
      <c r="E34" s="259"/>
    </row>
    <row r="36" spans="1:7">
      <c r="B36" s="178"/>
      <c r="C36" s="177"/>
    </row>
    <row r="37" spans="1:7">
      <c r="B37" s="176" t="s">
        <v>228</v>
      </c>
      <c r="C37" s="156">
        <v>21</v>
      </c>
      <c r="D37" s="156">
        <v>22</v>
      </c>
      <c r="E37" s="156">
        <v>23</v>
      </c>
      <c r="F37" s="156">
        <v>24</v>
      </c>
      <c r="G37" s="156">
        <v>25</v>
      </c>
    </row>
    <row r="38" spans="1:7">
      <c r="B38" s="175" t="s">
        <v>227</v>
      </c>
      <c r="C38" s="157">
        <v>0</v>
      </c>
      <c r="D38" s="157">
        <v>0</v>
      </c>
      <c r="E38" s="157">
        <v>0</v>
      </c>
      <c r="F38" s="157">
        <v>0</v>
      </c>
      <c r="G38" s="157">
        <v>0</v>
      </c>
    </row>
    <row r="39" spans="1:7">
      <c r="B39" s="174" t="s">
        <v>226</v>
      </c>
      <c r="C39" s="157">
        <f>C40</f>
        <v>192</v>
      </c>
      <c r="D39" s="157">
        <f t="shared" ref="D39:G39" si="1">D40</f>
        <v>188</v>
      </c>
      <c r="E39" s="157">
        <f t="shared" si="1"/>
        <v>196</v>
      </c>
      <c r="F39" s="157">
        <f t="shared" si="1"/>
        <v>191</v>
      </c>
      <c r="G39" s="157">
        <f t="shared" si="1"/>
        <v>200</v>
      </c>
    </row>
    <row r="40" spans="1:7">
      <c r="B40" s="174" t="s">
        <v>12</v>
      </c>
      <c r="C40" s="157">
        <v>192</v>
      </c>
      <c r="D40" s="157">
        <v>188</v>
      </c>
      <c r="E40" s="157">
        <v>196</v>
      </c>
      <c r="F40" s="157">
        <v>191</v>
      </c>
      <c r="G40" s="157">
        <v>200</v>
      </c>
    </row>
    <row r="41" spans="1:7">
      <c r="B41" s="174" t="s">
        <v>225</v>
      </c>
      <c r="C41" s="157">
        <v>10</v>
      </c>
      <c r="D41" s="157">
        <v>10</v>
      </c>
      <c r="E41" s="157">
        <v>10</v>
      </c>
      <c r="F41" s="157">
        <v>10</v>
      </c>
      <c r="G41" s="157">
        <v>10</v>
      </c>
    </row>
    <row r="42" spans="1:7">
      <c r="B42" s="174" t="s">
        <v>14</v>
      </c>
      <c r="C42" s="157">
        <v>5</v>
      </c>
      <c r="D42" s="157">
        <v>10</v>
      </c>
      <c r="E42" s="157">
        <v>10</v>
      </c>
      <c r="F42" s="157">
        <v>10</v>
      </c>
      <c r="G42" s="157">
        <v>10</v>
      </c>
    </row>
    <row r="43" spans="1:7">
      <c r="B43" s="174" t="s">
        <v>224</v>
      </c>
      <c r="C43" s="157">
        <v>5</v>
      </c>
      <c r="D43" s="157">
        <v>0</v>
      </c>
      <c r="E43" s="157">
        <v>0</v>
      </c>
      <c r="F43" s="157">
        <v>0</v>
      </c>
      <c r="G43" s="157">
        <v>0</v>
      </c>
    </row>
    <row r="44" spans="1:7">
      <c r="B44" s="174" t="s">
        <v>223</v>
      </c>
      <c r="C44" s="157">
        <v>0</v>
      </c>
      <c r="D44" s="157">
        <v>0</v>
      </c>
      <c r="E44" s="157">
        <v>0</v>
      </c>
      <c r="F44" s="157">
        <v>0</v>
      </c>
      <c r="G44" s="157">
        <v>0</v>
      </c>
    </row>
    <row r="45" spans="1:7">
      <c r="B45" s="174" t="s">
        <v>222</v>
      </c>
      <c r="C45" s="157">
        <v>0</v>
      </c>
      <c r="D45" s="157">
        <v>0</v>
      </c>
      <c r="E45" s="157">
        <v>0</v>
      </c>
      <c r="F45" s="157">
        <v>0</v>
      </c>
      <c r="G45" s="157">
        <v>0</v>
      </c>
    </row>
    <row r="46" spans="1:7">
      <c r="B46" s="174" t="s">
        <v>221</v>
      </c>
      <c r="C46" s="159">
        <v>0</v>
      </c>
      <c r="D46" s="159">
        <v>0</v>
      </c>
      <c r="E46" s="159">
        <v>0</v>
      </c>
      <c r="F46" s="159">
        <v>0</v>
      </c>
      <c r="G46" s="159">
        <v>0</v>
      </c>
    </row>
    <row r="47" spans="1:7">
      <c r="B47" s="173" t="s">
        <v>220</v>
      </c>
      <c r="C47" s="157">
        <v>200</v>
      </c>
      <c r="D47" s="157">
        <v>200</v>
      </c>
      <c r="E47" s="157">
        <v>200</v>
      </c>
      <c r="F47" s="157">
        <v>200</v>
      </c>
      <c r="G47" s="157">
        <v>200</v>
      </c>
    </row>
    <row r="48" spans="1:7">
      <c r="B48" s="173" t="s">
        <v>213</v>
      </c>
      <c r="C48" s="157">
        <f>C47-C39</f>
        <v>8</v>
      </c>
      <c r="D48" s="157">
        <f>D47-D39</f>
        <v>12</v>
      </c>
      <c r="E48" s="157">
        <f>E47-E39</f>
        <v>4</v>
      </c>
      <c r="F48" s="157">
        <f>F47-F39</f>
        <v>9</v>
      </c>
      <c r="G48" s="157">
        <f>G47-G39</f>
        <v>0</v>
      </c>
    </row>
    <row r="49" spans="2:14">
      <c r="B49" s="166"/>
    </row>
    <row r="50" spans="2:14">
      <c r="B50" s="166"/>
    </row>
    <row r="51" spans="2:14">
      <c r="B51" s="170" t="s">
        <v>219</v>
      </c>
      <c r="C51" s="169">
        <v>0</v>
      </c>
      <c r="F51" s="168" t="s">
        <v>218</v>
      </c>
      <c r="G51" s="167">
        <v>0</v>
      </c>
    </row>
    <row r="52" spans="2:14">
      <c r="B52" s="170" t="s">
        <v>217</v>
      </c>
      <c r="C52" s="169">
        <v>5</v>
      </c>
      <c r="F52" s="168" t="s">
        <v>216</v>
      </c>
      <c r="G52" s="167">
        <f>PRODUCT(5,C33)</f>
        <v>5</v>
      </c>
    </row>
    <row r="53" spans="2:14">
      <c r="B53" s="172" t="s">
        <v>215</v>
      </c>
      <c r="C53" s="169">
        <v>969</v>
      </c>
      <c r="F53" s="171" t="s">
        <v>214</v>
      </c>
      <c r="G53" s="167">
        <f>PRODUCT(75,C53)</f>
        <v>72675</v>
      </c>
    </row>
    <row r="54" spans="2:14">
      <c r="B54" s="170" t="s">
        <v>213</v>
      </c>
      <c r="C54" s="169">
        <f>SUM(C48:G48)</f>
        <v>33</v>
      </c>
      <c r="F54" s="168" t="s">
        <v>212</v>
      </c>
      <c r="G54" s="167">
        <f>PRODUCT(33,C54)</f>
        <v>1089</v>
      </c>
    </row>
    <row r="55" spans="2:14" ht="15">
      <c r="B55" s="166"/>
      <c r="F55" s="165" t="s">
        <v>211</v>
      </c>
      <c r="G55" s="191">
        <f>SUM(G51:G54)</f>
        <v>73769</v>
      </c>
      <c r="H55" s="110" t="s">
        <v>133</v>
      </c>
    </row>
    <row r="58" spans="2:14">
      <c r="K58" s="260" t="s">
        <v>210</v>
      </c>
      <c r="L58" s="260"/>
      <c r="M58" s="260"/>
      <c r="N58" s="260"/>
    </row>
    <row r="59" spans="2:14">
      <c r="K59" s="260"/>
      <c r="L59" s="260"/>
      <c r="M59" s="260"/>
      <c r="N59" s="260"/>
    </row>
  </sheetData>
  <mergeCells count="4">
    <mergeCell ref="J18:L19"/>
    <mergeCell ref="A1:E1"/>
    <mergeCell ref="A34:E34"/>
    <mergeCell ref="K58:N59"/>
  </mergeCells>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F9" sqref="F9"/>
    </sheetView>
  </sheetViews>
  <sheetFormatPr baseColWidth="10" defaultColWidth="8.83203125" defaultRowHeight="14" x14ac:dyDescent="0"/>
  <cols>
    <col min="1" max="1" width="12.83203125" style="131" customWidth="1"/>
    <col min="2" max="2" width="18.33203125" style="131" customWidth="1"/>
    <col min="3" max="3" width="12.83203125" style="131" customWidth="1"/>
    <col min="4" max="4" width="16.6640625" style="131" customWidth="1"/>
    <col min="5" max="6" width="8.83203125" style="131"/>
    <col min="7" max="7" width="19.6640625" style="131" customWidth="1"/>
    <col min="8" max="8" width="16.83203125" style="131" customWidth="1"/>
    <col min="9" max="9" width="14" style="131" customWidth="1"/>
    <col min="10" max="16384" width="8.83203125" style="131"/>
  </cols>
  <sheetData>
    <row r="1" spans="1:15">
      <c r="A1" s="193" t="s">
        <v>209</v>
      </c>
      <c r="B1" s="193" t="s">
        <v>241</v>
      </c>
      <c r="C1" s="193" t="s">
        <v>240</v>
      </c>
      <c r="D1" s="193" t="s">
        <v>239</v>
      </c>
      <c r="E1" s="194"/>
      <c r="F1" s="194"/>
      <c r="G1" s="194"/>
      <c r="H1" s="194"/>
      <c r="I1" s="194"/>
      <c r="J1" s="194"/>
      <c r="K1" s="194"/>
      <c r="L1" s="194"/>
      <c r="M1" s="194"/>
      <c r="N1" s="194"/>
      <c r="O1" s="194"/>
    </row>
    <row r="2" spans="1:15">
      <c r="A2" s="193">
        <v>3</v>
      </c>
      <c r="B2" s="193">
        <v>128</v>
      </c>
      <c r="C2" s="193">
        <v>123</v>
      </c>
      <c r="D2" s="193">
        <v>110</v>
      </c>
      <c r="E2" s="194"/>
      <c r="F2" s="194"/>
      <c r="G2" s="194"/>
      <c r="H2" s="194"/>
      <c r="I2" s="194"/>
      <c r="J2" s="194"/>
      <c r="K2" s="194"/>
      <c r="L2" s="194"/>
      <c r="M2" s="194"/>
      <c r="N2" s="194"/>
      <c r="O2" s="194"/>
    </row>
    <row r="3" spans="1:15">
      <c r="A3" s="193">
        <v>4</v>
      </c>
      <c r="B3" s="193">
        <v>136</v>
      </c>
      <c r="C3" s="193">
        <v>128</v>
      </c>
      <c r="D3" s="193">
        <v>123</v>
      </c>
      <c r="E3" s="194"/>
      <c r="F3" s="194"/>
      <c r="G3" s="193" t="s">
        <v>195</v>
      </c>
      <c r="H3" s="193"/>
      <c r="I3" s="194"/>
      <c r="J3" s="194"/>
      <c r="K3" s="194"/>
      <c r="L3" s="194"/>
      <c r="M3" s="194"/>
      <c r="N3" s="194"/>
      <c r="O3" s="194"/>
    </row>
    <row r="4" spans="1:15">
      <c r="A4" s="193">
        <v>5</v>
      </c>
      <c r="B4" s="193">
        <v>139</v>
      </c>
      <c r="C4" s="193">
        <v>136</v>
      </c>
      <c r="D4" s="193">
        <v>128</v>
      </c>
      <c r="E4" s="194"/>
      <c r="F4" s="194"/>
      <c r="G4" s="193"/>
      <c r="H4" s="193"/>
      <c r="I4" s="194"/>
      <c r="J4" s="194"/>
      <c r="K4" s="194"/>
      <c r="L4" s="194"/>
      <c r="M4" s="194"/>
      <c r="N4" s="194"/>
      <c r="O4" s="194"/>
    </row>
    <row r="5" spans="1:15">
      <c r="A5" s="193">
        <v>6</v>
      </c>
      <c r="B5" s="193">
        <v>134</v>
      </c>
      <c r="C5" s="193">
        <v>139</v>
      </c>
      <c r="D5" s="193">
        <v>136</v>
      </c>
      <c r="E5" s="194"/>
      <c r="F5" s="194"/>
      <c r="G5" s="195" t="s">
        <v>194</v>
      </c>
      <c r="H5" s="193"/>
      <c r="I5" s="194"/>
      <c r="J5" s="194"/>
      <c r="K5" s="194"/>
      <c r="L5" s="194"/>
      <c r="M5" s="194"/>
      <c r="N5" s="194"/>
      <c r="O5" s="194"/>
    </row>
    <row r="6" spans="1:15">
      <c r="A6" s="193">
        <v>7</v>
      </c>
      <c r="B6" s="193">
        <v>142</v>
      </c>
      <c r="C6" s="193">
        <v>134</v>
      </c>
      <c r="D6" s="193">
        <v>139</v>
      </c>
      <c r="E6" s="194"/>
      <c r="F6" s="194"/>
      <c r="G6" s="193" t="s">
        <v>193</v>
      </c>
      <c r="H6" s="193">
        <v>0.93618086680000001</v>
      </c>
      <c r="I6" s="194"/>
      <c r="J6" s="194"/>
      <c r="K6" s="194"/>
      <c r="L6" s="194"/>
      <c r="M6" s="194"/>
      <c r="N6" s="194"/>
      <c r="O6" s="194"/>
    </row>
    <row r="7" spans="1:15">
      <c r="A7" s="193">
        <v>8</v>
      </c>
      <c r="B7" s="193">
        <v>149</v>
      </c>
      <c r="C7" s="193">
        <v>142</v>
      </c>
      <c r="D7" s="193">
        <v>134</v>
      </c>
      <c r="E7" s="194"/>
      <c r="F7" s="194"/>
      <c r="G7" s="193" t="s">
        <v>192</v>
      </c>
      <c r="H7" s="193">
        <v>0.8764346153</v>
      </c>
      <c r="I7" s="194"/>
      <c r="J7" s="194"/>
      <c r="K7" s="194"/>
      <c r="L7" s="194"/>
      <c r="M7" s="194"/>
      <c r="N7" s="194"/>
      <c r="O7" s="194"/>
    </row>
    <row r="8" spans="1:15">
      <c r="A8" s="193">
        <v>9</v>
      </c>
      <c r="B8" s="193">
        <v>158</v>
      </c>
      <c r="C8" s="193">
        <v>149</v>
      </c>
      <c r="D8" s="193">
        <v>142</v>
      </c>
      <c r="E8" s="194"/>
      <c r="F8" s="194"/>
      <c r="G8" s="193" t="s">
        <v>191</v>
      </c>
      <c r="H8" s="193">
        <v>0.85995923070000002</v>
      </c>
      <c r="I8" s="194"/>
      <c r="J8" s="194"/>
      <c r="K8" s="194"/>
      <c r="L8" s="194"/>
      <c r="M8" s="194"/>
      <c r="N8" s="194"/>
      <c r="O8" s="194"/>
    </row>
    <row r="9" spans="1:15">
      <c r="A9" s="193">
        <v>10</v>
      </c>
      <c r="B9" s="193">
        <v>147</v>
      </c>
      <c r="C9" s="193">
        <v>158</v>
      </c>
      <c r="D9" s="193">
        <v>149</v>
      </c>
      <c r="E9" s="194"/>
      <c r="F9" s="194"/>
      <c r="G9" s="193" t="s">
        <v>177</v>
      </c>
      <c r="H9" s="193">
        <v>6.6011788139999998</v>
      </c>
      <c r="I9" s="194"/>
      <c r="J9" s="194"/>
      <c r="K9" s="194"/>
      <c r="L9" s="194"/>
      <c r="M9" s="194"/>
      <c r="N9" s="194"/>
      <c r="O9" s="194"/>
    </row>
    <row r="10" spans="1:15" ht="20.25" customHeight="1">
      <c r="A10" s="193">
        <v>11</v>
      </c>
      <c r="B10" s="193">
        <v>139</v>
      </c>
      <c r="C10" s="193">
        <v>147</v>
      </c>
      <c r="D10" s="193">
        <v>158</v>
      </c>
      <c r="E10" s="194"/>
      <c r="F10" s="194"/>
      <c r="G10" s="193" t="s">
        <v>40</v>
      </c>
      <c r="H10" s="193">
        <v>18</v>
      </c>
      <c r="I10" s="194"/>
      <c r="J10" s="194"/>
      <c r="K10" s="194"/>
      <c r="L10" s="194"/>
      <c r="M10" s="194"/>
      <c r="N10" s="194"/>
      <c r="O10" s="194"/>
    </row>
    <row r="11" spans="1:15" ht="22.5" customHeight="1">
      <c r="A11" s="193">
        <v>12</v>
      </c>
      <c r="B11" s="193">
        <v>140</v>
      </c>
      <c r="C11" s="193">
        <v>139</v>
      </c>
      <c r="D11" s="193">
        <v>147</v>
      </c>
      <c r="E11" s="194"/>
      <c r="F11" s="194"/>
      <c r="G11" s="194"/>
      <c r="H11" s="194"/>
      <c r="I11" s="194"/>
      <c r="J11" s="194"/>
      <c r="K11" s="194"/>
      <c r="L11" s="194"/>
      <c r="M11" s="194"/>
      <c r="N11" s="194"/>
      <c r="O11" s="194"/>
    </row>
    <row r="12" spans="1:15">
      <c r="A12" s="193">
        <v>13</v>
      </c>
      <c r="B12" s="193">
        <v>143</v>
      </c>
      <c r="C12" s="193">
        <v>140</v>
      </c>
      <c r="D12" s="193">
        <v>139</v>
      </c>
      <c r="E12" s="194"/>
      <c r="F12" s="194"/>
      <c r="G12" s="196" t="s">
        <v>188</v>
      </c>
      <c r="H12" s="194"/>
      <c r="I12" s="194"/>
      <c r="J12" s="194"/>
      <c r="K12" s="194"/>
      <c r="L12" s="194"/>
      <c r="M12" s="194"/>
      <c r="N12" s="194"/>
      <c r="O12" s="194"/>
    </row>
    <row r="13" spans="1:15" ht="25">
      <c r="A13" s="193">
        <v>14</v>
      </c>
      <c r="B13" s="193">
        <v>156</v>
      </c>
      <c r="C13" s="193">
        <v>143</v>
      </c>
      <c r="D13" s="193">
        <v>140</v>
      </c>
      <c r="E13" s="194"/>
      <c r="F13" s="194"/>
      <c r="G13" s="193"/>
      <c r="H13" s="195" t="s">
        <v>186</v>
      </c>
      <c r="I13" s="195" t="s">
        <v>185</v>
      </c>
      <c r="J13" s="195" t="s">
        <v>184</v>
      </c>
      <c r="K13" s="195" t="s">
        <v>56</v>
      </c>
      <c r="L13" s="195" t="s">
        <v>183</v>
      </c>
      <c r="M13" s="194"/>
      <c r="N13" s="194"/>
      <c r="O13" s="194"/>
    </row>
    <row r="14" spans="1:15">
      <c r="A14" s="193">
        <v>15</v>
      </c>
      <c r="B14" s="193">
        <v>161</v>
      </c>
      <c r="C14" s="193">
        <v>156</v>
      </c>
      <c r="D14" s="193">
        <v>143</v>
      </c>
      <c r="E14" s="194"/>
      <c r="F14" s="194"/>
      <c r="G14" s="193" t="s">
        <v>182</v>
      </c>
      <c r="H14" s="193">
        <v>2</v>
      </c>
      <c r="I14" s="193">
        <v>4636.1443520000003</v>
      </c>
      <c r="J14" s="193">
        <v>2318.0721760000001</v>
      </c>
      <c r="K14" s="193">
        <v>53.196610290000002</v>
      </c>
      <c r="L14" s="193">
        <v>1.546059458E-7</v>
      </c>
      <c r="M14" s="194"/>
      <c r="N14" s="194"/>
      <c r="O14" s="194"/>
    </row>
    <row r="15" spans="1:15">
      <c r="A15" s="193">
        <v>16</v>
      </c>
      <c r="B15" s="193">
        <v>170</v>
      </c>
      <c r="C15" s="193">
        <v>161</v>
      </c>
      <c r="D15" s="193">
        <v>156</v>
      </c>
      <c r="E15" s="194"/>
      <c r="F15" s="194"/>
      <c r="G15" s="193" t="s">
        <v>179</v>
      </c>
      <c r="H15" s="193">
        <v>15</v>
      </c>
      <c r="I15" s="193">
        <v>653.63342609999995</v>
      </c>
      <c r="J15" s="193">
        <v>43.575561739999998</v>
      </c>
      <c r="K15" s="193"/>
      <c r="L15" s="193"/>
      <c r="M15" s="194"/>
      <c r="N15" s="194"/>
      <c r="O15" s="194"/>
    </row>
    <row r="16" spans="1:15">
      <c r="A16" s="193">
        <v>17</v>
      </c>
      <c r="B16" s="193">
        <v>169</v>
      </c>
      <c r="C16" s="193">
        <v>170</v>
      </c>
      <c r="D16" s="193">
        <v>161</v>
      </c>
      <c r="E16" s="194"/>
      <c r="F16" s="194"/>
      <c r="G16" s="193" t="s">
        <v>19</v>
      </c>
      <c r="H16" s="193">
        <v>17</v>
      </c>
      <c r="I16" s="193">
        <v>5289.7777779999997</v>
      </c>
      <c r="J16" s="193"/>
      <c r="K16" s="193"/>
      <c r="L16" s="193"/>
      <c r="M16" s="194"/>
      <c r="N16" s="194"/>
      <c r="O16" s="194"/>
    </row>
    <row r="17" spans="1:15">
      <c r="A17" s="193">
        <v>18</v>
      </c>
      <c r="B17" s="193">
        <v>176</v>
      </c>
      <c r="C17" s="193">
        <v>169</v>
      </c>
      <c r="D17" s="193">
        <v>170</v>
      </c>
      <c r="E17" s="194"/>
      <c r="F17" s="194"/>
      <c r="G17" s="194"/>
      <c r="H17" s="194"/>
      <c r="I17" s="194"/>
      <c r="J17" s="194"/>
      <c r="K17" s="194"/>
      <c r="L17" s="194"/>
      <c r="M17" s="194"/>
      <c r="N17" s="194"/>
      <c r="O17" s="194"/>
    </row>
    <row r="18" spans="1:15" ht="25">
      <c r="A18" s="193">
        <v>19</v>
      </c>
      <c r="B18" s="193">
        <v>181</v>
      </c>
      <c r="C18" s="193">
        <v>176</v>
      </c>
      <c r="D18" s="193">
        <v>169</v>
      </c>
      <c r="E18" s="194"/>
      <c r="F18" s="194"/>
      <c r="G18" s="193"/>
      <c r="H18" s="195" t="s">
        <v>178</v>
      </c>
      <c r="I18" s="195" t="s">
        <v>177</v>
      </c>
      <c r="J18" s="195" t="s">
        <v>176</v>
      </c>
      <c r="K18" s="195" t="s">
        <v>175</v>
      </c>
      <c r="L18" s="195" t="s">
        <v>174</v>
      </c>
      <c r="M18" s="195" t="s">
        <v>173</v>
      </c>
      <c r="N18" s="195" t="s">
        <v>174</v>
      </c>
      <c r="O18" s="195" t="s">
        <v>173</v>
      </c>
    </row>
    <row r="19" spans="1:15">
      <c r="A19" s="193">
        <v>20</v>
      </c>
      <c r="B19" s="193">
        <v>188</v>
      </c>
      <c r="C19" s="193">
        <v>181</v>
      </c>
      <c r="D19" s="193">
        <v>176</v>
      </c>
      <c r="E19" s="194"/>
      <c r="F19" s="194"/>
      <c r="G19" s="193" t="s">
        <v>69</v>
      </c>
      <c r="H19" s="193">
        <v>6.2493862670000002</v>
      </c>
      <c r="I19" s="193">
        <v>14.434561070000001</v>
      </c>
      <c r="J19" s="193">
        <v>0.43294605470000003</v>
      </c>
      <c r="K19" s="193">
        <v>0.67121462180000002</v>
      </c>
      <c r="L19" s="193">
        <v>-24.51715222</v>
      </c>
      <c r="M19" s="193">
        <v>37.015924759999997</v>
      </c>
      <c r="N19" s="193">
        <v>-24.51715222</v>
      </c>
      <c r="O19" s="193">
        <v>37.015924759999997</v>
      </c>
    </row>
    <row r="20" spans="1:15">
      <c r="A20" s="194"/>
      <c r="B20" s="194"/>
      <c r="C20" s="194"/>
      <c r="D20" s="194"/>
      <c r="E20" s="194"/>
      <c r="F20" s="194"/>
      <c r="G20" s="193" t="s">
        <v>170</v>
      </c>
      <c r="H20" s="193">
        <v>1.14927158</v>
      </c>
      <c r="I20" s="193">
        <v>0.2499786923</v>
      </c>
      <c r="J20" s="193">
        <v>4.5974781680000003</v>
      </c>
      <c r="K20" s="193">
        <v>3.4872174380000002E-4</v>
      </c>
      <c r="L20" s="193">
        <v>0.61645461270000002</v>
      </c>
      <c r="M20" s="193">
        <v>1.6820885480000001</v>
      </c>
      <c r="N20" s="193">
        <v>0.61645461270000002</v>
      </c>
      <c r="O20" s="193">
        <v>1.6820885480000001</v>
      </c>
    </row>
    <row r="21" spans="1:15">
      <c r="A21" s="194"/>
      <c r="B21" s="194"/>
      <c r="C21" s="194"/>
      <c r="D21" s="194"/>
      <c r="E21" s="194"/>
      <c r="F21" s="194"/>
      <c r="G21" s="193" t="s">
        <v>168</v>
      </c>
      <c r="H21" s="193">
        <v>-0.1714422807</v>
      </c>
      <c r="I21" s="193">
        <v>0.24272176570000001</v>
      </c>
      <c r="J21" s="193">
        <v>-0.70633253780000005</v>
      </c>
      <c r="K21" s="193">
        <v>0.49080798050000002</v>
      </c>
      <c r="L21" s="193">
        <v>-0.68879147549999997</v>
      </c>
      <c r="M21" s="193">
        <v>0.34590691400000001</v>
      </c>
      <c r="N21" s="193">
        <v>-0.68879147549999997</v>
      </c>
      <c r="O21" s="193">
        <v>0.34590691400000001</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activeCell="I8" sqref="I8"/>
    </sheetView>
  </sheetViews>
  <sheetFormatPr baseColWidth="10" defaultColWidth="8.83203125" defaultRowHeight="14" x14ac:dyDescent="0"/>
  <cols>
    <col min="1" max="1" width="8.83203125" style="131"/>
    <col min="2" max="2" width="13.5" style="131" customWidth="1"/>
    <col min="3" max="3" width="17.6640625" style="131" customWidth="1"/>
    <col min="4" max="4" width="13.6640625" style="131" customWidth="1"/>
    <col min="5" max="5" width="18.6640625" style="131" customWidth="1"/>
    <col min="6" max="6" width="20.5" style="131" customWidth="1"/>
    <col min="7" max="7" width="13.6640625" style="131" customWidth="1"/>
    <col min="8" max="8" width="16.33203125" style="131" customWidth="1"/>
    <col min="9" max="9" width="12.33203125" style="131" customWidth="1"/>
    <col min="10" max="10" width="11.5" style="131" customWidth="1"/>
    <col min="11" max="11" width="14.33203125" style="131" bestFit="1" customWidth="1"/>
    <col min="12" max="16384" width="8.83203125" style="131"/>
  </cols>
  <sheetData>
    <row r="1" spans="1:11">
      <c r="A1" s="218" t="s">
        <v>252</v>
      </c>
      <c r="B1" s="219" t="s">
        <v>118</v>
      </c>
      <c r="C1" s="218" t="s">
        <v>251</v>
      </c>
      <c r="D1" s="218" t="s">
        <v>250</v>
      </c>
      <c r="E1" s="218" t="s">
        <v>249</v>
      </c>
      <c r="F1" s="218" t="s">
        <v>248</v>
      </c>
      <c r="G1" s="218" t="s">
        <v>247</v>
      </c>
      <c r="H1" s="218" t="s">
        <v>246</v>
      </c>
      <c r="I1" s="198"/>
      <c r="J1" s="217" t="s">
        <v>245</v>
      </c>
      <c r="K1" s="216">
        <v>0.1</v>
      </c>
    </row>
    <row r="2" spans="1:11">
      <c r="A2" s="211">
        <v>1</v>
      </c>
      <c r="B2" s="210">
        <v>227</v>
      </c>
      <c r="C2" s="211" t="s">
        <v>140</v>
      </c>
      <c r="D2" s="211" t="s">
        <v>140</v>
      </c>
      <c r="E2" s="208" t="s">
        <v>140</v>
      </c>
      <c r="F2" s="208" t="s">
        <v>140</v>
      </c>
      <c r="G2" s="211" t="s">
        <v>140</v>
      </c>
      <c r="H2" s="211" t="s">
        <v>140</v>
      </c>
      <c r="I2" s="198"/>
      <c r="J2" s="217" t="s">
        <v>244</v>
      </c>
      <c r="K2" s="216">
        <v>0.2</v>
      </c>
    </row>
    <row r="3" spans="1:11">
      <c r="A3" s="211">
        <v>2</v>
      </c>
      <c r="B3" s="210">
        <v>47</v>
      </c>
      <c r="C3" s="211" t="s">
        <v>140</v>
      </c>
      <c r="D3" s="211" t="s">
        <v>140</v>
      </c>
      <c r="E3" s="208" t="s">
        <v>140</v>
      </c>
      <c r="F3" s="208" t="s">
        <v>140</v>
      </c>
      <c r="G3" s="211" t="s">
        <v>140</v>
      </c>
      <c r="H3" s="211" t="s">
        <v>140</v>
      </c>
      <c r="I3" s="198"/>
      <c r="J3" s="217" t="s">
        <v>243</v>
      </c>
      <c r="K3" s="216">
        <v>0.3</v>
      </c>
    </row>
    <row r="4" spans="1:11">
      <c r="A4" s="211">
        <v>3</v>
      </c>
      <c r="B4" s="210">
        <v>157</v>
      </c>
      <c r="C4" s="211" t="s">
        <v>140</v>
      </c>
      <c r="D4" s="211" t="s">
        <v>140</v>
      </c>
      <c r="E4" s="208" t="s">
        <v>140</v>
      </c>
      <c r="F4" s="208" t="s">
        <v>140</v>
      </c>
      <c r="G4" s="211" t="s">
        <v>140</v>
      </c>
      <c r="H4" s="211" t="s">
        <v>140</v>
      </c>
      <c r="I4" s="198"/>
      <c r="J4" s="198"/>
    </row>
    <row r="5" spans="1:11">
      <c r="A5" s="211">
        <v>4</v>
      </c>
      <c r="B5" s="210">
        <v>57</v>
      </c>
      <c r="C5" s="211" t="s">
        <v>140</v>
      </c>
      <c r="D5" s="211" t="s">
        <v>140</v>
      </c>
      <c r="E5" s="208" t="s">
        <v>140</v>
      </c>
      <c r="F5" s="208" t="s">
        <v>140</v>
      </c>
      <c r="G5" s="211" t="s">
        <v>140</v>
      </c>
      <c r="H5" s="211" t="s">
        <v>140</v>
      </c>
      <c r="I5" s="198"/>
      <c r="J5" s="198"/>
    </row>
    <row r="6" spans="1:11">
      <c r="A6" s="215">
        <v>5</v>
      </c>
      <c r="B6" s="214">
        <v>261</v>
      </c>
      <c r="C6" s="215" t="s">
        <v>140</v>
      </c>
      <c r="D6" s="215" t="s">
        <v>140</v>
      </c>
      <c r="E6" s="212">
        <f>(B6+B2)/(130.5*2)</f>
        <v>1.8697318007662835</v>
      </c>
      <c r="F6" s="212" t="s">
        <v>140</v>
      </c>
      <c r="G6" s="215" t="s">
        <v>140</v>
      </c>
      <c r="H6" s="215" t="s">
        <v>140</v>
      </c>
      <c r="I6" s="198"/>
      <c r="J6" s="198"/>
    </row>
    <row r="7" spans="1:11">
      <c r="A7" s="215">
        <v>6</v>
      </c>
      <c r="B7" s="214">
        <v>51</v>
      </c>
      <c r="C7" s="215" t="s">
        <v>140</v>
      </c>
      <c r="D7" s="215" t="s">
        <v>140</v>
      </c>
      <c r="E7" s="212">
        <f>(B7+B3)/(130.5*2)</f>
        <v>0.37547892720306514</v>
      </c>
      <c r="F7" s="212" t="s">
        <v>140</v>
      </c>
      <c r="G7" s="215" t="s">
        <v>140</v>
      </c>
      <c r="H7" s="215" t="s">
        <v>140</v>
      </c>
      <c r="I7" s="198"/>
      <c r="J7" s="198"/>
    </row>
    <row r="8" spans="1:11">
      <c r="A8" s="215">
        <v>7</v>
      </c>
      <c r="B8" s="214">
        <v>181</v>
      </c>
      <c r="C8" s="215" t="s">
        <v>140</v>
      </c>
      <c r="D8" s="215" t="s">
        <v>140</v>
      </c>
      <c r="E8" s="212">
        <f>(B8+B4)/(130.5*2)</f>
        <v>1.2950191570881227</v>
      </c>
      <c r="F8" s="212" t="s">
        <v>140</v>
      </c>
      <c r="G8" s="215" t="s">
        <v>140</v>
      </c>
      <c r="H8" s="215" t="s">
        <v>140</v>
      </c>
      <c r="I8" s="198"/>
      <c r="J8" s="198"/>
    </row>
    <row r="9" spans="1:11">
      <c r="A9" s="215">
        <v>8</v>
      </c>
      <c r="B9" s="214">
        <v>61</v>
      </c>
      <c r="C9" s="215">
        <f>AVERAGE(B2:B9)</f>
        <v>130.25</v>
      </c>
      <c r="D9" s="215">
        <f>((B6-B2)+(B7-B3)+(B8-B4)+(B9-B5))/16</f>
        <v>4.125</v>
      </c>
      <c r="E9" s="212">
        <f>(B9+B5)/(130.5*2)</f>
        <v>0.45210727969348657</v>
      </c>
      <c r="F9" s="212" t="s">
        <v>140</v>
      </c>
      <c r="G9" s="215" t="s">
        <v>140</v>
      </c>
      <c r="H9" s="215" t="s">
        <v>140</v>
      </c>
      <c r="I9" s="198"/>
      <c r="J9" s="198"/>
    </row>
    <row r="10" spans="1:11">
      <c r="A10" s="211">
        <v>9</v>
      </c>
      <c r="B10" s="210">
        <v>305</v>
      </c>
      <c r="C10" s="208">
        <f>$K$1*(B10/E6)+(1-$K$1)*(C9+D9)</f>
        <v>137.25</v>
      </c>
      <c r="D10" s="209">
        <f t="shared" ref="D10:D21" si="0">$K$2*(C10-C9)+(1-$K$2)*D9</f>
        <v>4.7</v>
      </c>
      <c r="E10" s="208">
        <f>$K$3*(B10/C10)+(1-$K$3)*E6</f>
        <v>1.9754789272030648</v>
      </c>
      <c r="F10" s="208">
        <f>(E10*4)/4.05</f>
        <v>1.951090298472163</v>
      </c>
      <c r="G10" s="208">
        <f>(C9+(1*D9))*E6</f>
        <v>251.24521072796935</v>
      </c>
      <c r="H10" s="208" t="s">
        <v>140</v>
      </c>
      <c r="I10" s="203"/>
      <c r="J10" s="198"/>
    </row>
    <row r="11" spans="1:11">
      <c r="A11" s="211">
        <v>10</v>
      </c>
      <c r="B11" s="210">
        <v>59</v>
      </c>
      <c r="C11" s="208">
        <f>$K$1*(B11/E7)+(1-$K$1)*(C10+D10)</f>
        <v>143.46826530612245</v>
      </c>
      <c r="D11" s="209">
        <f t="shared" si="0"/>
        <v>5.0036530612244903</v>
      </c>
      <c r="E11" s="208">
        <f>$K$3*(B11/C11)+(1-$K$3)*E7</f>
        <v>0.38620748026159324</v>
      </c>
      <c r="F11" s="208">
        <f>(E11*4)/4.05</f>
        <v>0.38143948667811678</v>
      </c>
      <c r="G11" s="208">
        <f>(C10+(1*D10))*E7</f>
        <v>53.299233716475094</v>
      </c>
      <c r="H11" s="208" t="s">
        <v>140</v>
      </c>
      <c r="I11" s="203"/>
      <c r="J11" s="198"/>
    </row>
    <row r="12" spans="1:11">
      <c r="A12" s="211">
        <v>11</v>
      </c>
      <c r="B12" s="210">
        <v>195</v>
      </c>
      <c r="C12" s="208">
        <f>$K$1*(B12/E8)+(1-$K$1)*(C11+D11)</f>
        <v>148.68241883830456</v>
      </c>
      <c r="D12" s="209">
        <f t="shared" si="0"/>
        <v>5.0457531554160138</v>
      </c>
      <c r="E12" s="208">
        <f>$K$3*(B12/C12)+(1-$K$3)*E8</f>
        <v>1.299969478655457</v>
      </c>
      <c r="F12" s="208">
        <f>(E12*4)/4.05</f>
        <v>1.2839204727461304</v>
      </c>
      <c r="G12" s="208">
        <f>(C11+(1*D11))*E8</f>
        <v>192.27397857533819</v>
      </c>
      <c r="H12" s="208">
        <f t="shared" ref="H12:H21" si="1">ABS(B12-G12)</f>
        <v>2.7260214246618091</v>
      </c>
      <c r="I12" s="203"/>
      <c r="J12" s="198"/>
    </row>
    <row r="13" spans="1:11">
      <c r="A13" s="211">
        <v>12</v>
      </c>
      <c r="B13" s="210">
        <v>79</v>
      </c>
      <c r="C13" s="208">
        <f>$K$1*(B13/E9)+(1-$K$1)*(C12+D12)</f>
        <v>155.82908360790782</v>
      </c>
      <c r="D13" s="209">
        <f t="shared" si="0"/>
        <v>5.4659354782534635</v>
      </c>
      <c r="E13" s="208">
        <f>$K$3*(B13/C13)+(1-$K$3)*E9</f>
        <v>0.4685648049159466</v>
      </c>
      <c r="F13" s="208">
        <f>(E13*4)/4.05</f>
        <v>0.46278005423797197</v>
      </c>
      <c r="G13" s="208">
        <f>(C12+(1*D12))*E9</f>
        <v>69.501625652333431</v>
      </c>
      <c r="H13" s="208">
        <f t="shared" si="1"/>
        <v>9.4983743476665694</v>
      </c>
      <c r="I13" s="203"/>
      <c r="J13" s="198"/>
    </row>
    <row r="14" spans="1:11">
      <c r="A14" s="215">
        <v>13</v>
      </c>
      <c r="B14" s="214">
        <v>320</v>
      </c>
      <c r="C14" s="212">
        <f>$K$1*(B14/F10)+(1-$K$1)*(C13+D13)</f>
        <v>161.56660329081126</v>
      </c>
      <c r="D14" s="213">
        <f t="shared" si="0"/>
        <v>5.5202523191834594</v>
      </c>
      <c r="E14" s="212">
        <f>$K$3*(B14/C14)+(1-$K$3)*F10</f>
        <v>1.9599454102311449</v>
      </c>
      <c r="F14" s="212"/>
      <c r="G14" s="212">
        <f>(C13+(1*D13))*F10</f>
        <v>314.70114693089164</v>
      </c>
      <c r="H14" s="212">
        <f t="shared" si="1"/>
        <v>5.2988530691083611</v>
      </c>
      <c r="I14" s="203"/>
      <c r="J14" s="198"/>
    </row>
    <row r="15" spans="1:11">
      <c r="A15" s="215">
        <v>14</v>
      </c>
      <c r="B15" s="214">
        <v>72</v>
      </c>
      <c r="C15" s="212">
        <f>$K$1*(B15/F11)+(1-$K$1)*(C14+D14)</f>
        <v>169.25403437731484</v>
      </c>
      <c r="D15" s="213">
        <f t="shared" si="0"/>
        <v>5.9536880726474841</v>
      </c>
      <c r="E15" s="212">
        <f>$K$3*(B15/C15)+(1-$K$3)*F11</f>
        <v>0.39462645980337396</v>
      </c>
      <c r="F15" s="212"/>
      <c r="G15" s="212">
        <f>(C14+(1*D14))*F11</f>
        <v>63.733524434537003</v>
      </c>
      <c r="H15" s="212">
        <f t="shared" si="1"/>
        <v>8.2664755654629971</v>
      </c>
      <c r="I15" s="203"/>
      <c r="J15" s="198"/>
    </row>
    <row r="16" spans="1:11">
      <c r="A16" s="215">
        <v>15</v>
      </c>
      <c r="B16" s="214">
        <v>230</v>
      </c>
      <c r="C16" s="212">
        <f>$K$1*(B16/F12)+(1-$K$1)*(C15+D15)</f>
        <v>175.60083232478783</v>
      </c>
      <c r="D16" s="213">
        <f t="shared" si="0"/>
        <v>6.0323100476125857</v>
      </c>
      <c r="E16" s="212">
        <f>$K$3*(B16/C16)+(1-$K$3)*F12</f>
        <v>1.2916809650287797</v>
      </c>
      <c r="F16" s="212"/>
      <c r="G16" s="212">
        <f>(C15+(1*D15))*F12</f>
        <v>224.95278183672843</v>
      </c>
      <c r="H16" s="212">
        <f t="shared" si="1"/>
        <v>5.047218163271566</v>
      </c>
      <c r="I16" s="203"/>
      <c r="J16" s="198"/>
    </row>
    <row r="17" spans="1:11">
      <c r="A17" s="215">
        <v>16</v>
      </c>
      <c r="B17" s="214">
        <v>83</v>
      </c>
      <c r="C17" s="212">
        <f>$K$1*(B17/F13)+(1-$K$1)*(C16+D16)</f>
        <v>181.40491397991883</v>
      </c>
      <c r="D17" s="213">
        <f t="shared" si="0"/>
        <v>5.9866643691162684</v>
      </c>
      <c r="E17" s="212">
        <f>$K$3*(B17/C17)+(1-$K$3)*F13</f>
        <v>0.46120803078534367</v>
      </c>
      <c r="F17" s="212"/>
      <c r="G17" s="212">
        <f>(C16+(1*D16))*F13</f>
        <v>84.056195478512748</v>
      </c>
      <c r="H17" s="212">
        <f t="shared" si="1"/>
        <v>1.0561954785127483</v>
      </c>
      <c r="I17" s="203"/>
      <c r="J17" s="203"/>
    </row>
    <row r="18" spans="1:11">
      <c r="A18" s="211">
        <v>17</v>
      </c>
      <c r="B18" s="210">
        <v>360</v>
      </c>
      <c r="C18" s="208">
        <f>$K$1*(B18/E14)+(1-$K$1)*(C17+D17)</f>
        <v>187.02027903308613</v>
      </c>
      <c r="D18" s="209">
        <f t="shared" si="0"/>
        <v>5.9124045059264745</v>
      </c>
      <c r="E18" s="208">
        <f>$K$3*(B18/C18)+(1-$K$3)*E14</f>
        <v>1.9494392701298033</v>
      </c>
      <c r="F18" s="208"/>
      <c r="G18" s="208">
        <f>(C17+(1*D17))*E14</f>
        <v>367.27726390116129</v>
      </c>
      <c r="H18" s="208">
        <f t="shared" si="1"/>
        <v>7.277263901161291</v>
      </c>
      <c r="I18" s="203"/>
      <c r="J18" s="203"/>
    </row>
    <row r="19" spans="1:11">
      <c r="A19" s="211">
        <v>18</v>
      </c>
      <c r="B19" s="210">
        <v>77</v>
      </c>
      <c r="C19" s="208">
        <f>$K$1*(B19/E15)+(1-$K$1)*(C18+D18)</f>
        <v>193.15153812749233</v>
      </c>
      <c r="D19" s="209">
        <f t="shared" si="0"/>
        <v>5.9561754236224207</v>
      </c>
      <c r="E19" s="208">
        <f>$K$3*(B19/C19)+(1-$K$3)*E15</f>
        <v>0.39583373826054818</v>
      </c>
      <c r="F19" s="208"/>
      <c r="G19" s="208">
        <f>(C18+(1*D18))*E15</f>
        <v>76.136341885365226</v>
      </c>
      <c r="H19" s="208">
        <f t="shared" si="1"/>
        <v>0.86365811463477371</v>
      </c>
      <c r="I19" s="203"/>
      <c r="J19" s="203"/>
    </row>
    <row r="20" spans="1:11">
      <c r="A20" s="211">
        <v>19</v>
      </c>
      <c r="B20" s="210">
        <v>260</v>
      </c>
      <c r="C20" s="208">
        <f>$K$1*(B20/E16)+(1-$K$1)*(C19+D19)</f>
        <v>199.32575163419199</v>
      </c>
      <c r="D20" s="209">
        <f t="shared" si="0"/>
        <v>5.999783040237868</v>
      </c>
      <c r="E20" s="208">
        <f>$K$3*(B20/C20)+(1-$K$3)*E16</f>
        <v>1.2954959072827716</v>
      </c>
      <c r="F20" s="208"/>
      <c r="G20" s="208">
        <f>(C19+(1*D19))*E16</f>
        <v>257.18364358437776</v>
      </c>
      <c r="H20" s="208">
        <f t="shared" si="1"/>
        <v>2.8163564156222378</v>
      </c>
      <c r="I20" s="203"/>
      <c r="J20" s="203"/>
    </row>
    <row r="21" spans="1:11">
      <c r="A21" s="211">
        <v>20</v>
      </c>
      <c r="B21" s="210">
        <v>94</v>
      </c>
      <c r="C21" s="208">
        <f>$K$1*(B21/E17)+(1-$K$1)*(C20+D20)</f>
        <v>205.17423949512576</v>
      </c>
      <c r="D21" s="209">
        <f t="shared" si="0"/>
        <v>5.9695240043770497</v>
      </c>
      <c r="E21" s="208">
        <f>$K$3*(B21/C21)+(1-$K$3)*E17</f>
        <v>0.46028977667073434</v>
      </c>
      <c r="F21" s="208"/>
      <c r="G21" s="208">
        <f>(C20+(1*D20))*E17</f>
        <v>94.697785517141597</v>
      </c>
      <c r="H21" s="208">
        <f t="shared" si="1"/>
        <v>0.69778551714159676</v>
      </c>
      <c r="I21" s="261" t="s">
        <v>242</v>
      </c>
      <c r="J21" s="261"/>
      <c r="K21" s="262">
        <f>SUM(H12:H21)/10</f>
        <v>4.3548201997243954</v>
      </c>
    </row>
    <row r="22" spans="1:11">
      <c r="A22" s="202">
        <v>21</v>
      </c>
      <c r="B22" s="205"/>
      <c r="C22" s="205"/>
      <c r="D22" s="205"/>
      <c r="E22" s="207">
        <f>F10</f>
        <v>1.951090298472163</v>
      </c>
      <c r="F22" s="206"/>
      <c r="G22" s="201">
        <f>(C21+(1*D21))*E18</f>
        <v>411.61194420893059</v>
      </c>
      <c r="H22" s="205"/>
      <c r="I22" s="261"/>
      <c r="J22" s="261"/>
      <c r="K22" s="262"/>
    </row>
    <row r="23" spans="1:11">
      <c r="A23" s="202">
        <v>22</v>
      </c>
      <c r="B23" s="205"/>
      <c r="C23" s="205"/>
      <c r="D23" s="205"/>
      <c r="E23" s="205"/>
      <c r="F23" s="205"/>
      <c r="G23" s="201">
        <f>($C$21+(2*$D$21))*E19</f>
        <v>85.940764218697922</v>
      </c>
      <c r="H23" s="204"/>
      <c r="I23" s="261"/>
      <c r="J23" s="261"/>
      <c r="K23" s="262"/>
    </row>
    <row r="24" spans="1:11">
      <c r="A24" s="202">
        <v>23</v>
      </c>
      <c r="B24" s="200"/>
      <c r="C24" s="200"/>
      <c r="D24" s="200"/>
      <c r="E24" s="200"/>
      <c r="F24" s="200"/>
      <c r="G24" s="201">
        <f>($C$21+(3*$D$21))*E20</f>
        <v>289.00286929408082</v>
      </c>
      <c r="H24" s="200"/>
      <c r="I24" s="203"/>
      <c r="J24" s="198"/>
    </row>
    <row r="25" spans="1:11">
      <c r="A25" s="202">
        <v>24</v>
      </c>
      <c r="B25" s="200"/>
      <c r="C25" s="200"/>
      <c r="D25" s="200"/>
      <c r="E25" s="200"/>
      <c r="F25" s="200"/>
      <c r="G25" s="201">
        <f>($C$21+(4*$D$21))*E21</f>
        <v>105.4304483590204</v>
      </c>
      <c r="H25" s="200"/>
      <c r="I25" s="198"/>
      <c r="J25" s="198"/>
    </row>
    <row r="26" spans="1:11">
      <c r="A26" s="202">
        <v>25</v>
      </c>
      <c r="B26" s="200"/>
      <c r="C26" s="200"/>
      <c r="D26" s="200"/>
      <c r="E26" s="200"/>
      <c r="F26" s="200"/>
      <c r="G26" s="201">
        <f>($C$21+(5*$D$21))*E22</f>
        <v>458.54887003252782</v>
      </c>
      <c r="H26" s="200"/>
      <c r="I26" s="198"/>
      <c r="J26" s="198"/>
    </row>
    <row r="32" spans="1:11">
      <c r="A32" s="199"/>
      <c r="B32" s="199"/>
      <c r="C32" s="199"/>
      <c r="D32" s="199"/>
    </row>
    <row r="33" spans="2:3">
      <c r="C33" s="198"/>
    </row>
    <row r="34" spans="2:3">
      <c r="B34" s="197"/>
    </row>
    <row r="35" spans="2:3">
      <c r="B35" s="197"/>
    </row>
  </sheetData>
  <mergeCells count="2">
    <mergeCell ref="I21:J23"/>
    <mergeCell ref="K21:K23"/>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election activeCell="H24" sqref="H24"/>
    </sheetView>
  </sheetViews>
  <sheetFormatPr baseColWidth="10" defaultColWidth="8.83203125" defaultRowHeight="14" x14ac:dyDescent="0"/>
  <cols>
    <col min="1" max="1" width="19.1640625" style="131" bestFit="1" customWidth="1"/>
    <col min="2" max="7" width="8.83203125" style="131"/>
    <col min="8" max="8" width="12.5" style="131" bestFit="1" customWidth="1"/>
    <col min="9" max="9" width="11" style="131" bestFit="1" customWidth="1"/>
    <col min="10" max="10" width="8.83203125" style="131"/>
    <col min="11" max="11" width="19.1640625" style="131" bestFit="1" customWidth="1"/>
    <col min="12" max="17" width="8.83203125" style="131"/>
    <col min="18" max="18" width="14" style="131" bestFit="1" customWidth="1"/>
    <col min="19" max="16384" width="8.83203125" style="131"/>
  </cols>
  <sheetData>
    <row r="1" spans="1:18" ht="18">
      <c r="A1" s="263" t="s">
        <v>238</v>
      </c>
      <c r="B1" s="264"/>
      <c r="C1" s="264"/>
      <c r="D1" s="264"/>
      <c r="E1" s="264"/>
      <c r="F1" s="264"/>
      <c r="G1" s="264"/>
      <c r="H1" s="264"/>
      <c r="K1" s="263" t="s">
        <v>229</v>
      </c>
      <c r="L1" s="264"/>
      <c r="M1" s="264"/>
      <c r="N1" s="264"/>
      <c r="O1" s="264"/>
      <c r="P1" s="264"/>
      <c r="Q1" s="264"/>
      <c r="R1" s="264"/>
    </row>
    <row r="2" spans="1:18">
      <c r="A2" s="222" t="s">
        <v>108</v>
      </c>
      <c r="B2" s="222">
        <v>21</v>
      </c>
      <c r="C2" s="222">
        <v>22</v>
      </c>
      <c r="D2" s="222">
        <v>23</v>
      </c>
      <c r="E2" s="222">
        <v>24</v>
      </c>
      <c r="F2" s="222">
        <v>25</v>
      </c>
      <c r="G2" s="222" t="s">
        <v>19</v>
      </c>
      <c r="H2" s="222" t="s">
        <v>32</v>
      </c>
      <c r="K2" s="221" t="s">
        <v>108</v>
      </c>
      <c r="L2" s="227">
        <v>21</v>
      </c>
      <c r="M2" s="227">
        <v>22</v>
      </c>
      <c r="N2" s="227">
        <v>23</v>
      </c>
      <c r="O2" s="227">
        <v>24</v>
      </c>
      <c r="P2" s="227">
        <v>25</v>
      </c>
      <c r="Q2" s="227" t="s">
        <v>19</v>
      </c>
      <c r="R2" s="227" t="s">
        <v>32</v>
      </c>
    </row>
    <row r="3" spans="1:18">
      <c r="A3" s="222" t="s">
        <v>34</v>
      </c>
      <c r="B3" s="222">
        <v>0</v>
      </c>
      <c r="C3" s="222"/>
      <c r="D3" s="222">
        <f>C14</f>
        <v>44</v>
      </c>
      <c r="E3" s="222">
        <f>D14</f>
        <v>26</v>
      </c>
      <c r="F3" s="222">
        <f>E14</f>
        <v>192</v>
      </c>
      <c r="G3" s="222"/>
      <c r="H3" s="222" t="s">
        <v>140</v>
      </c>
      <c r="K3" s="221" t="s">
        <v>34</v>
      </c>
      <c r="L3" s="221">
        <v>0</v>
      </c>
      <c r="M3" s="221"/>
      <c r="N3" s="221"/>
      <c r="O3" s="221"/>
      <c r="P3" s="221"/>
      <c r="Q3" s="221"/>
      <c r="R3" s="221" t="s">
        <v>140</v>
      </c>
    </row>
    <row r="4" spans="1:18" ht="15">
      <c r="A4" s="222" t="s">
        <v>226</v>
      </c>
      <c r="B4" s="222">
        <f>ROUNDUP(AVERAGE(B5:F5),0)</f>
        <v>271</v>
      </c>
      <c r="C4" s="222">
        <f>B4</f>
        <v>271</v>
      </c>
      <c r="D4" s="222">
        <f>B4</f>
        <v>271</v>
      </c>
      <c r="E4" s="222">
        <f>B4</f>
        <v>271</v>
      </c>
      <c r="F4" s="222">
        <f>B4</f>
        <v>271</v>
      </c>
      <c r="G4" s="222">
        <f>SUM(B4:F4)</f>
        <v>1355</v>
      </c>
      <c r="H4" s="226">
        <f>G4*47</f>
        <v>63685</v>
      </c>
      <c r="K4" s="221" t="s">
        <v>226</v>
      </c>
      <c r="L4" s="221">
        <v>412</v>
      </c>
      <c r="M4" s="221">
        <v>86</v>
      </c>
      <c r="N4" s="221">
        <v>289</v>
      </c>
      <c r="O4" s="221">
        <v>105</v>
      </c>
      <c r="P4" s="221">
        <v>459</v>
      </c>
      <c r="Q4" s="221">
        <f>SUM(L4:P4)</f>
        <v>1351</v>
      </c>
      <c r="R4" s="224">
        <f>Q4*47</f>
        <v>63497</v>
      </c>
    </row>
    <row r="5" spans="1:18">
      <c r="A5" s="222" t="s">
        <v>12</v>
      </c>
      <c r="B5" s="222">
        <v>412</v>
      </c>
      <c r="C5" s="222">
        <v>86</v>
      </c>
      <c r="D5" s="222">
        <v>289</v>
      </c>
      <c r="E5" s="222">
        <v>105</v>
      </c>
      <c r="F5" s="222">
        <v>459</v>
      </c>
      <c r="G5" s="222">
        <f>SUM(B5:F5)</f>
        <v>1351</v>
      </c>
      <c r="H5" s="222" t="s">
        <v>140</v>
      </c>
      <c r="K5" s="221" t="s">
        <v>12</v>
      </c>
      <c r="L5" s="221">
        <v>412</v>
      </c>
      <c r="M5" s="221">
        <v>86</v>
      </c>
      <c r="N5" s="221">
        <v>289</v>
      </c>
      <c r="O5" s="221">
        <v>105</v>
      </c>
      <c r="P5" s="221">
        <v>459</v>
      </c>
      <c r="Q5" s="221">
        <f>SUM(L5:P5)</f>
        <v>1351</v>
      </c>
      <c r="R5" s="221" t="s">
        <v>140</v>
      </c>
    </row>
    <row r="6" spans="1:18">
      <c r="A6" s="222" t="s">
        <v>257</v>
      </c>
      <c r="B6" s="222">
        <f>B7*20</f>
        <v>280</v>
      </c>
      <c r="C6" s="222">
        <f>C7*20</f>
        <v>280</v>
      </c>
      <c r="D6" s="222">
        <f>D7*20</f>
        <v>280</v>
      </c>
      <c r="E6" s="222">
        <f>E7*20</f>
        <v>280</v>
      </c>
      <c r="F6" s="222">
        <f>F7*20</f>
        <v>280</v>
      </c>
      <c r="G6" s="222"/>
      <c r="H6" s="222" t="s">
        <v>140</v>
      </c>
      <c r="K6" s="221" t="s">
        <v>257</v>
      </c>
      <c r="L6" s="221">
        <v>420</v>
      </c>
      <c r="M6" s="221">
        <v>100</v>
      </c>
      <c r="N6" s="221">
        <v>300</v>
      </c>
      <c r="O6" s="221">
        <v>120</v>
      </c>
      <c r="P6" s="221">
        <v>460</v>
      </c>
      <c r="Q6" s="221"/>
      <c r="R6" s="221" t="s">
        <v>140</v>
      </c>
    </row>
    <row r="7" spans="1:18">
      <c r="A7" s="222" t="s">
        <v>256</v>
      </c>
      <c r="B7" s="222">
        <v>14</v>
      </c>
      <c r="C7" s="222">
        <v>14</v>
      </c>
      <c r="D7" s="222">
        <v>14</v>
      </c>
      <c r="E7" s="222">
        <v>14</v>
      </c>
      <c r="F7" s="222">
        <v>14</v>
      </c>
      <c r="G7" s="222"/>
      <c r="H7" s="222" t="s">
        <v>140</v>
      </c>
      <c r="K7" s="221" t="s">
        <v>256</v>
      </c>
      <c r="L7" s="221">
        <v>21</v>
      </c>
      <c r="M7" s="221">
        <v>5</v>
      </c>
      <c r="N7" s="221">
        <v>15</v>
      </c>
      <c r="O7" s="221">
        <v>6</v>
      </c>
      <c r="P7" s="221">
        <v>23</v>
      </c>
      <c r="Q7" s="221"/>
      <c r="R7" s="221" t="s">
        <v>140</v>
      </c>
    </row>
    <row r="8" spans="1:18">
      <c r="A8" s="222" t="s">
        <v>255</v>
      </c>
      <c r="B8" s="222">
        <v>5</v>
      </c>
      <c r="C8" s="222">
        <v>14</v>
      </c>
      <c r="D8" s="222">
        <v>14</v>
      </c>
      <c r="E8" s="222">
        <v>14</v>
      </c>
      <c r="F8" s="222">
        <v>14</v>
      </c>
      <c r="G8" s="222">
        <f>SUM(B8:F8)</f>
        <v>61</v>
      </c>
      <c r="H8" s="222" t="s">
        <v>140</v>
      </c>
      <c r="K8" s="221" t="s">
        <v>255</v>
      </c>
      <c r="L8" s="221">
        <v>5</v>
      </c>
      <c r="M8" s="221">
        <v>21</v>
      </c>
      <c r="N8" s="221">
        <v>5</v>
      </c>
      <c r="O8" s="221">
        <v>15</v>
      </c>
      <c r="P8" s="221">
        <v>6</v>
      </c>
      <c r="Q8" s="221">
        <f>SUM(L8:P8)</f>
        <v>52</v>
      </c>
      <c r="R8" s="221" t="s">
        <v>140</v>
      </c>
    </row>
    <row r="9" spans="1:18" ht="15">
      <c r="A9" s="222" t="s">
        <v>254</v>
      </c>
      <c r="B9" s="222">
        <v>9</v>
      </c>
      <c r="C9" s="222">
        <v>0</v>
      </c>
      <c r="D9" s="222">
        <v>0</v>
      </c>
      <c r="E9" s="222">
        <v>0</v>
      </c>
      <c r="F9" s="222">
        <v>0</v>
      </c>
      <c r="G9" s="222">
        <f>SUM(B9:B9:F9)</f>
        <v>9</v>
      </c>
      <c r="H9" s="223">
        <f>G9*2000</f>
        <v>18000</v>
      </c>
      <c r="K9" s="221" t="s">
        <v>254</v>
      </c>
      <c r="L9" s="221">
        <v>16</v>
      </c>
      <c r="M9" s="221">
        <v>0</v>
      </c>
      <c r="N9" s="221">
        <v>10</v>
      </c>
      <c r="O9" s="221">
        <v>0</v>
      </c>
      <c r="P9" s="221">
        <v>17</v>
      </c>
      <c r="Q9" s="221">
        <f>SUM(L9:P9)</f>
        <v>43</v>
      </c>
      <c r="R9" s="224">
        <f>Q9*2000</f>
        <v>86000</v>
      </c>
    </row>
    <row r="10" spans="1:18" ht="15">
      <c r="A10" s="222" t="s">
        <v>16</v>
      </c>
      <c r="B10" s="222">
        <v>0</v>
      </c>
      <c r="C10" s="222">
        <v>0</v>
      </c>
      <c r="D10" s="222">
        <v>0</v>
      </c>
      <c r="E10" s="222">
        <v>0</v>
      </c>
      <c r="F10" s="222">
        <v>0</v>
      </c>
      <c r="G10" s="222"/>
      <c r="H10" s="222" t="s">
        <v>140</v>
      </c>
      <c r="K10" s="221" t="s">
        <v>16</v>
      </c>
      <c r="L10" s="221">
        <v>0</v>
      </c>
      <c r="M10" s="221">
        <v>16</v>
      </c>
      <c r="N10" s="221">
        <v>0</v>
      </c>
      <c r="O10" s="221">
        <v>9</v>
      </c>
      <c r="P10" s="221">
        <v>0</v>
      </c>
      <c r="Q10" s="221">
        <f>SUM(L10:P10)</f>
        <v>25</v>
      </c>
      <c r="R10" s="224">
        <f>Q10*1500</f>
        <v>37500</v>
      </c>
    </row>
    <row r="11" spans="1:18" ht="15">
      <c r="A11" s="222" t="s">
        <v>221</v>
      </c>
      <c r="B11" s="222">
        <f>B5-B4</f>
        <v>141</v>
      </c>
      <c r="C11" s="222">
        <v>0</v>
      </c>
      <c r="D11" s="222">
        <v>0</v>
      </c>
      <c r="E11" s="222">
        <v>0</v>
      </c>
      <c r="F11" s="222">
        <v>0</v>
      </c>
      <c r="G11" s="222">
        <f>SUM(B11:F11)</f>
        <v>141</v>
      </c>
      <c r="H11" s="225">
        <f>G11*18</f>
        <v>2538</v>
      </c>
      <c r="K11" s="221" t="s">
        <v>221</v>
      </c>
      <c r="L11" s="221"/>
      <c r="M11" s="221"/>
      <c r="N11" s="221"/>
      <c r="O11" s="221"/>
      <c r="P11" s="221"/>
      <c r="Q11" s="221"/>
      <c r="R11" s="221" t="s">
        <v>140</v>
      </c>
    </row>
    <row r="12" spans="1:18">
      <c r="A12" s="222" t="s">
        <v>37</v>
      </c>
      <c r="B12" s="222">
        <v>0</v>
      </c>
      <c r="C12" s="222">
        <v>0</v>
      </c>
      <c r="D12" s="222">
        <v>0</v>
      </c>
      <c r="E12" s="222">
        <v>0</v>
      </c>
      <c r="F12" s="222">
        <v>0</v>
      </c>
      <c r="G12" s="222"/>
      <c r="H12" s="222" t="s">
        <v>140</v>
      </c>
      <c r="K12" s="221" t="s">
        <v>37</v>
      </c>
      <c r="L12" s="221"/>
      <c r="M12" s="221"/>
      <c r="N12" s="221"/>
      <c r="O12" s="221"/>
      <c r="P12" s="221"/>
      <c r="Q12" s="221"/>
      <c r="R12" s="221" t="s">
        <v>140</v>
      </c>
    </row>
    <row r="13" spans="1:18" ht="15">
      <c r="A13" s="222" t="s">
        <v>18</v>
      </c>
      <c r="B13" s="222">
        <v>15</v>
      </c>
      <c r="C13" s="222">
        <v>15</v>
      </c>
      <c r="D13" s="222">
        <v>15</v>
      </c>
      <c r="E13" s="222">
        <v>15</v>
      </c>
      <c r="F13" s="222">
        <v>15</v>
      </c>
      <c r="G13" s="222">
        <f>SUM(B13:F13)</f>
        <v>75</v>
      </c>
      <c r="H13" s="223">
        <f>G13*30</f>
        <v>2250</v>
      </c>
      <c r="K13" s="221" t="s">
        <v>18</v>
      </c>
      <c r="L13" s="221">
        <v>15</v>
      </c>
      <c r="M13" s="221">
        <v>16</v>
      </c>
      <c r="N13" s="221">
        <v>13</v>
      </c>
      <c r="O13" s="221">
        <v>16</v>
      </c>
      <c r="P13" s="221">
        <v>15</v>
      </c>
      <c r="Q13" s="221">
        <f>SUM(L13:P13)</f>
        <v>75</v>
      </c>
      <c r="R13" s="224">
        <f>Q13*30</f>
        <v>2250</v>
      </c>
    </row>
    <row r="14" spans="1:18" ht="15">
      <c r="A14" s="222" t="s">
        <v>222</v>
      </c>
      <c r="B14" s="222">
        <v>0</v>
      </c>
      <c r="C14" s="222">
        <f>SUM(C4-(B11+C5))</f>
        <v>44</v>
      </c>
      <c r="D14" s="222">
        <f>((D3+D4)-D5)</f>
        <v>26</v>
      </c>
      <c r="E14" s="222">
        <f>E3+E4-E5</f>
        <v>192</v>
      </c>
      <c r="F14" s="222">
        <f>F3+F4-F5</f>
        <v>4</v>
      </c>
      <c r="G14" s="222">
        <f>SUM(B14:F14)</f>
        <v>266</v>
      </c>
      <c r="H14" s="223">
        <f>G14*13</f>
        <v>3458</v>
      </c>
      <c r="K14" s="221" t="s">
        <v>222</v>
      </c>
      <c r="L14" s="221"/>
      <c r="M14" s="221"/>
      <c r="N14" s="221"/>
      <c r="O14" s="221"/>
      <c r="P14" s="221"/>
      <c r="Q14" s="221"/>
      <c r="R14" s="221" t="s">
        <v>140</v>
      </c>
    </row>
    <row r="15" spans="1:18">
      <c r="A15" s="222" t="s">
        <v>36</v>
      </c>
      <c r="B15" s="222">
        <f>(B14+B3)/2</f>
        <v>0</v>
      </c>
      <c r="C15" s="222">
        <f>(C14+C3)/2</f>
        <v>22</v>
      </c>
      <c r="D15" s="222">
        <f>(D14+D3)/2</f>
        <v>35</v>
      </c>
      <c r="E15" s="222">
        <f>(E14+E3)/2</f>
        <v>109</v>
      </c>
      <c r="F15" s="222">
        <f>(F14+F3)/2</f>
        <v>98</v>
      </c>
      <c r="G15" s="222">
        <f>SUM(B15:F15)</f>
        <v>264</v>
      </c>
      <c r="H15" s="222" t="s">
        <v>140</v>
      </c>
      <c r="K15" s="221" t="s">
        <v>36</v>
      </c>
      <c r="L15" s="221"/>
      <c r="M15" s="221"/>
      <c r="N15" s="221"/>
      <c r="O15" s="221"/>
      <c r="P15" s="221"/>
      <c r="Q15" s="221"/>
      <c r="R15" s="221" t="s">
        <v>140</v>
      </c>
    </row>
    <row r="16" spans="1:18">
      <c r="A16" s="222"/>
      <c r="B16" s="222"/>
      <c r="C16" s="222"/>
      <c r="D16" s="222"/>
      <c r="E16" s="222"/>
      <c r="F16" s="222"/>
      <c r="G16" s="222"/>
      <c r="H16" s="222"/>
      <c r="K16" s="221"/>
      <c r="L16" s="221"/>
      <c r="M16" s="221"/>
      <c r="N16" s="221"/>
      <c r="O16" s="221"/>
      <c r="P16" s="221"/>
      <c r="Q16" s="221"/>
      <c r="R16" s="221"/>
    </row>
    <row r="17" spans="1:18" ht="15">
      <c r="A17" s="222"/>
      <c r="B17" s="222"/>
      <c r="C17" s="222"/>
      <c r="D17" s="222"/>
      <c r="E17" s="222"/>
      <c r="F17" s="265" t="s">
        <v>253</v>
      </c>
      <c r="G17" s="265"/>
      <c r="H17" s="244">
        <f>SUM(H4+H9+H11+H13+H14)</f>
        <v>89931</v>
      </c>
      <c r="I17" s="110" t="s">
        <v>133</v>
      </c>
      <c r="K17" s="221"/>
      <c r="L17" s="221"/>
      <c r="M17" s="221"/>
      <c r="N17" s="221"/>
      <c r="O17" s="221"/>
      <c r="P17" s="266" t="s">
        <v>253</v>
      </c>
      <c r="Q17" s="266"/>
      <c r="R17" s="220">
        <f>SUM(R4+R9+R10+R13)</f>
        <v>189247</v>
      </c>
    </row>
  </sheetData>
  <mergeCells count="4">
    <mergeCell ref="A1:H1"/>
    <mergeCell ref="F17:G17"/>
    <mergeCell ref="K1:R1"/>
    <mergeCell ref="P17:Q1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workbookViewId="0">
      <selection activeCell="H25" sqref="H25"/>
    </sheetView>
  </sheetViews>
  <sheetFormatPr baseColWidth="10" defaultColWidth="8.83203125" defaultRowHeight="14" x14ac:dyDescent="0"/>
  <cols>
    <col min="1" max="6" width="8.83203125" style="131"/>
    <col min="7" max="7" width="18.1640625" style="131" customWidth="1"/>
    <col min="8" max="8" width="13.83203125" style="131" customWidth="1"/>
    <col min="9" max="9" width="15.83203125" style="131" customWidth="1"/>
    <col min="10" max="11" width="8.83203125" style="131"/>
    <col min="12" max="12" width="16" style="131" customWidth="1"/>
    <col min="13" max="13" width="13.5" style="131" customWidth="1"/>
    <col min="14" max="14" width="16.5" style="131" customWidth="1"/>
    <col min="15" max="15" width="13.6640625" style="131" customWidth="1"/>
    <col min="16" max="16384" width="8.83203125" style="131"/>
  </cols>
  <sheetData>
    <row r="1" spans="1:12">
      <c r="A1" s="210">
        <v>157</v>
      </c>
      <c r="B1" s="210">
        <v>47</v>
      </c>
      <c r="C1" s="210">
        <v>227</v>
      </c>
    </row>
    <row r="2" spans="1:12">
      <c r="A2" s="210">
        <v>57</v>
      </c>
      <c r="B2" s="210">
        <v>157</v>
      </c>
      <c r="C2" s="210">
        <v>47</v>
      </c>
      <c r="G2" s="131" t="s">
        <v>195</v>
      </c>
    </row>
    <row r="3" spans="1:12" ht="15" thickBot="1">
      <c r="A3" s="214">
        <v>261</v>
      </c>
      <c r="B3" s="210">
        <v>57</v>
      </c>
      <c r="C3" s="210">
        <v>157</v>
      </c>
    </row>
    <row r="4" spans="1:12">
      <c r="A4" s="214">
        <v>51</v>
      </c>
      <c r="B4" s="214">
        <v>261</v>
      </c>
      <c r="C4" s="210">
        <v>57</v>
      </c>
      <c r="G4" s="149" t="s">
        <v>194</v>
      </c>
      <c r="H4" s="149"/>
    </row>
    <row r="5" spans="1:12">
      <c r="A5" s="214">
        <v>181</v>
      </c>
      <c r="B5" s="214">
        <v>51</v>
      </c>
      <c r="C5" s="214">
        <v>261</v>
      </c>
      <c r="G5" s="147" t="s">
        <v>193</v>
      </c>
      <c r="H5" s="147">
        <v>0.79729036526382557</v>
      </c>
    </row>
    <row r="6" spans="1:12">
      <c r="A6" s="214">
        <v>61</v>
      </c>
      <c r="B6" s="214">
        <v>181</v>
      </c>
      <c r="C6" s="214">
        <v>51</v>
      </c>
      <c r="G6" s="147" t="s">
        <v>192</v>
      </c>
      <c r="H6" s="147">
        <v>0.63567192654252447</v>
      </c>
    </row>
    <row r="7" spans="1:12">
      <c r="A7" s="210">
        <v>305</v>
      </c>
      <c r="B7" s="214">
        <v>61</v>
      </c>
      <c r="C7" s="214">
        <v>181</v>
      </c>
      <c r="G7" s="147" t="s">
        <v>191</v>
      </c>
      <c r="H7" s="147">
        <v>0.58709485008152773</v>
      </c>
    </row>
    <row r="8" spans="1:12">
      <c r="A8" s="210">
        <v>59</v>
      </c>
      <c r="B8" s="210">
        <v>305</v>
      </c>
      <c r="C8" s="214">
        <v>61</v>
      </c>
      <c r="G8" s="147" t="s">
        <v>177</v>
      </c>
      <c r="H8" s="147">
        <v>67.456199815281522</v>
      </c>
    </row>
    <row r="9" spans="1:12" ht="15" thickBot="1">
      <c r="A9" s="210">
        <v>195</v>
      </c>
      <c r="B9" s="210">
        <v>59</v>
      </c>
      <c r="C9" s="210">
        <v>305</v>
      </c>
      <c r="G9" s="146" t="s">
        <v>40</v>
      </c>
      <c r="H9" s="146">
        <v>18</v>
      </c>
    </row>
    <row r="10" spans="1:12">
      <c r="A10" s="210">
        <v>79</v>
      </c>
      <c r="B10" s="210">
        <v>195</v>
      </c>
      <c r="C10" s="210">
        <v>59</v>
      </c>
    </row>
    <row r="11" spans="1:12" ht="15" thickBot="1">
      <c r="A11" s="214">
        <v>320</v>
      </c>
      <c r="B11" s="210">
        <v>79</v>
      </c>
      <c r="C11" s="210">
        <v>195</v>
      </c>
      <c r="G11" s="131" t="s">
        <v>188</v>
      </c>
    </row>
    <row r="12" spans="1:12">
      <c r="A12" s="214">
        <v>72</v>
      </c>
      <c r="B12" s="214">
        <v>320</v>
      </c>
      <c r="C12" s="210">
        <v>79</v>
      </c>
      <c r="G12" s="148"/>
      <c r="H12" s="148" t="s">
        <v>186</v>
      </c>
      <c r="I12" s="148" t="s">
        <v>185</v>
      </c>
      <c r="J12" s="148" t="s">
        <v>184</v>
      </c>
      <c r="K12" s="148" t="s">
        <v>56</v>
      </c>
      <c r="L12" s="148" t="s">
        <v>183</v>
      </c>
    </row>
    <row r="13" spans="1:12">
      <c r="A13" s="214">
        <v>230</v>
      </c>
      <c r="B13" s="214">
        <v>72</v>
      </c>
      <c r="C13" s="214">
        <v>320</v>
      </c>
      <c r="G13" s="147" t="s">
        <v>182</v>
      </c>
      <c r="H13" s="147">
        <v>2</v>
      </c>
      <c r="I13" s="147">
        <v>119090.02770832329</v>
      </c>
      <c r="J13" s="147">
        <v>59545.013854161647</v>
      </c>
      <c r="K13" s="147">
        <v>13.085841570826414</v>
      </c>
      <c r="L13" s="147">
        <v>5.142742501276585E-4</v>
      </c>
    </row>
    <row r="14" spans="1:12">
      <c r="A14" s="214">
        <v>83</v>
      </c>
      <c r="B14" s="214">
        <v>230</v>
      </c>
      <c r="C14" s="214">
        <v>72</v>
      </c>
      <c r="G14" s="147" t="s">
        <v>179</v>
      </c>
      <c r="H14" s="147">
        <v>15</v>
      </c>
      <c r="I14" s="147">
        <v>68255.083402787801</v>
      </c>
      <c r="J14" s="147">
        <v>4550.338893519187</v>
      </c>
      <c r="K14" s="147"/>
      <c r="L14" s="147"/>
    </row>
    <row r="15" spans="1:12" ht="15" thickBot="1">
      <c r="A15" s="210">
        <v>360</v>
      </c>
      <c r="B15" s="214">
        <v>83</v>
      </c>
      <c r="C15" s="214">
        <v>230</v>
      </c>
      <c r="G15" s="146" t="s">
        <v>19</v>
      </c>
      <c r="H15" s="146">
        <v>17</v>
      </c>
      <c r="I15" s="146">
        <v>187345.11111111109</v>
      </c>
      <c r="J15" s="146"/>
      <c r="K15" s="146"/>
      <c r="L15" s="146"/>
    </row>
    <row r="16" spans="1:12" ht="15" thickBot="1">
      <c r="A16" s="210">
        <v>77</v>
      </c>
      <c r="B16" s="210">
        <v>360</v>
      </c>
      <c r="C16" s="214">
        <v>83</v>
      </c>
    </row>
    <row r="17" spans="1:15">
      <c r="A17" s="210">
        <v>260</v>
      </c>
      <c r="B17" s="210">
        <v>77</v>
      </c>
      <c r="C17" s="210">
        <v>360</v>
      </c>
      <c r="G17" s="148"/>
      <c r="H17" s="148" t="s">
        <v>178</v>
      </c>
      <c r="I17" s="148" t="s">
        <v>177</v>
      </c>
      <c r="J17" s="148" t="s">
        <v>176</v>
      </c>
      <c r="K17" s="148" t="s">
        <v>175</v>
      </c>
      <c r="L17" s="148" t="s">
        <v>174</v>
      </c>
      <c r="M17" s="148" t="s">
        <v>173</v>
      </c>
      <c r="N17" s="148" t="s">
        <v>172</v>
      </c>
      <c r="O17" s="148" t="s">
        <v>171</v>
      </c>
    </row>
    <row r="18" spans="1:15">
      <c r="A18" s="210">
        <v>94</v>
      </c>
      <c r="B18" s="210">
        <v>260</v>
      </c>
      <c r="C18" s="210">
        <v>77</v>
      </c>
      <c r="G18" s="147" t="s">
        <v>69</v>
      </c>
      <c r="H18" s="147">
        <v>180.47897358862525</v>
      </c>
      <c r="I18" s="147">
        <v>72.028350740832138</v>
      </c>
      <c r="J18" s="147">
        <v>2.5056657792709052</v>
      </c>
      <c r="K18" s="147">
        <v>2.423321265103141E-2</v>
      </c>
      <c r="L18" s="147">
        <v>26.954178134658576</v>
      </c>
      <c r="M18" s="147">
        <v>334.0037690425919</v>
      </c>
      <c r="N18" s="147">
        <v>26.954178134658576</v>
      </c>
      <c r="O18" s="147">
        <v>334.0037690425919</v>
      </c>
    </row>
    <row r="19" spans="1:15">
      <c r="G19" s="147" t="s">
        <v>170</v>
      </c>
      <c r="H19" s="147">
        <v>-0.47609929820918556</v>
      </c>
      <c r="I19" s="147">
        <v>0.23556232269350905</v>
      </c>
      <c r="J19" s="147">
        <v>-2.0211182024582088</v>
      </c>
      <c r="K19" s="147">
        <v>6.1488323037121741E-2</v>
      </c>
      <c r="L19" s="147">
        <v>-0.97818850386527023</v>
      </c>
      <c r="M19" s="147">
        <v>2.5989907446899163E-2</v>
      </c>
      <c r="N19" s="147">
        <v>-0.97818850386527023</v>
      </c>
      <c r="O19" s="147">
        <v>2.5989907446899163E-2</v>
      </c>
    </row>
    <row r="20" spans="1:15" ht="15" thickBot="1">
      <c r="G20" s="146" t="s">
        <v>168</v>
      </c>
      <c r="H20" s="146">
        <v>0.35883840247766485</v>
      </c>
      <c r="I20" s="146">
        <v>0.23904556253359879</v>
      </c>
      <c r="J20" s="146">
        <v>1.5011297372534522</v>
      </c>
      <c r="K20" s="146">
        <v>0.15407708572624079</v>
      </c>
      <c r="L20" s="146">
        <v>-0.15067515315265489</v>
      </c>
      <c r="M20" s="146">
        <v>0.8683519581079846</v>
      </c>
      <c r="N20" s="146">
        <v>-0.15067515315265489</v>
      </c>
      <c r="O20" s="146">
        <v>0.8683519581079846</v>
      </c>
    </row>
    <row r="23" spans="1:15">
      <c r="G23" s="131" t="s">
        <v>72</v>
      </c>
      <c r="H23" s="147">
        <v>180.478973588625</v>
      </c>
    </row>
    <row r="24" spans="1:15">
      <c r="G24" s="131" t="s">
        <v>73</v>
      </c>
      <c r="H24" s="147">
        <v>-0.47609929820918556</v>
      </c>
    </row>
    <row r="25" spans="1:15" ht="15" thickBot="1">
      <c r="G25" s="131" t="s">
        <v>74</v>
      </c>
      <c r="H25" s="146">
        <v>0.35883840247766485</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9"/>
  <sheetViews>
    <sheetView topLeftCell="A17" workbookViewId="0">
      <selection activeCell="I28" sqref="I28"/>
    </sheetView>
  </sheetViews>
  <sheetFormatPr baseColWidth="10" defaultRowHeight="15" x14ac:dyDescent="0"/>
  <cols>
    <col min="2" max="2" width="19.83203125" bestFit="1" customWidth="1"/>
    <col min="3" max="3" width="10.83203125" customWidth="1"/>
  </cols>
  <sheetData>
    <row r="2" spans="2:15">
      <c r="J2" s="6" t="s">
        <v>119</v>
      </c>
      <c r="K2" s="7"/>
    </row>
    <row r="3" spans="2:15">
      <c r="B3" s="59" t="s">
        <v>106</v>
      </c>
      <c r="C3" s="59"/>
      <c r="D3" s="59"/>
      <c r="E3" s="60"/>
      <c r="F3" s="60" t="s">
        <v>108</v>
      </c>
      <c r="G3" s="60"/>
      <c r="H3" s="61"/>
      <c r="J3" s="4" t="s">
        <v>115</v>
      </c>
      <c r="K3" s="49">
        <v>1</v>
      </c>
      <c r="L3" s="50">
        <v>2</v>
      </c>
      <c r="M3" s="51">
        <v>3</v>
      </c>
      <c r="N3" s="52">
        <v>4</v>
      </c>
    </row>
    <row r="4" spans="2:15">
      <c r="B4" s="4"/>
      <c r="C4" s="43">
        <v>20</v>
      </c>
      <c r="D4" s="43">
        <v>21</v>
      </c>
      <c r="E4" s="43">
        <v>22</v>
      </c>
      <c r="F4" s="43">
        <v>23</v>
      </c>
      <c r="G4" s="43">
        <v>24</v>
      </c>
      <c r="H4" s="43">
        <v>25</v>
      </c>
      <c r="J4" s="4" t="s">
        <v>0</v>
      </c>
      <c r="K4" s="49">
        <v>2</v>
      </c>
      <c r="L4" s="50">
        <v>1</v>
      </c>
      <c r="M4" s="51">
        <v>0</v>
      </c>
      <c r="N4" s="52">
        <v>0</v>
      </c>
    </row>
    <row r="5" spans="2:15">
      <c r="B5" s="4" t="s">
        <v>102</v>
      </c>
      <c r="C5" s="4"/>
      <c r="D5" s="4">
        <f>($K$4*K11)+($K$5*K12)+($K$6*K13)+($K$7*K14)</f>
        <v>2076</v>
      </c>
      <c r="E5" s="4">
        <f t="shared" ref="E5:H5" si="0">($K$4*L11)+($K$5*L12)+($K$6*L13)+($K$7*L14)</f>
        <v>2064</v>
      </c>
      <c r="F5" s="4">
        <f t="shared" si="0"/>
        <v>2088</v>
      </c>
      <c r="G5" s="4">
        <f t="shared" si="0"/>
        <v>2073</v>
      </c>
      <c r="H5" s="4">
        <f t="shared" si="0"/>
        <v>2100</v>
      </c>
      <c r="J5" s="4" t="s">
        <v>116</v>
      </c>
      <c r="K5" s="49">
        <v>0</v>
      </c>
      <c r="L5" s="50">
        <v>2</v>
      </c>
      <c r="M5" s="51">
        <v>2</v>
      </c>
      <c r="N5" s="52">
        <v>0</v>
      </c>
    </row>
    <row r="6" spans="2:15">
      <c r="B6" s="4" t="s">
        <v>103</v>
      </c>
      <c r="C6" s="4"/>
      <c r="D6" s="4">
        <v>0</v>
      </c>
      <c r="E6" s="4">
        <v>0</v>
      </c>
      <c r="F6" s="4">
        <v>0</v>
      </c>
      <c r="G6" s="4">
        <v>0</v>
      </c>
      <c r="H6" s="4">
        <v>0</v>
      </c>
      <c r="J6" s="4" t="s">
        <v>117</v>
      </c>
      <c r="K6" s="49">
        <v>3</v>
      </c>
      <c r="L6" s="50">
        <v>1</v>
      </c>
      <c r="M6" s="51">
        <v>0</v>
      </c>
      <c r="N6" s="52">
        <v>1</v>
      </c>
    </row>
    <row r="7" spans="2:15">
      <c r="B7" s="4" t="s">
        <v>107</v>
      </c>
      <c r="C7" s="4">
        <v>240</v>
      </c>
      <c r="D7" s="4">
        <f>C7+D8-D5</f>
        <v>10</v>
      </c>
      <c r="E7" s="4">
        <f>IF(D7+E8-E5&lt;0,0,D7+E8-E5)</f>
        <v>10</v>
      </c>
      <c r="F7" s="4">
        <f>IF(E7+F8-F5&lt;0,0,E7+F8-F5)</f>
        <v>10</v>
      </c>
      <c r="G7" s="4">
        <f>IF(F7+G8-G5&lt;0,0,F7+G8-G5)</f>
        <v>10</v>
      </c>
      <c r="H7" s="4">
        <f>IF(G7+H8-H5&lt;0,0,G7+H8-H5)</f>
        <v>10</v>
      </c>
      <c r="J7" s="4" t="s">
        <v>118</v>
      </c>
      <c r="K7" s="49">
        <v>4</v>
      </c>
      <c r="L7" s="50">
        <v>0</v>
      </c>
      <c r="M7" s="51">
        <v>0</v>
      </c>
      <c r="N7" s="52">
        <v>1</v>
      </c>
    </row>
    <row r="8" spans="2:15">
      <c r="B8" s="4" t="s">
        <v>104</v>
      </c>
      <c r="C8" s="4"/>
      <c r="D8" s="4">
        <f>D5-C7+$D$13</f>
        <v>1846</v>
      </c>
      <c r="E8" s="4">
        <f>E5</f>
        <v>2064</v>
      </c>
      <c r="F8" s="4">
        <f>F5</f>
        <v>2088</v>
      </c>
      <c r="G8" s="4">
        <f>G5</f>
        <v>2073</v>
      </c>
      <c r="H8" s="4">
        <f>H5</f>
        <v>2100</v>
      </c>
    </row>
    <row r="9" spans="2:15">
      <c r="B9" s="4" t="s">
        <v>87</v>
      </c>
      <c r="C9" s="4"/>
      <c r="D9" s="4">
        <f t="shared" ref="D9:H10" si="1">D8</f>
        <v>1846</v>
      </c>
      <c r="E9" s="4">
        <f t="shared" si="1"/>
        <v>2064</v>
      </c>
      <c r="F9" s="4">
        <f t="shared" si="1"/>
        <v>2088</v>
      </c>
      <c r="G9" s="4">
        <f t="shared" si="1"/>
        <v>2073</v>
      </c>
      <c r="H9" s="4">
        <f t="shared" si="1"/>
        <v>2100</v>
      </c>
    </row>
    <row r="10" spans="2:15">
      <c r="B10" s="4" t="s">
        <v>105</v>
      </c>
      <c r="C10" s="4"/>
      <c r="D10" s="245">
        <f t="shared" si="1"/>
        <v>1846</v>
      </c>
      <c r="E10" s="245">
        <f t="shared" si="1"/>
        <v>2064</v>
      </c>
      <c r="F10" s="245">
        <f t="shared" si="1"/>
        <v>2088</v>
      </c>
      <c r="G10" s="245">
        <f t="shared" si="1"/>
        <v>2073</v>
      </c>
      <c r="H10" s="245">
        <f t="shared" si="1"/>
        <v>2100</v>
      </c>
      <c r="J10" s="4" t="s">
        <v>120</v>
      </c>
      <c r="K10" s="4">
        <v>21</v>
      </c>
      <c r="L10" s="4">
        <v>22</v>
      </c>
      <c r="M10" s="4">
        <v>23</v>
      </c>
      <c r="N10" s="4">
        <v>24</v>
      </c>
      <c r="O10" s="4">
        <v>25</v>
      </c>
    </row>
    <row r="11" spans="2:15">
      <c r="B11" s="46" t="s">
        <v>259</v>
      </c>
      <c r="C11" s="246" t="s">
        <v>258</v>
      </c>
      <c r="D11" s="43" t="s">
        <v>121</v>
      </c>
      <c r="J11" s="4" t="s">
        <v>0</v>
      </c>
      <c r="K11" s="4">
        <v>208</v>
      </c>
      <c r="L11" s="4">
        <v>208</v>
      </c>
      <c r="M11" s="4">
        <v>208</v>
      </c>
      <c r="N11" s="4">
        <v>208</v>
      </c>
      <c r="O11" s="4">
        <v>208</v>
      </c>
    </row>
    <row r="12" spans="2:15">
      <c r="B12" s="46" t="s">
        <v>262</v>
      </c>
      <c r="C12" s="46" t="s">
        <v>258</v>
      </c>
      <c r="D12" s="4">
        <f>0</f>
        <v>0</v>
      </c>
      <c r="J12" s="4" t="s">
        <v>116</v>
      </c>
      <c r="K12" s="4">
        <v>51</v>
      </c>
      <c r="L12" s="4">
        <v>42</v>
      </c>
      <c r="M12" s="4">
        <v>42</v>
      </c>
      <c r="N12" s="4">
        <v>45</v>
      </c>
      <c r="O12" s="4">
        <v>45</v>
      </c>
    </row>
    <row r="13" spans="2:15">
      <c r="B13" s="46" t="s">
        <v>261</v>
      </c>
      <c r="C13" s="46" t="s">
        <v>258</v>
      </c>
      <c r="D13" s="4">
        <f>10</f>
        <v>10</v>
      </c>
      <c r="J13" s="4" t="s">
        <v>117</v>
      </c>
      <c r="K13" s="4">
        <v>192</v>
      </c>
      <c r="L13" s="4">
        <v>188</v>
      </c>
      <c r="M13" s="4">
        <v>196</v>
      </c>
      <c r="N13" s="4">
        <v>191</v>
      </c>
      <c r="O13" s="4">
        <v>200</v>
      </c>
    </row>
    <row r="14" spans="2:15">
      <c r="J14" s="4" t="s">
        <v>118</v>
      </c>
      <c r="K14" s="4">
        <v>271</v>
      </c>
      <c r="L14" s="4">
        <v>271</v>
      </c>
      <c r="M14" s="4">
        <v>271</v>
      </c>
      <c r="N14" s="4">
        <v>271</v>
      </c>
      <c r="O14" s="4">
        <v>271</v>
      </c>
    </row>
    <row r="15" spans="2:15">
      <c r="B15" s="56" t="s">
        <v>109</v>
      </c>
      <c r="C15" s="56"/>
      <c r="D15" s="56"/>
      <c r="E15" s="57"/>
      <c r="F15" s="57" t="s">
        <v>108</v>
      </c>
      <c r="G15" s="57"/>
      <c r="H15" s="58"/>
    </row>
    <row r="16" spans="2:15">
      <c r="B16" s="4"/>
      <c r="C16" s="43">
        <v>20</v>
      </c>
      <c r="D16" s="43">
        <v>21</v>
      </c>
      <c r="E16" s="43">
        <v>22</v>
      </c>
      <c r="F16" s="43">
        <v>23</v>
      </c>
      <c r="G16" s="43">
        <v>24</v>
      </c>
      <c r="H16" s="43">
        <v>25</v>
      </c>
    </row>
    <row r="17" spans="2:8">
      <c r="B17" s="4" t="s">
        <v>102</v>
      </c>
      <c r="C17" s="4"/>
      <c r="D17" s="4">
        <f>($L$4*K11)+($L$5*K12)+($L$6*K13)+($L$7*K14)</f>
        <v>502</v>
      </c>
      <c r="E17" s="4">
        <f>($L$4*L11)+($L$5*L12)+($L$6*L13)+($L$7*L14)</f>
        <v>480</v>
      </c>
      <c r="F17" s="4">
        <f t="shared" ref="F17:G17" si="2">($L$4*M11)+($L$5*M12)+($L$6*M13)+($L$7*M14)</f>
        <v>488</v>
      </c>
      <c r="G17" s="4">
        <f t="shared" si="2"/>
        <v>489</v>
      </c>
      <c r="H17" s="4">
        <f>($L$4*O11)+($L$5*O12)+($L$6*O13)+($L$7*O14)</f>
        <v>498</v>
      </c>
    </row>
    <row r="18" spans="2:8">
      <c r="B18" s="4" t="s">
        <v>103</v>
      </c>
      <c r="C18" s="4"/>
      <c r="D18" s="4">
        <v>0</v>
      </c>
      <c r="E18" s="4">
        <v>0</v>
      </c>
      <c r="F18" s="4">
        <v>0</v>
      </c>
      <c r="G18" s="4">
        <v>0</v>
      </c>
      <c r="H18" s="4">
        <v>0</v>
      </c>
    </row>
    <row r="19" spans="2:8">
      <c r="B19" s="4" t="s">
        <v>110</v>
      </c>
      <c r="C19" s="4">
        <v>310</v>
      </c>
      <c r="D19" s="4">
        <f>C19+D21-D17</f>
        <v>495</v>
      </c>
      <c r="E19" s="4">
        <f>D19-E17</f>
        <v>15</v>
      </c>
      <c r="F19" s="4">
        <f>E19+F21-F17</f>
        <v>504</v>
      </c>
      <c r="G19" s="4">
        <f>F19+G21-G17</f>
        <v>15</v>
      </c>
      <c r="H19" s="4">
        <f>H21-H20</f>
        <v>15</v>
      </c>
    </row>
    <row r="20" spans="2:8">
      <c r="B20" s="4" t="s">
        <v>104</v>
      </c>
      <c r="C20" s="4"/>
      <c r="D20" s="4">
        <f>D17-C19</f>
        <v>192</v>
      </c>
      <c r="E20" s="4">
        <f>E17</f>
        <v>480</v>
      </c>
      <c r="F20" s="4">
        <f>F17-E19</f>
        <v>473</v>
      </c>
      <c r="G20" s="4">
        <f>G17</f>
        <v>489</v>
      </c>
      <c r="H20" s="4">
        <f t="shared" ref="H20" si="3">H17</f>
        <v>498</v>
      </c>
    </row>
    <row r="21" spans="2:8">
      <c r="B21" s="4" t="s">
        <v>87</v>
      </c>
      <c r="C21" s="4"/>
      <c r="D21" s="4">
        <f>D20+E20+D25</f>
        <v>687</v>
      </c>
      <c r="E21" s="4">
        <v>0</v>
      </c>
      <c r="F21" s="4">
        <f>F20+G20+D25</f>
        <v>977</v>
      </c>
      <c r="G21" s="4">
        <v>0</v>
      </c>
      <c r="H21" s="4">
        <f>H20+D25</f>
        <v>513</v>
      </c>
    </row>
    <row r="22" spans="2:8">
      <c r="B22" s="4" t="s">
        <v>105</v>
      </c>
      <c r="C22" s="245">
        <f>D21</f>
        <v>687</v>
      </c>
      <c r="D22" s="245">
        <f>E21</f>
        <v>0</v>
      </c>
      <c r="E22" s="245">
        <f t="shared" ref="E22:H22" si="4">F21</f>
        <v>977</v>
      </c>
      <c r="F22" s="245">
        <f t="shared" si="4"/>
        <v>0</v>
      </c>
      <c r="G22" s="245">
        <f t="shared" si="4"/>
        <v>513</v>
      </c>
      <c r="H22" s="245">
        <f t="shared" si="4"/>
        <v>0</v>
      </c>
    </row>
    <row r="23" spans="2:8">
      <c r="B23" s="246" t="s">
        <v>259</v>
      </c>
      <c r="C23" s="246" t="s">
        <v>258</v>
      </c>
      <c r="D23" s="43" t="s">
        <v>122</v>
      </c>
      <c r="E23" s="247"/>
    </row>
    <row r="24" spans="2:8">
      <c r="B24" s="46" t="s">
        <v>260</v>
      </c>
      <c r="C24" s="46" t="s">
        <v>258</v>
      </c>
      <c r="D24" s="4">
        <f>1</f>
        <v>1</v>
      </c>
    </row>
    <row r="25" spans="2:8">
      <c r="B25" s="46" t="s">
        <v>261</v>
      </c>
      <c r="C25" s="46" t="s">
        <v>258</v>
      </c>
      <c r="D25" s="4">
        <f>15</f>
        <v>15</v>
      </c>
    </row>
    <row r="27" spans="2:8">
      <c r="B27" s="53" t="s">
        <v>111</v>
      </c>
      <c r="C27" s="53"/>
      <c r="D27" s="53"/>
      <c r="E27" s="54"/>
      <c r="F27" s="54" t="s">
        <v>108</v>
      </c>
      <c r="G27" s="54"/>
      <c r="H27" s="55"/>
    </row>
    <row r="28" spans="2:8">
      <c r="B28" s="44"/>
      <c r="C28" s="45">
        <v>20</v>
      </c>
      <c r="D28" s="45">
        <v>21</v>
      </c>
      <c r="E28" s="45">
        <v>22</v>
      </c>
      <c r="F28" s="45">
        <v>23</v>
      </c>
      <c r="G28" s="45">
        <v>24</v>
      </c>
      <c r="H28" s="45">
        <v>25</v>
      </c>
    </row>
    <row r="29" spans="2:8">
      <c r="B29" s="44" t="s">
        <v>102</v>
      </c>
      <c r="C29" s="45"/>
      <c r="D29" s="45">
        <f>($M$4*K11)+($M$5*K12)+($M$6*K13)+($M$7*K14)</f>
        <v>102</v>
      </c>
      <c r="E29" s="45">
        <f t="shared" ref="E29:H29" si="5">($M$4*L11)+($M$5*L12)+($M$6*L13)+($M$7*L14)</f>
        <v>84</v>
      </c>
      <c r="F29" s="45">
        <f t="shared" si="5"/>
        <v>84</v>
      </c>
      <c r="G29" s="45">
        <f t="shared" si="5"/>
        <v>90</v>
      </c>
      <c r="H29" s="45">
        <f t="shared" si="5"/>
        <v>90</v>
      </c>
    </row>
    <row r="30" spans="2:8">
      <c r="B30" s="44" t="s">
        <v>103</v>
      </c>
      <c r="C30" s="45"/>
      <c r="D30" s="45">
        <v>0</v>
      </c>
      <c r="E30" s="45">
        <v>0</v>
      </c>
      <c r="F30" s="45">
        <v>0</v>
      </c>
      <c r="G30" s="45">
        <v>0</v>
      </c>
      <c r="H30" s="45">
        <v>0</v>
      </c>
    </row>
    <row r="31" spans="2:8">
      <c r="B31" s="44" t="s">
        <v>113</v>
      </c>
      <c r="C31" s="45">
        <v>110</v>
      </c>
      <c r="D31" s="45">
        <f>C31-D29</f>
        <v>8</v>
      </c>
      <c r="E31" s="45">
        <f>D31+E33-E29</f>
        <v>424</v>
      </c>
      <c r="F31" s="45">
        <f>E31+F33-F29</f>
        <v>340</v>
      </c>
      <c r="G31" s="45">
        <f t="shared" ref="G31" si="6">F31+G33-G29</f>
        <v>250</v>
      </c>
      <c r="H31" s="45">
        <f>G32-H29</f>
        <v>0</v>
      </c>
    </row>
    <row r="32" spans="2:8">
      <c r="B32" s="44" t="s">
        <v>104</v>
      </c>
      <c r="C32" s="45"/>
      <c r="D32" s="45">
        <f>D29</f>
        <v>102</v>
      </c>
      <c r="E32" s="45">
        <f>E29-D31</f>
        <v>76</v>
      </c>
      <c r="F32" s="45">
        <f>F29</f>
        <v>84</v>
      </c>
      <c r="G32" s="45">
        <f>G29</f>
        <v>90</v>
      </c>
      <c r="H32" s="45">
        <f>H29</f>
        <v>90</v>
      </c>
    </row>
    <row r="33" spans="2:8">
      <c r="B33" s="44" t="s">
        <v>87</v>
      </c>
      <c r="C33" s="64"/>
      <c r="D33" s="64">
        <f>D29-D32</f>
        <v>0</v>
      </c>
      <c r="E33" s="64">
        <f>D35</f>
        <v>500</v>
      </c>
      <c r="F33" s="64">
        <f>F29-F32</f>
        <v>0</v>
      </c>
      <c r="G33" s="64">
        <f>G29-G32</f>
        <v>0</v>
      </c>
      <c r="H33" s="64">
        <f>H29-H32</f>
        <v>0</v>
      </c>
    </row>
    <row r="34" spans="2:8">
      <c r="B34" s="44" t="s">
        <v>105</v>
      </c>
      <c r="C34" s="64"/>
      <c r="D34" s="245">
        <f>D33</f>
        <v>0</v>
      </c>
      <c r="E34" s="245">
        <f t="shared" ref="E34:G34" si="7">E33</f>
        <v>500</v>
      </c>
      <c r="F34" s="245">
        <f t="shared" si="7"/>
        <v>0</v>
      </c>
      <c r="G34" s="245">
        <f t="shared" si="7"/>
        <v>0</v>
      </c>
      <c r="H34" s="245">
        <f>H33</f>
        <v>0</v>
      </c>
    </row>
    <row r="35" spans="2:8">
      <c r="B35" s="46" t="s">
        <v>259</v>
      </c>
      <c r="C35" s="246" t="s">
        <v>258</v>
      </c>
      <c r="D35" s="43">
        <f>500</f>
        <v>500</v>
      </c>
    </row>
    <row r="36" spans="2:8">
      <c r="B36" s="46" t="s">
        <v>260</v>
      </c>
      <c r="C36" s="46" t="s">
        <v>258</v>
      </c>
      <c r="D36" s="4">
        <f>0</f>
        <v>0</v>
      </c>
    </row>
    <row r="37" spans="2:8">
      <c r="B37" s="46" t="s">
        <v>261</v>
      </c>
      <c r="C37" s="46" t="s">
        <v>258</v>
      </c>
      <c r="D37" s="4">
        <f>0</f>
        <v>0</v>
      </c>
    </row>
    <row r="39" spans="2:8">
      <c r="B39" s="52" t="s">
        <v>112</v>
      </c>
      <c r="C39" s="52"/>
      <c r="D39" s="52"/>
      <c r="E39" s="52"/>
      <c r="F39" s="52" t="s">
        <v>108</v>
      </c>
      <c r="G39" s="52"/>
      <c r="H39" s="52"/>
    </row>
    <row r="40" spans="2:8">
      <c r="B40" s="44"/>
      <c r="C40" s="45">
        <v>20</v>
      </c>
      <c r="D40" s="45">
        <v>21</v>
      </c>
      <c r="E40" s="45">
        <v>22</v>
      </c>
      <c r="F40" s="45">
        <v>23</v>
      </c>
      <c r="G40" s="45">
        <v>24</v>
      </c>
      <c r="H40" s="45">
        <v>25</v>
      </c>
    </row>
    <row r="41" spans="2:8">
      <c r="B41" s="44" t="s">
        <v>102</v>
      </c>
      <c r="C41" s="64"/>
      <c r="D41" s="64">
        <f>($N$4*K11)+($N$5*K12)+($N$6*K13)+($N$7*K14)</f>
        <v>463</v>
      </c>
      <c r="E41" s="64">
        <f t="shared" ref="E41:H41" si="8">($N$4*L11)+($N$5*L12)+($N$6*L13)+($N$7*L14)</f>
        <v>459</v>
      </c>
      <c r="F41" s="64">
        <f t="shared" si="8"/>
        <v>467</v>
      </c>
      <c r="G41" s="64">
        <f t="shared" si="8"/>
        <v>462</v>
      </c>
      <c r="H41" s="64">
        <f t="shared" si="8"/>
        <v>471</v>
      </c>
    </row>
    <row r="42" spans="2:8">
      <c r="B42" s="44" t="s">
        <v>103</v>
      </c>
      <c r="C42" s="64"/>
      <c r="D42" s="64">
        <v>0</v>
      </c>
      <c r="E42" s="64">
        <v>0</v>
      </c>
      <c r="F42" s="64">
        <v>0</v>
      </c>
      <c r="G42" s="64">
        <v>0</v>
      </c>
      <c r="H42" s="64">
        <v>0</v>
      </c>
    </row>
    <row r="43" spans="2:8">
      <c r="B43" s="44" t="s">
        <v>114</v>
      </c>
      <c r="C43" s="64">
        <v>640</v>
      </c>
      <c r="D43" s="64">
        <f>C43-D41</f>
        <v>177</v>
      </c>
      <c r="E43" s="64">
        <f>D43+E45-E41</f>
        <v>378</v>
      </c>
      <c r="F43" s="64">
        <f t="shared" ref="F43:H43" si="9">E43+F45-F41</f>
        <v>571</v>
      </c>
      <c r="G43" s="64">
        <f t="shared" si="9"/>
        <v>109</v>
      </c>
      <c r="H43" s="64">
        <f t="shared" si="9"/>
        <v>298</v>
      </c>
    </row>
    <row r="44" spans="2:8">
      <c r="B44" s="44" t="s">
        <v>104</v>
      </c>
      <c r="C44" s="64"/>
      <c r="D44" s="64">
        <f>D41</f>
        <v>463</v>
      </c>
      <c r="E44" s="64">
        <f>E41-D43</f>
        <v>282</v>
      </c>
      <c r="F44" s="64">
        <f t="shared" ref="F44:H44" si="10">F41-E43</f>
        <v>89</v>
      </c>
      <c r="G44" s="64">
        <f>G41</f>
        <v>462</v>
      </c>
      <c r="H44" s="64">
        <f t="shared" si="10"/>
        <v>362</v>
      </c>
    </row>
    <row r="45" spans="2:8">
      <c r="B45" s="44" t="s">
        <v>87</v>
      </c>
      <c r="C45" s="64"/>
      <c r="D45" s="64">
        <v>0</v>
      </c>
      <c r="E45" s="64">
        <f>D47</f>
        <v>660</v>
      </c>
      <c r="F45" s="64">
        <f>D47</f>
        <v>660</v>
      </c>
      <c r="G45" s="64">
        <v>0</v>
      </c>
      <c r="H45" s="64">
        <f>D47</f>
        <v>660</v>
      </c>
    </row>
    <row r="46" spans="2:8">
      <c r="B46" s="44" t="s">
        <v>105</v>
      </c>
      <c r="C46" s="64"/>
      <c r="D46" s="245">
        <f>E45</f>
        <v>660</v>
      </c>
      <c r="E46" s="245">
        <f t="shared" ref="E46:H46" si="11">F45</f>
        <v>660</v>
      </c>
      <c r="F46" s="245">
        <f t="shared" si="11"/>
        <v>0</v>
      </c>
      <c r="G46" s="245">
        <f t="shared" si="11"/>
        <v>660</v>
      </c>
      <c r="H46" s="245">
        <f t="shared" si="11"/>
        <v>0</v>
      </c>
    </row>
    <row r="47" spans="2:8">
      <c r="B47" s="64" t="s">
        <v>259</v>
      </c>
      <c r="C47" s="44" t="s">
        <v>258</v>
      </c>
      <c r="D47" s="43">
        <f>660</f>
        <v>660</v>
      </c>
    </row>
    <row r="48" spans="2:8">
      <c r="B48" s="64" t="s">
        <v>260</v>
      </c>
      <c r="C48" s="64" t="s">
        <v>258</v>
      </c>
      <c r="D48" s="4">
        <f>1</f>
        <v>1</v>
      </c>
    </row>
    <row r="49" spans="2:4">
      <c r="B49" s="64" t="s">
        <v>261</v>
      </c>
      <c r="C49" s="64" t="s">
        <v>258</v>
      </c>
      <c r="D49" s="4">
        <f>5</f>
        <v>5</v>
      </c>
    </row>
  </sheetData>
  <pageMargins left="0.75" right="0.75" top="1" bottom="1" header="0.5" footer="0.5"/>
  <pageSetup orientation="portrait" horizontalDpi="4294967292" verticalDpi="4294967292"/>
  <ignoredErrors>
    <ignoredError sqref="H22" emptyCellReference="1"/>
    <ignoredError sqref="G44 F20" formula="1"/>
  </ignoredError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
  <sheetViews>
    <sheetView workbookViewId="0">
      <selection activeCell="I5" sqref="I5"/>
    </sheetView>
  </sheetViews>
  <sheetFormatPr baseColWidth="10" defaultRowHeight="15" x14ac:dyDescent="0"/>
  <cols>
    <col min="2" max="2" width="12.5" bestFit="1" customWidth="1"/>
  </cols>
  <sheetData>
    <row r="2" spans="2:7">
      <c r="B2" s="111" t="s">
        <v>134</v>
      </c>
      <c r="C2" s="111">
        <v>21</v>
      </c>
      <c r="D2" s="111">
        <v>22</v>
      </c>
      <c r="E2" s="111">
        <v>23</v>
      </c>
      <c r="F2" s="111">
        <v>24</v>
      </c>
      <c r="G2" s="111">
        <v>25</v>
      </c>
    </row>
    <row r="3" spans="2:7">
      <c r="B3" s="49" t="s">
        <v>135</v>
      </c>
      <c r="C3" s="4">
        <f>MRP!D10</f>
        <v>1846</v>
      </c>
      <c r="D3" s="4">
        <f>MRP!E10</f>
        <v>2064</v>
      </c>
      <c r="E3" s="4">
        <f>MRP!F10</f>
        <v>2088</v>
      </c>
      <c r="F3" s="4">
        <f>MRP!G10</f>
        <v>2073</v>
      </c>
      <c r="G3" s="4">
        <f>MRP!H10</f>
        <v>2100</v>
      </c>
    </row>
    <row r="4" spans="2:7">
      <c r="B4" s="50" t="s">
        <v>136</v>
      </c>
      <c r="C4" s="4">
        <f>MRP!D22</f>
        <v>0</v>
      </c>
      <c r="D4" s="4">
        <f>MRP!E22</f>
        <v>977</v>
      </c>
      <c r="E4" s="4">
        <f>MRP!F22</f>
        <v>0</v>
      </c>
      <c r="F4" s="4">
        <f>MRP!G22</f>
        <v>513</v>
      </c>
      <c r="G4" s="4">
        <f>MRP!H22</f>
        <v>0</v>
      </c>
    </row>
    <row r="5" spans="2:7">
      <c r="B5" s="51" t="s">
        <v>137</v>
      </c>
      <c r="C5" s="4">
        <f>MRP!D34</f>
        <v>0</v>
      </c>
      <c r="D5" s="4">
        <f>MRP!E34</f>
        <v>500</v>
      </c>
      <c r="E5" s="4">
        <f>MRP!F34</f>
        <v>0</v>
      </c>
      <c r="F5" s="4">
        <f>MRP!G34</f>
        <v>0</v>
      </c>
      <c r="G5" s="4">
        <f>MRP!H34</f>
        <v>0</v>
      </c>
    </row>
    <row r="6" spans="2:7">
      <c r="B6" s="52" t="s">
        <v>138</v>
      </c>
      <c r="C6" s="4">
        <f>MRP!D46</f>
        <v>660</v>
      </c>
      <c r="D6" s="4">
        <f>MRP!E46</f>
        <v>660</v>
      </c>
      <c r="E6" s="4">
        <f>MRP!F46</f>
        <v>0</v>
      </c>
      <c r="F6" s="4">
        <f>MRP!G46</f>
        <v>660</v>
      </c>
      <c r="G6" s="4">
        <f>MRP!H46</f>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0"/>
  <sheetViews>
    <sheetView tabSelected="1" workbookViewId="0">
      <selection activeCell="M20" sqref="M20"/>
    </sheetView>
  </sheetViews>
  <sheetFormatPr baseColWidth="10" defaultRowHeight="15" x14ac:dyDescent="0"/>
  <cols>
    <col min="2" max="2" width="21.5" bestFit="1" customWidth="1"/>
    <col min="3" max="3" width="10.83203125" customWidth="1"/>
    <col min="11" max="11" width="10.83203125" customWidth="1"/>
  </cols>
  <sheetData>
    <row r="1" spans="2:21">
      <c r="B1" s="42"/>
      <c r="C1" s="42"/>
      <c r="D1" s="42"/>
      <c r="E1" s="42"/>
      <c r="F1" s="42"/>
      <c r="G1" s="88" t="s">
        <v>82</v>
      </c>
      <c r="H1" s="42"/>
      <c r="I1" s="42"/>
      <c r="J1" s="42"/>
      <c r="K1" s="42"/>
      <c r="L1" s="42"/>
    </row>
    <row r="2" spans="2:21" ht="16" thickBot="1">
      <c r="B2" s="89"/>
      <c r="C2" s="89"/>
      <c r="D2" s="89"/>
      <c r="E2" s="89"/>
      <c r="F2" s="89"/>
      <c r="G2" s="89"/>
      <c r="H2" s="89"/>
      <c r="I2" s="89"/>
      <c r="J2" s="89"/>
      <c r="K2" s="89"/>
      <c r="L2" s="89"/>
    </row>
    <row r="3" spans="2:21">
      <c r="B3" s="85" t="s">
        <v>83</v>
      </c>
      <c r="C3" s="112"/>
      <c r="D3" s="86"/>
      <c r="E3" s="86"/>
      <c r="F3" s="86"/>
      <c r="G3" s="86"/>
      <c r="H3" s="86"/>
      <c r="I3" s="86"/>
      <c r="J3" s="86"/>
      <c r="K3" s="86"/>
      <c r="L3" s="87"/>
    </row>
    <row r="4" spans="2:21" ht="56">
      <c r="B4" s="68"/>
      <c r="C4" s="115">
        <v>20</v>
      </c>
      <c r="D4" s="36">
        <v>21</v>
      </c>
      <c r="E4" s="36">
        <v>22</v>
      </c>
      <c r="F4" s="36">
        <v>23</v>
      </c>
      <c r="G4" s="36">
        <v>24</v>
      </c>
      <c r="H4" s="36">
        <v>25</v>
      </c>
      <c r="I4" s="35"/>
      <c r="J4" s="37" t="s">
        <v>84</v>
      </c>
      <c r="K4" s="38" t="s">
        <v>85</v>
      </c>
      <c r="L4" s="69" t="s">
        <v>86</v>
      </c>
    </row>
    <row r="5" spans="2:21">
      <c r="B5" s="70" t="s">
        <v>87</v>
      </c>
      <c r="C5" s="114"/>
      <c r="D5" s="100">
        <f>MPS!C3</f>
        <v>1846</v>
      </c>
      <c r="E5" s="100">
        <f>MPS!D3</f>
        <v>2064</v>
      </c>
      <c r="F5" s="100">
        <f>MPS!E3</f>
        <v>2088</v>
      </c>
      <c r="G5" s="100">
        <f>MPS!F3</f>
        <v>2073</v>
      </c>
      <c r="H5" s="100">
        <f>MPS!G3</f>
        <v>2100</v>
      </c>
      <c r="I5" s="35"/>
      <c r="J5" s="39"/>
      <c r="K5" s="39"/>
      <c r="L5" s="84"/>
    </row>
    <row r="6" spans="2:21">
      <c r="B6" s="72">
        <v>4</v>
      </c>
      <c r="C6" s="115"/>
      <c r="D6" s="35">
        <f>($D$5*J6)+L6</f>
        <v>9230.0083570936986</v>
      </c>
      <c r="E6" s="35">
        <f>($E$5*J6)+L6</f>
        <v>10320.008357093699</v>
      </c>
      <c r="F6" s="35">
        <f>($F$5*J6)+L6</f>
        <v>10440.008357093699</v>
      </c>
      <c r="G6" s="35">
        <f>($G$5*J6)+L6</f>
        <v>10365.008357093699</v>
      </c>
      <c r="H6" s="35">
        <f>($H$5*J6)+L6</f>
        <v>10500.008357093699</v>
      </c>
      <c r="I6" s="35"/>
      <c r="J6" s="62">
        <v>5</v>
      </c>
      <c r="K6" s="35">
        <v>17</v>
      </c>
      <c r="L6" s="73">
        <f>K6/AVERAGE($D$5:$H$5)</f>
        <v>8.3570936977681639E-3</v>
      </c>
    </row>
    <row r="7" spans="2:21">
      <c r="B7" s="72">
        <v>1</v>
      </c>
      <c r="C7" s="115"/>
      <c r="D7" s="35">
        <f t="shared" ref="D7:D9" si="0">($D$5*J7)+L7</f>
        <v>12922.007865499951</v>
      </c>
      <c r="E7" s="35">
        <f t="shared" ref="E7:E9" si="1">($E$5*J7)+L7</f>
        <v>14448.007865499951</v>
      </c>
      <c r="F7" s="35">
        <f t="shared" ref="F7:F9" si="2">($F$5*J7)+L7</f>
        <v>14616.007865499951</v>
      </c>
      <c r="G7" s="35">
        <f t="shared" ref="G7:G9" si="3">($G$5*J7)+L7</f>
        <v>14511.007865499951</v>
      </c>
      <c r="H7" s="35">
        <f t="shared" ref="H7:H9" si="4">($H$5*J7)+L7</f>
        <v>14700.007865499951</v>
      </c>
      <c r="I7" s="35"/>
      <c r="J7" s="62">
        <v>7</v>
      </c>
      <c r="K7" s="35">
        <v>16</v>
      </c>
      <c r="L7" s="73">
        <f t="shared" ref="L7:L9" si="5">K7/AVERAGE($D$5:$H$5)</f>
        <v>7.8654999508406247E-3</v>
      </c>
    </row>
    <row r="8" spans="2:21">
      <c r="B8" s="72">
        <v>3</v>
      </c>
      <c r="C8" s="115"/>
      <c r="D8" s="35">
        <f t="shared" si="0"/>
        <v>23998.010323468687</v>
      </c>
      <c r="E8" s="35">
        <f t="shared" si="1"/>
        <v>26832.010323468687</v>
      </c>
      <c r="F8" s="35">
        <f t="shared" si="2"/>
        <v>27144.010323468687</v>
      </c>
      <c r="G8" s="35">
        <f t="shared" si="3"/>
        <v>26949.010323468687</v>
      </c>
      <c r="H8" s="35">
        <f t="shared" si="4"/>
        <v>27300.010323468687</v>
      </c>
      <c r="I8" s="35"/>
      <c r="J8" s="62">
        <v>13</v>
      </c>
      <c r="K8" s="35">
        <v>21</v>
      </c>
      <c r="L8" s="230">
        <f t="shared" si="5"/>
        <v>1.0323468685478321E-2</v>
      </c>
      <c r="S8" s="42"/>
      <c r="T8" s="42"/>
      <c r="U8" s="42"/>
    </row>
    <row r="9" spans="2:21" ht="16" thickBot="1">
      <c r="B9" s="78">
        <v>2</v>
      </c>
      <c r="C9" s="116"/>
      <c r="D9" s="74">
        <f t="shared" si="0"/>
        <v>20306.009340281191</v>
      </c>
      <c r="E9" s="74">
        <f t="shared" si="1"/>
        <v>22704.009340281191</v>
      </c>
      <c r="F9" s="74">
        <f t="shared" si="2"/>
        <v>22968.009340281191</v>
      </c>
      <c r="G9" s="74">
        <f t="shared" si="3"/>
        <v>22803.009340281191</v>
      </c>
      <c r="H9" s="74">
        <f t="shared" si="4"/>
        <v>23100.009340281191</v>
      </c>
      <c r="I9" s="74"/>
      <c r="J9" s="79">
        <v>11</v>
      </c>
      <c r="K9" s="74">
        <v>19</v>
      </c>
      <c r="L9" s="232">
        <f t="shared" si="5"/>
        <v>9.3402811916232422E-3</v>
      </c>
    </row>
    <row r="10" spans="2:21" ht="16" thickBot="1">
      <c r="B10" s="42"/>
      <c r="C10" s="42"/>
      <c r="D10" s="42"/>
      <c r="E10" s="42"/>
      <c r="F10" s="42"/>
      <c r="G10" s="42"/>
      <c r="H10" s="42"/>
      <c r="I10" s="42"/>
      <c r="J10" s="42"/>
      <c r="K10" s="42"/>
      <c r="L10" s="42"/>
    </row>
    <row r="11" spans="2:21">
      <c r="B11" s="81" t="s">
        <v>88</v>
      </c>
      <c r="C11" s="117"/>
      <c r="D11" s="82"/>
      <c r="E11" s="82"/>
      <c r="F11" s="82"/>
      <c r="G11" s="82"/>
      <c r="H11" s="82"/>
      <c r="I11" s="82"/>
      <c r="J11" s="82"/>
      <c r="K11" s="82"/>
      <c r="L11" s="83"/>
    </row>
    <row r="12" spans="2:21" ht="56">
      <c r="B12" s="68"/>
      <c r="C12" s="115">
        <v>20</v>
      </c>
      <c r="D12" s="36">
        <v>21</v>
      </c>
      <c r="E12" s="36">
        <v>22</v>
      </c>
      <c r="F12" s="36">
        <v>23</v>
      </c>
      <c r="G12" s="36">
        <v>24</v>
      </c>
      <c r="H12" s="36">
        <v>25</v>
      </c>
      <c r="I12" s="35"/>
      <c r="J12" s="37" t="s">
        <v>89</v>
      </c>
      <c r="K12" s="38" t="s">
        <v>90</v>
      </c>
      <c r="L12" s="69" t="s">
        <v>91</v>
      </c>
    </row>
    <row r="13" spans="2:21">
      <c r="B13" s="70" t="s">
        <v>87</v>
      </c>
      <c r="C13" s="114">
        <f>MRP!C22</f>
        <v>687</v>
      </c>
      <c r="D13" s="100">
        <f>MPS!C4</f>
        <v>0</v>
      </c>
      <c r="E13" s="100">
        <f>MPS!D4</f>
        <v>977</v>
      </c>
      <c r="F13" s="100">
        <f>MPS!E4</f>
        <v>0</v>
      </c>
      <c r="G13" s="100">
        <f>MPS!F4</f>
        <v>513</v>
      </c>
      <c r="H13" s="100">
        <f>MPS!G4</f>
        <v>0</v>
      </c>
      <c r="I13" s="35"/>
      <c r="J13" s="40"/>
      <c r="K13" s="40"/>
      <c r="L13" s="84"/>
    </row>
    <row r="14" spans="2:21">
      <c r="B14" s="72">
        <v>3</v>
      </c>
      <c r="C14" s="113">
        <f>($C$13*J14)+L14</f>
        <v>6870.0344510794675</v>
      </c>
      <c r="D14" s="35">
        <f>($D$13*J14)+L14</f>
        <v>3.4451079467156642E-2</v>
      </c>
      <c r="E14" s="35">
        <f>($E$13*J14)+L14</f>
        <v>9770.0344510794675</v>
      </c>
      <c r="F14" s="35">
        <f>($F$13*J14)+L14</f>
        <v>3.4451079467156642E-2</v>
      </c>
      <c r="G14" s="35">
        <f>($G$13*J14)+L14</f>
        <v>5130.0344510794675</v>
      </c>
      <c r="H14" s="35">
        <f>($H$13*J14)+L14</f>
        <v>3.4451079467156642E-2</v>
      </c>
      <c r="I14" s="35"/>
      <c r="J14" s="62">
        <v>10</v>
      </c>
      <c r="K14" s="35">
        <v>15</v>
      </c>
      <c r="L14" s="73">
        <f>K14/AVERAGE($C$13:$G$13)</f>
        <v>3.4451079467156642E-2</v>
      </c>
    </row>
    <row r="15" spans="2:21">
      <c r="B15" s="72">
        <v>2</v>
      </c>
      <c r="C15" s="113">
        <f>($C$13*J15)+L15</f>
        <v>6183.0574184657789</v>
      </c>
      <c r="D15" s="35">
        <f>($D$13*J15)+L15</f>
        <v>5.7418465778594399E-2</v>
      </c>
      <c r="E15" s="35">
        <f>($E$13*J15)+L15</f>
        <v>8793.057418465778</v>
      </c>
      <c r="F15" s="35">
        <f>($F$13*J15)+L15</f>
        <v>5.7418465778594399E-2</v>
      </c>
      <c r="G15" s="35">
        <f>($G$13*J15)+L15</f>
        <v>4617.0574184657789</v>
      </c>
      <c r="H15" s="35">
        <f>($H$13*J15)+L15</f>
        <v>5.7418465778594399E-2</v>
      </c>
      <c r="I15" s="35"/>
      <c r="J15" s="62">
        <v>9</v>
      </c>
      <c r="K15" s="35">
        <v>25</v>
      </c>
      <c r="L15" s="73">
        <f t="shared" ref="L15:L17" si="6">K15/AVERAGE($C$13:$G$13)</f>
        <v>5.7418465778594399E-2</v>
      </c>
    </row>
    <row r="16" spans="2:21">
      <c r="B16" s="72">
        <v>1</v>
      </c>
      <c r="C16" s="228">
        <f t="shared" ref="C16:C17" si="7">($C$13*J16)+L16</f>
        <v>4122.0574184657789</v>
      </c>
      <c r="D16" s="35">
        <f>($D$13*J16)+L16</f>
        <v>5.7418465778594399E-2</v>
      </c>
      <c r="E16" s="35">
        <f>($E$13*J16)+L16</f>
        <v>5862.0574184657789</v>
      </c>
      <c r="F16" s="35">
        <f>($F$13*J16)+L16</f>
        <v>5.7418465778594399E-2</v>
      </c>
      <c r="G16" s="35">
        <f>($G$13*J16)+L16</f>
        <v>3078.0574184657785</v>
      </c>
      <c r="H16" s="35">
        <f>($H$13*J16)+L16</f>
        <v>5.7418465778594399E-2</v>
      </c>
      <c r="I16" s="35"/>
      <c r="J16" s="62">
        <v>6</v>
      </c>
      <c r="K16" s="35">
        <v>25</v>
      </c>
      <c r="L16" s="230">
        <f>K16/AVERAGE($C$13:$G$13)</f>
        <v>5.7418465778594399E-2</v>
      </c>
    </row>
    <row r="17" spans="2:12" ht="16" thickBot="1">
      <c r="B17" s="78">
        <v>4</v>
      </c>
      <c r="C17" s="229">
        <f t="shared" si="7"/>
        <v>9618.0344510794675</v>
      </c>
      <c r="D17" s="74">
        <f>($D$13*J17)+L17</f>
        <v>3.4451079467156642E-2</v>
      </c>
      <c r="E17" s="74">
        <f>($E$13*J17)+L17</f>
        <v>13678.034451079468</v>
      </c>
      <c r="F17" s="74">
        <f>($F$13*J17)+L17</f>
        <v>3.4451079467156642E-2</v>
      </c>
      <c r="G17" s="74">
        <f>($G$13*J17)+L17</f>
        <v>7182.0344510794675</v>
      </c>
      <c r="H17" s="74">
        <f>($H$13*J17)+L17</f>
        <v>3.4451079467156642E-2</v>
      </c>
      <c r="I17" s="74"/>
      <c r="J17" s="79">
        <v>14</v>
      </c>
      <c r="K17" s="74">
        <v>15</v>
      </c>
      <c r="L17" s="231">
        <f t="shared" si="6"/>
        <v>3.4451079467156642E-2</v>
      </c>
    </row>
    <row r="18" spans="2:12" ht="16" thickBot="1">
      <c r="B18" s="42"/>
      <c r="C18" s="42"/>
      <c r="D18" s="42"/>
      <c r="E18" s="42"/>
      <c r="F18" s="42"/>
      <c r="G18" s="42"/>
      <c r="H18" s="42"/>
      <c r="I18" s="42"/>
      <c r="J18" s="42"/>
      <c r="K18" s="42"/>
      <c r="L18" s="42"/>
    </row>
    <row r="19" spans="2:12">
      <c r="B19" s="75" t="s">
        <v>92</v>
      </c>
      <c r="C19" s="118"/>
      <c r="D19" s="76"/>
      <c r="E19" s="76"/>
      <c r="F19" s="76"/>
      <c r="G19" s="76"/>
      <c r="H19" s="76"/>
      <c r="I19" s="76"/>
      <c r="J19" s="76"/>
      <c r="K19" s="76"/>
      <c r="L19" s="77"/>
    </row>
    <row r="20" spans="2:12" ht="70">
      <c r="B20" s="68"/>
      <c r="C20" s="123">
        <v>20</v>
      </c>
      <c r="D20" s="105">
        <v>21</v>
      </c>
      <c r="E20" s="101">
        <v>22</v>
      </c>
      <c r="F20" s="101">
        <v>23</v>
      </c>
      <c r="G20" s="101">
        <v>24</v>
      </c>
      <c r="H20" s="101">
        <v>25</v>
      </c>
      <c r="I20" s="106"/>
      <c r="J20" s="37" t="s">
        <v>93</v>
      </c>
      <c r="K20" s="38" t="s">
        <v>94</v>
      </c>
      <c r="L20" s="69" t="s">
        <v>95</v>
      </c>
    </row>
    <row r="21" spans="2:12">
      <c r="B21" s="70" t="s">
        <v>87</v>
      </c>
      <c r="C21" s="124"/>
      <c r="D21" s="107">
        <f>MPS!C5</f>
        <v>0</v>
      </c>
      <c r="E21" s="107">
        <f>MPS!D5</f>
        <v>500</v>
      </c>
      <c r="F21" s="107">
        <f>MPS!E5</f>
        <v>0</v>
      </c>
      <c r="G21" s="107">
        <f>MPS!F5</f>
        <v>0</v>
      </c>
      <c r="H21" s="107">
        <f>MPS!G5</f>
        <v>0</v>
      </c>
      <c r="I21" s="102"/>
      <c r="J21" s="35"/>
      <c r="K21" s="35"/>
      <c r="L21" s="71"/>
    </row>
    <row r="22" spans="2:12">
      <c r="B22" s="72">
        <v>4</v>
      </c>
      <c r="C22" s="119"/>
      <c r="D22" s="108">
        <f>($D$21*J22)+L22</f>
        <v>4.2000000000000003E-2</v>
      </c>
      <c r="E22" s="103">
        <f>($E$21*J22)+L22</f>
        <v>8500.0419999999995</v>
      </c>
      <c r="F22" s="103">
        <f>($F$21*J22)+L22</f>
        <v>4.2000000000000003E-2</v>
      </c>
      <c r="G22" s="103">
        <f>($G$21*J22)+L22</f>
        <v>4.2000000000000003E-2</v>
      </c>
      <c r="H22" s="103">
        <f>($H$21*J22)+L22</f>
        <v>4.2000000000000003E-2</v>
      </c>
      <c r="I22" s="104"/>
      <c r="J22" s="62">
        <v>17</v>
      </c>
      <c r="K22" s="35">
        <v>21</v>
      </c>
      <c r="L22" s="73">
        <f>K22/$E$21</f>
        <v>4.2000000000000003E-2</v>
      </c>
    </row>
    <row r="23" spans="2:12">
      <c r="B23" s="72">
        <v>1</v>
      </c>
      <c r="C23" s="115"/>
      <c r="D23" s="35">
        <f t="shared" ref="D23:D25" si="8">($D$21*J23)+L23</f>
        <v>3.5999999999999997E-2</v>
      </c>
      <c r="E23" s="35">
        <f t="shared" ref="E23:E25" si="9">($E$21*J23)+L23</f>
        <v>9500.0360000000001</v>
      </c>
      <c r="F23" s="35">
        <f t="shared" ref="F23:F25" si="10">($F$21*J23)+L23</f>
        <v>3.5999999999999997E-2</v>
      </c>
      <c r="G23" s="35">
        <f t="shared" ref="G23:G25" si="11">($G$21*J23)+L23</f>
        <v>3.5999999999999997E-2</v>
      </c>
      <c r="H23" s="35">
        <f t="shared" ref="H23:H25" si="12">($H$21*J23)+L23</f>
        <v>3.5999999999999997E-2</v>
      </c>
      <c r="I23" s="35"/>
      <c r="J23" s="62">
        <v>19</v>
      </c>
      <c r="K23" s="35">
        <v>18</v>
      </c>
      <c r="L23" s="73">
        <f t="shared" ref="L23:L25" si="13">K23/$E$21</f>
        <v>3.5999999999999997E-2</v>
      </c>
    </row>
    <row r="24" spans="2:12">
      <c r="B24" s="72">
        <v>2</v>
      </c>
      <c r="C24" s="115"/>
      <c r="D24" s="35">
        <f t="shared" si="8"/>
        <v>5.1999999999999998E-2</v>
      </c>
      <c r="E24" s="35">
        <f t="shared" si="9"/>
        <v>5000.0519999999997</v>
      </c>
      <c r="F24" s="35">
        <f t="shared" si="10"/>
        <v>5.1999999999999998E-2</v>
      </c>
      <c r="G24" s="35">
        <f t="shared" si="11"/>
        <v>5.1999999999999998E-2</v>
      </c>
      <c r="H24" s="35">
        <f t="shared" si="12"/>
        <v>5.1999999999999998E-2</v>
      </c>
      <c r="I24" s="35"/>
      <c r="J24" s="62">
        <v>10</v>
      </c>
      <c r="K24" s="35">
        <v>26</v>
      </c>
      <c r="L24" s="73">
        <f t="shared" si="13"/>
        <v>5.1999999999999998E-2</v>
      </c>
    </row>
    <row r="25" spans="2:12" ht="16" thickBot="1">
      <c r="B25" s="78">
        <v>3</v>
      </c>
      <c r="C25" s="116"/>
      <c r="D25" s="74">
        <f t="shared" si="8"/>
        <v>3.2000000000000001E-2</v>
      </c>
      <c r="E25" s="74">
        <f t="shared" si="9"/>
        <v>6500.0320000000002</v>
      </c>
      <c r="F25" s="74">
        <f t="shared" si="10"/>
        <v>3.2000000000000001E-2</v>
      </c>
      <c r="G25" s="74">
        <f t="shared" si="11"/>
        <v>3.2000000000000001E-2</v>
      </c>
      <c r="H25" s="74">
        <f t="shared" si="12"/>
        <v>3.2000000000000001E-2</v>
      </c>
      <c r="I25" s="74"/>
      <c r="J25" s="79">
        <v>13</v>
      </c>
      <c r="K25" s="74">
        <v>16</v>
      </c>
      <c r="L25" s="80">
        <f t="shared" si="13"/>
        <v>3.2000000000000001E-2</v>
      </c>
    </row>
    <row r="26" spans="2:12" ht="16" thickBot="1">
      <c r="B26" s="42"/>
      <c r="C26" s="42"/>
      <c r="D26" s="42"/>
      <c r="E26" s="42"/>
      <c r="F26" s="42"/>
      <c r="G26" s="42"/>
      <c r="H26" s="42"/>
      <c r="I26" s="42"/>
      <c r="J26" s="42"/>
      <c r="K26" s="42"/>
      <c r="L26" s="42"/>
    </row>
    <row r="27" spans="2:12">
      <c r="B27" s="65" t="s">
        <v>96</v>
      </c>
      <c r="C27" s="120"/>
      <c r="D27" s="66"/>
      <c r="E27" s="66"/>
      <c r="F27" s="66"/>
      <c r="G27" s="66"/>
      <c r="H27" s="66"/>
      <c r="I27" s="66"/>
      <c r="J27" s="66"/>
      <c r="K27" s="66"/>
      <c r="L27" s="67"/>
    </row>
    <row r="28" spans="2:12" ht="56">
      <c r="B28" s="68"/>
      <c r="C28" s="105">
        <v>20</v>
      </c>
      <c r="D28" s="101">
        <v>21</v>
      </c>
      <c r="E28" s="101">
        <v>22</v>
      </c>
      <c r="F28" s="101">
        <v>23</v>
      </c>
      <c r="G28" s="101">
        <v>24</v>
      </c>
      <c r="H28" s="248">
        <v>25</v>
      </c>
      <c r="I28" s="35"/>
      <c r="J28" s="37" t="s">
        <v>97</v>
      </c>
      <c r="K28" s="38" t="s">
        <v>98</v>
      </c>
      <c r="L28" s="69" t="s">
        <v>99</v>
      </c>
    </row>
    <row r="29" spans="2:12">
      <c r="B29" s="70" t="s">
        <v>87</v>
      </c>
      <c r="C29" s="249"/>
      <c r="D29" s="51">
        <f>MPS!C6</f>
        <v>660</v>
      </c>
      <c r="E29" s="51">
        <f>MPS!D6</f>
        <v>660</v>
      </c>
      <c r="F29" s="51">
        <f>MPS!E6</f>
        <v>0</v>
      </c>
      <c r="G29" s="51">
        <f>MPS!F6</f>
        <v>660</v>
      </c>
      <c r="H29" s="250">
        <f>MPS!G6</f>
        <v>0</v>
      </c>
      <c r="I29" s="35"/>
      <c r="J29" s="35"/>
      <c r="K29" s="35"/>
      <c r="L29" s="71"/>
    </row>
    <row r="30" spans="2:12">
      <c r="B30" s="72">
        <v>2</v>
      </c>
      <c r="C30" s="251"/>
      <c r="D30" s="103">
        <f>($D$29*J30)+L30</f>
        <v>7260.030303030303</v>
      </c>
      <c r="E30" s="103">
        <f>($E$29*J30)+L30</f>
        <v>7260.030303030303</v>
      </c>
      <c r="F30" s="103">
        <f>($F$29*J30)+L30</f>
        <v>3.0303030303030304E-2</v>
      </c>
      <c r="G30" s="103">
        <f>($G$29*J30)+L30</f>
        <v>7260.030303030303</v>
      </c>
      <c r="H30" s="104">
        <f>($H$29*J30)+L30</f>
        <v>3.0303030303030304E-2</v>
      </c>
      <c r="I30" s="35"/>
      <c r="J30" s="62">
        <v>11</v>
      </c>
      <c r="K30" s="35">
        <v>20</v>
      </c>
      <c r="L30" s="73">
        <f>K30/$E$29</f>
        <v>3.0303030303030304E-2</v>
      </c>
    </row>
    <row r="31" spans="2:12">
      <c r="B31" s="72">
        <v>4</v>
      </c>
      <c r="C31" s="115"/>
      <c r="D31" s="35">
        <f t="shared" ref="D31:D32" si="14">($D$29*J31)+L31</f>
        <v>5940.030303030303</v>
      </c>
      <c r="E31" s="35">
        <f t="shared" ref="E31:E32" si="15">($E$29*J31)+L31</f>
        <v>5940.030303030303</v>
      </c>
      <c r="F31" s="35">
        <f t="shared" ref="F31:F32" si="16">($F$29*J31)+L31</f>
        <v>3.0303030303030304E-2</v>
      </c>
      <c r="G31" s="35">
        <f t="shared" ref="G31:G32" si="17">($G$29*J31)+L31</f>
        <v>5940.030303030303</v>
      </c>
      <c r="H31" s="35">
        <f t="shared" ref="H31:H32" si="18">($H$29*J31)+L31</f>
        <v>3.0303030303030304E-2</v>
      </c>
      <c r="I31" s="35"/>
      <c r="J31" s="62">
        <v>9</v>
      </c>
      <c r="K31" s="35">
        <v>20</v>
      </c>
      <c r="L31" s="73">
        <f>K31/$E$29</f>
        <v>3.0303030303030304E-2</v>
      </c>
    </row>
    <row r="32" spans="2:12" ht="16" thickBot="1">
      <c r="B32" s="78">
        <v>1</v>
      </c>
      <c r="C32" s="116"/>
      <c r="D32" s="74">
        <f t="shared" si="14"/>
        <v>5280.0333333333338</v>
      </c>
      <c r="E32" s="74">
        <f t="shared" si="15"/>
        <v>5280.0333333333338</v>
      </c>
      <c r="F32" s="74">
        <f t="shared" si="16"/>
        <v>3.3333333333333333E-2</v>
      </c>
      <c r="G32" s="74">
        <f t="shared" si="17"/>
        <v>5280.0333333333338</v>
      </c>
      <c r="H32" s="74">
        <f t="shared" si="18"/>
        <v>3.3333333333333333E-2</v>
      </c>
      <c r="I32" s="74"/>
      <c r="J32" s="79">
        <v>8</v>
      </c>
      <c r="K32" s="74">
        <v>22</v>
      </c>
      <c r="L32" s="80">
        <f t="shared" ref="L32" si="19">K32/$E$29</f>
        <v>3.3333333333333333E-2</v>
      </c>
    </row>
    <row r="33" spans="2:12" ht="16" thickBot="1">
      <c r="B33" s="42"/>
      <c r="C33" s="42"/>
      <c r="D33" s="42"/>
      <c r="E33" s="42"/>
      <c r="F33" s="42"/>
      <c r="G33" s="42"/>
      <c r="H33" s="42"/>
      <c r="I33" s="42"/>
      <c r="J33" s="42"/>
      <c r="K33" s="42"/>
      <c r="L33" s="42"/>
    </row>
    <row r="34" spans="2:12">
      <c r="B34" s="90" t="s">
        <v>100</v>
      </c>
      <c r="C34" s="121"/>
      <c r="D34" s="91"/>
      <c r="E34" s="91"/>
      <c r="F34" s="91"/>
      <c r="G34" s="91"/>
      <c r="H34" s="91"/>
      <c r="I34" s="91"/>
      <c r="J34" s="91"/>
      <c r="K34" s="91"/>
      <c r="L34" s="92"/>
    </row>
    <row r="35" spans="2:12" ht="42">
      <c r="B35" s="93" t="s">
        <v>101</v>
      </c>
      <c r="C35" s="122" t="s">
        <v>263</v>
      </c>
      <c r="D35" s="36">
        <v>21</v>
      </c>
      <c r="E35" s="36">
        <v>22</v>
      </c>
      <c r="F35" s="36">
        <v>23</v>
      </c>
      <c r="G35" s="36">
        <v>24</v>
      </c>
      <c r="H35" s="36">
        <v>25</v>
      </c>
      <c r="I35" s="41" t="s">
        <v>19</v>
      </c>
      <c r="J35" s="35"/>
      <c r="K35" s="37" t="s">
        <v>288</v>
      </c>
      <c r="L35" s="71"/>
    </row>
    <row r="36" spans="2:12">
      <c r="B36" s="94">
        <v>1</v>
      </c>
      <c r="C36" s="47">
        <v>5</v>
      </c>
      <c r="D36" s="113">
        <f>D32+D23+D16+D7</f>
        <v>18202.134617299063</v>
      </c>
      <c r="E36" s="35">
        <f>E32+E23+E16+E7</f>
        <v>35090.13461729906</v>
      </c>
      <c r="F36" s="35">
        <f>F32+F23+F16+F7</f>
        <v>14616.134617299063</v>
      </c>
      <c r="G36" s="35">
        <f>G32+G23+G16+G7</f>
        <v>22869.134617299063</v>
      </c>
      <c r="H36" s="35">
        <f>H32+H23+H16+H7</f>
        <v>14700.134617299063</v>
      </c>
      <c r="I36" s="62">
        <f>SUM(D36:H36)</f>
        <v>105477.6730864953</v>
      </c>
      <c r="J36" s="35"/>
      <c r="K36" s="62">
        <f>I36/$I$40</f>
        <v>0.20714049037685525</v>
      </c>
      <c r="L36" s="71"/>
    </row>
    <row r="37" spans="2:12">
      <c r="B37" s="94">
        <v>2</v>
      </c>
      <c r="C37" s="48">
        <v>10</v>
      </c>
      <c r="D37" s="125">
        <f>D30+D24+D15+D9</f>
        <v>27566.149061777272</v>
      </c>
      <c r="E37" s="47">
        <f>E30+E24+E15+E9</f>
        <v>43757.149061777272</v>
      </c>
      <c r="F37" s="47">
        <f>F30+F24+F15+F9</f>
        <v>22968.149061777272</v>
      </c>
      <c r="G37" s="47">
        <f>G30+G24+G15+G9</f>
        <v>34680.149061777272</v>
      </c>
      <c r="H37" s="47">
        <f>H30+H24+H15+H9</f>
        <v>23100.149061777272</v>
      </c>
      <c r="I37" s="63">
        <f t="shared" ref="I37:I39" si="20">SUM(D37:H37)</f>
        <v>152071.74530888637</v>
      </c>
      <c r="J37" s="47"/>
      <c r="K37" s="63">
        <f t="shared" ref="K37:K39" si="21">I37/$I$40</f>
        <v>0.29864344722428326</v>
      </c>
      <c r="L37" s="95"/>
    </row>
    <row r="38" spans="2:12">
      <c r="B38" s="94">
        <v>3</v>
      </c>
      <c r="C38" s="48">
        <v>10</v>
      </c>
      <c r="D38" s="126">
        <f>D25+D14+D8</f>
        <v>23998.076774548153</v>
      </c>
      <c r="E38" s="48">
        <f>E25+E14+E8</f>
        <v>43102.076774548157</v>
      </c>
      <c r="F38" s="48">
        <f>F25+F14+F8</f>
        <v>27144.076774548153</v>
      </c>
      <c r="G38" s="48">
        <f>G25+G14+G8</f>
        <v>32079.076774548153</v>
      </c>
      <c r="H38" s="48">
        <f>H25+H14+H8</f>
        <v>27300.076774548153</v>
      </c>
      <c r="I38" s="51">
        <f t="shared" si="20"/>
        <v>153623.38387274079</v>
      </c>
      <c r="J38" s="48"/>
      <c r="K38" s="51">
        <f t="shared" si="21"/>
        <v>0.30169060558111271</v>
      </c>
      <c r="L38" s="96"/>
    </row>
    <row r="39" spans="2:12">
      <c r="B39" s="94">
        <v>4</v>
      </c>
      <c r="C39" s="48">
        <v>5</v>
      </c>
      <c r="D39" s="126">
        <f>D31+D22+D17+D6</f>
        <v>15170.115111203469</v>
      </c>
      <c r="E39" s="48">
        <f>E31+E22+E17+E6</f>
        <v>38438.115111203471</v>
      </c>
      <c r="F39" s="48">
        <f>F31+F22+F17+F6</f>
        <v>10440.115111203469</v>
      </c>
      <c r="G39" s="48">
        <f>G31+G22+G17+G6</f>
        <v>23487.115111203471</v>
      </c>
      <c r="H39" s="48">
        <f>H31+H22+H17+H6</f>
        <v>10500.115111203469</v>
      </c>
      <c r="I39" s="51">
        <f t="shared" si="20"/>
        <v>98035.575556017357</v>
      </c>
      <c r="J39" s="48"/>
      <c r="K39" s="51">
        <f t="shared" si="21"/>
        <v>0.19252545681774882</v>
      </c>
      <c r="L39" s="96"/>
    </row>
    <row r="40" spans="2:12" ht="16" thickBot="1">
      <c r="B40" s="97" t="s">
        <v>19</v>
      </c>
      <c r="C40" s="98"/>
      <c r="D40" s="128">
        <f t="shared" ref="D40:H40" si="22">SUM(D36:D39)</f>
        <v>84936.475564827968</v>
      </c>
      <c r="E40" s="128">
        <f t="shared" si="22"/>
        <v>160387.47556482797</v>
      </c>
      <c r="F40" s="128">
        <f t="shared" si="22"/>
        <v>75168.475564827968</v>
      </c>
      <c r="G40" s="128">
        <f t="shared" si="22"/>
        <v>113115.47556482797</v>
      </c>
      <c r="H40" s="128">
        <f t="shared" si="22"/>
        <v>75600.475564827968</v>
      </c>
      <c r="I40" s="128">
        <f>SUM(I36:I39)</f>
        <v>509208.37782413978</v>
      </c>
      <c r="J40" s="129"/>
      <c r="K40" s="128">
        <f>SUM(K36:K39)</f>
        <v>1</v>
      </c>
      <c r="L40" s="9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61"/>
  <sheetViews>
    <sheetView workbookViewId="0">
      <selection activeCell="D9" sqref="D9"/>
    </sheetView>
  </sheetViews>
  <sheetFormatPr baseColWidth="10" defaultRowHeight="15" x14ac:dyDescent="0"/>
  <cols>
    <col min="2" max="2" width="28.6640625" bestFit="1" customWidth="1"/>
    <col min="9" max="9" width="12.5" bestFit="1" customWidth="1"/>
    <col min="11" max="11" width="12.5" bestFit="1" customWidth="1"/>
    <col min="14" max="14" width="18.1640625" bestFit="1" customWidth="1"/>
    <col min="15" max="15" width="25.6640625" bestFit="1" customWidth="1"/>
    <col min="16" max="16" width="25.5" bestFit="1" customWidth="1"/>
  </cols>
  <sheetData>
    <row r="1" spans="2:16">
      <c r="D1" s="5" t="s">
        <v>264</v>
      </c>
    </row>
    <row r="3" spans="2:16">
      <c r="B3" s="6"/>
      <c r="C3" s="233"/>
      <c r="D3" s="267" t="s">
        <v>132</v>
      </c>
      <c r="E3" s="267"/>
      <c r="F3" s="267"/>
      <c r="G3" s="267"/>
      <c r="H3" s="267"/>
      <c r="I3" s="235"/>
      <c r="K3" s="233"/>
      <c r="L3" s="267" t="s">
        <v>271</v>
      </c>
      <c r="M3" s="267"/>
      <c r="N3" s="267"/>
      <c r="O3" s="267"/>
      <c r="P3" s="268"/>
    </row>
    <row r="4" spans="2:16">
      <c r="B4" s="127" t="s">
        <v>125</v>
      </c>
      <c r="C4" s="43">
        <v>20</v>
      </c>
      <c r="D4" s="43">
        <v>21</v>
      </c>
      <c r="E4" s="43">
        <v>22</v>
      </c>
      <c r="F4" s="43">
        <v>23</v>
      </c>
      <c r="G4" s="43">
        <v>24</v>
      </c>
      <c r="H4" s="43">
        <v>25</v>
      </c>
      <c r="I4" s="43" t="s">
        <v>19</v>
      </c>
      <c r="K4" s="4" t="s">
        <v>272</v>
      </c>
      <c r="L4" s="4" t="s">
        <v>273</v>
      </c>
      <c r="M4" s="4" t="s">
        <v>271</v>
      </c>
      <c r="N4" s="4" t="s">
        <v>274</v>
      </c>
      <c r="O4" s="4" t="s">
        <v>275</v>
      </c>
      <c r="P4" s="4" t="s">
        <v>276</v>
      </c>
    </row>
    <row r="5" spans="2:16">
      <c r="B5" s="127" t="s">
        <v>265</v>
      </c>
      <c r="C5" s="4">
        <f>'Capacity Planning'!C16</f>
        <v>4122.0574184657789</v>
      </c>
      <c r="D5" s="4">
        <f>'Capacity Planning'!D36</f>
        <v>18202.134617299063</v>
      </c>
      <c r="E5" s="4">
        <f>'Capacity Planning'!E36</f>
        <v>35090.13461729906</v>
      </c>
      <c r="F5" s="4">
        <f>'Capacity Planning'!F36</f>
        <v>14616.134617299063</v>
      </c>
      <c r="G5" s="4">
        <f>'Capacity Planning'!G36</f>
        <v>22869.134617299063</v>
      </c>
      <c r="H5" s="4">
        <f>'Capacity Planning'!H36</f>
        <v>14700.134617299063</v>
      </c>
      <c r="I5" s="4"/>
      <c r="K5" s="4">
        <v>1</v>
      </c>
      <c r="L5" s="4">
        <v>240</v>
      </c>
      <c r="M5" s="4">
        <v>20</v>
      </c>
      <c r="N5" s="4">
        <v>2400</v>
      </c>
      <c r="O5" s="4">
        <f>(N5/L5)*M5</f>
        <v>200</v>
      </c>
      <c r="P5" s="4">
        <f>N5-O5</f>
        <v>2200</v>
      </c>
    </row>
    <row r="6" spans="2:16">
      <c r="B6" s="127" t="s">
        <v>124</v>
      </c>
      <c r="C6" s="4">
        <f>$O$5</f>
        <v>200</v>
      </c>
      <c r="D6" s="4">
        <f t="shared" ref="D6:H6" si="0">$O$5</f>
        <v>200</v>
      </c>
      <c r="E6" s="4">
        <f t="shared" si="0"/>
        <v>200</v>
      </c>
      <c r="F6" s="4">
        <f t="shared" si="0"/>
        <v>200</v>
      </c>
      <c r="G6" s="4">
        <f t="shared" si="0"/>
        <v>200</v>
      </c>
      <c r="H6" s="4">
        <f t="shared" si="0"/>
        <v>200</v>
      </c>
      <c r="I6" s="4"/>
      <c r="K6" s="4">
        <v>2</v>
      </c>
      <c r="L6" s="4">
        <v>160</v>
      </c>
      <c r="M6" s="4">
        <v>15</v>
      </c>
      <c r="N6" s="4">
        <v>2400</v>
      </c>
      <c r="O6" s="4">
        <f t="shared" ref="O6:O8" si="1">(N6/L6)*M6</f>
        <v>225</v>
      </c>
      <c r="P6" s="4">
        <f t="shared" ref="P6:P8" si="2">N6-O6</f>
        <v>2175</v>
      </c>
    </row>
    <row r="7" spans="2:16">
      <c r="B7" s="127" t="s">
        <v>267</v>
      </c>
      <c r="C7" s="4">
        <v>5</v>
      </c>
      <c r="D7" s="4">
        <f>C8</f>
        <v>2</v>
      </c>
      <c r="E7" s="4">
        <f t="shared" ref="E7:H7" si="3">D8</f>
        <v>9</v>
      </c>
      <c r="F7" s="4">
        <f t="shared" si="3"/>
        <v>16</v>
      </c>
      <c r="G7" s="4">
        <f t="shared" si="3"/>
        <v>7</v>
      </c>
      <c r="H7" s="4">
        <f t="shared" si="3"/>
        <v>11</v>
      </c>
      <c r="I7" s="4"/>
      <c r="K7" s="4">
        <v>3</v>
      </c>
      <c r="L7" s="4">
        <v>160</v>
      </c>
      <c r="M7" s="4">
        <v>15</v>
      </c>
      <c r="N7" s="4">
        <v>2400</v>
      </c>
      <c r="O7" s="4">
        <f t="shared" si="1"/>
        <v>225</v>
      </c>
      <c r="P7" s="4">
        <f t="shared" si="2"/>
        <v>2175</v>
      </c>
    </row>
    <row r="8" spans="2:16">
      <c r="B8" s="127" t="s">
        <v>266</v>
      </c>
      <c r="C8" s="4">
        <f>ROUNDUP((C5/C9),0)</f>
        <v>2</v>
      </c>
      <c r="D8" s="4">
        <f>ROUNDUP((D5/D9),0)</f>
        <v>9</v>
      </c>
      <c r="E8" s="4">
        <f t="shared" ref="E8:H8" si="4">ROUNDUP((E5/E9),0)</f>
        <v>16</v>
      </c>
      <c r="F8" s="4">
        <f t="shared" si="4"/>
        <v>7</v>
      </c>
      <c r="G8" s="4">
        <f t="shared" si="4"/>
        <v>11</v>
      </c>
      <c r="H8" s="4">
        <f t="shared" si="4"/>
        <v>7</v>
      </c>
      <c r="I8" s="4"/>
      <c r="K8" s="4">
        <v>4</v>
      </c>
      <c r="L8" s="4">
        <v>240</v>
      </c>
      <c r="M8" s="4">
        <v>20</v>
      </c>
      <c r="N8" s="4">
        <v>2400</v>
      </c>
      <c r="O8" s="4">
        <f t="shared" si="1"/>
        <v>200</v>
      </c>
      <c r="P8" s="4">
        <f t="shared" si="2"/>
        <v>2200</v>
      </c>
    </row>
    <row r="9" spans="2:16">
      <c r="B9" s="127" t="s">
        <v>129</v>
      </c>
      <c r="C9" s="4">
        <f>$P$5</f>
        <v>2200</v>
      </c>
      <c r="D9" s="4">
        <f t="shared" ref="D9:H9" si="5">$P$5</f>
        <v>2200</v>
      </c>
      <c r="E9" s="4">
        <f t="shared" si="5"/>
        <v>2200</v>
      </c>
      <c r="F9" s="4">
        <f t="shared" si="5"/>
        <v>2200</v>
      </c>
      <c r="G9" s="4">
        <f t="shared" si="5"/>
        <v>2200</v>
      </c>
      <c r="H9" s="4">
        <f t="shared" si="5"/>
        <v>2200</v>
      </c>
      <c r="I9" s="4"/>
    </row>
    <row r="10" spans="2:16">
      <c r="B10" s="127" t="s">
        <v>123</v>
      </c>
      <c r="C10" s="4">
        <f>C9*C8</f>
        <v>4400</v>
      </c>
      <c r="D10" s="4">
        <f t="shared" ref="D10:H10" si="6">D9*D8</f>
        <v>19800</v>
      </c>
      <c r="E10" s="4">
        <f t="shared" si="6"/>
        <v>35200</v>
      </c>
      <c r="F10" s="4">
        <f t="shared" si="6"/>
        <v>15400</v>
      </c>
      <c r="G10" s="4">
        <f t="shared" si="6"/>
        <v>24200</v>
      </c>
      <c r="H10" s="4">
        <f t="shared" si="6"/>
        <v>15400</v>
      </c>
      <c r="I10" s="4"/>
    </row>
    <row r="11" spans="2:16">
      <c r="B11" s="127" t="s">
        <v>268</v>
      </c>
      <c r="C11" s="4">
        <f>MAX(0,C8-C7)</f>
        <v>0</v>
      </c>
      <c r="D11" s="4">
        <f t="shared" ref="D11:H11" si="7">MAX(0,D8-D7)</f>
        <v>7</v>
      </c>
      <c r="E11" s="4">
        <f t="shared" si="7"/>
        <v>7</v>
      </c>
      <c r="F11" s="4">
        <f t="shared" si="7"/>
        <v>0</v>
      </c>
      <c r="G11" s="4">
        <f t="shared" si="7"/>
        <v>4</v>
      </c>
      <c r="H11" s="4">
        <f t="shared" si="7"/>
        <v>0</v>
      </c>
      <c r="I11" s="4"/>
    </row>
    <row r="12" spans="2:16">
      <c r="B12" s="127" t="s">
        <v>269</v>
      </c>
      <c r="C12" s="4">
        <f>MAX(0,C7-C8)</f>
        <v>3</v>
      </c>
      <c r="D12" s="4">
        <f t="shared" ref="D12:H12" si="8">MAX(0,D7-D8)</f>
        <v>0</v>
      </c>
      <c r="E12" s="4">
        <f t="shared" si="8"/>
        <v>0</v>
      </c>
      <c r="F12" s="4">
        <f t="shared" si="8"/>
        <v>9</v>
      </c>
      <c r="G12" s="4">
        <f t="shared" si="8"/>
        <v>0</v>
      </c>
      <c r="H12" s="4">
        <f t="shared" si="8"/>
        <v>4</v>
      </c>
      <c r="I12" s="4"/>
      <c r="L12" s="233" t="s">
        <v>284</v>
      </c>
      <c r="M12" s="237"/>
      <c r="N12" s="235"/>
    </row>
    <row r="13" spans="2:16">
      <c r="B13" s="127" t="s">
        <v>126</v>
      </c>
      <c r="C13" s="4">
        <f>2500*C11</f>
        <v>0</v>
      </c>
      <c r="D13" s="4">
        <f t="shared" ref="D13:H13" si="9">2500*D11</f>
        <v>17500</v>
      </c>
      <c r="E13" s="4">
        <f t="shared" si="9"/>
        <v>17500</v>
      </c>
      <c r="F13" s="4">
        <f t="shared" si="9"/>
        <v>0</v>
      </c>
      <c r="G13" s="4">
        <f t="shared" si="9"/>
        <v>10000</v>
      </c>
      <c r="H13" s="4">
        <f t="shared" si="9"/>
        <v>0</v>
      </c>
      <c r="I13" s="238">
        <f>SUM(C13:H13)</f>
        <v>45000</v>
      </c>
      <c r="L13" s="236" t="s">
        <v>23</v>
      </c>
      <c r="M13" s="4"/>
      <c r="N13" s="4" t="s">
        <v>277</v>
      </c>
    </row>
    <row r="14" spans="2:16">
      <c r="B14" s="127" t="s">
        <v>128</v>
      </c>
      <c r="C14" s="4">
        <f>1250*C12</f>
        <v>3750</v>
      </c>
      <c r="D14" s="4">
        <f t="shared" ref="D14:H14" si="10">1250*D12</f>
        <v>0</v>
      </c>
      <c r="E14" s="4">
        <f t="shared" si="10"/>
        <v>0</v>
      </c>
      <c r="F14" s="4">
        <f t="shared" si="10"/>
        <v>11250</v>
      </c>
      <c r="G14" s="4">
        <f t="shared" si="10"/>
        <v>0</v>
      </c>
      <c r="H14" s="4">
        <f t="shared" si="10"/>
        <v>5000</v>
      </c>
      <c r="I14" s="238">
        <f>SUM(C14:H14)</f>
        <v>20000</v>
      </c>
      <c r="L14" s="236" t="s">
        <v>278</v>
      </c>
      <c r="M14" s="4"/>
      <c r="N14" s="4" t="s">
        <v>280</v>
      </c>
    </row>
    <row r="15" spans="2:16">
      <c r="B15" s="127" t="s">
        <v>23</v>
      </c>
      <c r="C15" s="4">
        <f>(C10-C5)*2</f>
        <v>555.88516306844213</v>
      </c>
      <c r="D15" s="4">
        <f t="shared" ref="D15:H15" si="11">(D10-D5)*2</f>
        <v>3195.7307654018732</v>
      </c>
      <c r="E15" s="4">
        <f t="shared" si="11"/>
        <v>219.73076540188049</v>
      </c>
      <c r="F15" s="4">
        <f t="shared" si="11"/>
        <v>1567.7307654018732</v>
      </c>
      <c r="G15" s="4">
        <f t="shared" si="11"/>
        <v>2661.7307654018732</v>
      </c>
      <c r="H15" s="4">
        <f t="shared" si="11"/>
        <v>1399.7307654018732</v>
      </c>
      <c r="I15" s="238">
        <f>SUM(C15:H15)</f>
        <v>9600.5389900778155</v>
      </c>
      <c r="L15" s="4" t="s">
        <v>279</v>
      </c>
      <c r="M15" s="4"/>
      <c r="N15" s="4" t="s">
        <v>281</v>
      </c>
    </row>
    <row r="16" spans="2:16">
      <c r="B16" s="51" t="s">
        <v>270</v>
      </c>
      <c r="C16" s="51"/>
      <c r="D16" s="51"/>
      <c r="E16" s="51"/>
      <c r="F16" s="51"/>
      <c r="G16" s="51"/>
      <c r="H16" s="51"/>
      <c r="I16" s="239">
        <f>SUM(I13:I15)</f>
        <v>74600.53899007781</v>
      </c>
      <c r="L16" s="236" t="s">
        <v>282</v>
      </c>
      <c r="M16" s="4"/>
      <c r="N16" s="4"/>
    </row>
    <row r="17" spans="2:15">
      <c r="L17" s="4" t="s">
        <v>283</v>
      </c>
      <c r="M17" s="4"/>
      <c r="N17" s="4"/>
    </row>
    <row r="18" spans="2:15">
      <c r="B18" s="6"/>
      <c r="C18" s="233"/>
      <c r="D18" s="267" t="s">
        <v>131</v>
      </c>
      <c r="E18" s="267"/>
      <c r="F18" s="267"/>
      <c r="G18" s="267"/>
      <c r="H18" s="267"/>
      <c r="I18" s="235"/>
    </row>
    <row r="19" spans="2:15">
      <c r="B19" s="127" t="s">
        <v>125</v>
      </c>
      <c r="C19" s="43">
        <v>20</v>
      </c>
      <c r="D19" s="43">
        <v>21</v>
      </c>
      <c r="E19" s="43">
        <v>22</v>
      </c>
      <c r="F19" s="43">
        <v>23</v>
      </c>
      <c r="G19" s="43">
        <v>24</v>
      </c>
      <c r="H19" s="43">
        <v>25</v>
      </c>
      <c r="I19" s="43" t="s">
        <v>19</v>
      </c>
    </row>
    <row r="20" spans="2:15">
      <c r="B20" s="127" t="s">
        <v>265</v>
      </c>
      <c r="C20" s="4">
        <f>'Capacity Planning'!C15</f>
        <v>6183.0574184657789</v>
      </c>
      <c r="D20" s="4">
        <f>'Capacity Planning'!D37</f>
        <v>27566.149061777272</v>
      </c>
      <c r="E20" s="4">
        <f>'Capacity Planning'!E37</f>
        <v>43757.149061777272</v>
      </c>
      <c r="F20" s="4">
        <f>'Capacity Planning'!F37</f>
        <v>22968.149061777272</v>
      </c>
      <c r="G20" s="4">
        <f>'Capacity Planning'!G37</f>
        <v>34680.149061777272</v>
      </c>
      <c r="H20" s="4">
        <f>'Capacity Planning'!H37</f>
        <v>23100.149061777272</v>
      </c>
      <c r="I20" s="4"/>
    </row>
    <row r="21" spans="2:15">
      <c r="B21" s="127" t="s">
        <v>124</v>
      </c>
      <c r="C21" s="4">
        <f>$O$6</f>
        <v>225</v>
      </c>
      <c r="D21" s="4">
        <f t="shared" ref="D21:H21" si="12">$O$6</f>
        <v>225</v>
      </c>
      <c r="E21" s="4">
        <f t="shared" si="12"/>
        <v>225</v>
      </c>
      <c r="F21" s="4">
        <f t="shared" si="12"/>
        <v>225</v>
      </c>
      <c r="G21" s="4">
        <f t="shared" si="12"/>
        <v>225</v>
      </c>
      <c r="H21" s="4">
        <f t="shared" si="12"/>
        <v>225</v>
      </c>
      <c r="I21" s="4"/>
    </row>
    <row r="22" spans="2:15">
      <c r="B22" s="127" t="s">
        <v>267</v>
      </c>
      <c r="C22" s="4">
        <v>10</v>
      </c>
      <c r="D22" s="4">
        <f>C23</f>
        <v>3</v>
      </c>
      <c r="E22" s="4">
        <f t="shared" ref="E22:G22" si="13">D23</f>
        <v>13</v>
      </c>
      <c r="F22" s="4">
        <f t="shared" si="13"/>
        <v>21</v>
      </c>
      <c r="G22" s="4">
        <f t="shared" si="13"/>
        <v>11</v>
      </c>
      <c r="H22" s="4">
        <f>G23</f>
        <v>16</v>
      </c>
      <c r="I22" s="4"/>
    </row>
    <row r="23" spans="2:15">
      <c r="B23" s="127" t="s">
        <v>266</v>
      </c>
      <c r="C23" s="4">
        <f>ROUNDUP((C20/C24),0)</f>
        <v>3</v>
      </c>
      <c r="D23" s="4">
        <f>ROUNDUP((D20/D24),0)</f>
        <v>13</v>
      </c>
      <c r="E23" s="4">
        <f t="shared" ref="E23:H23" si="14">ROUNDUP((E20/E24),0)</f>
        <v>21</v>
      </c>
      <c r="F23" s="4">
        <f t="shared" si="14"/>
        <v>11</v>
      </c>
      <c r="G23" s="4">
        <f t="shared" si="14"/>
        <v>16</v>
      </c>
      <c r="H23" s="4">
        <f t="shared" si="14"/>
        <v>11</v>
      </c>
      <c r="I23" s="4"/>
    </row>
    <row r="24" spans="2:15">
      <c r="B24" s="127" t="s">
        <v>129</v>
      </c>
      <c r="C24" s="4">
        <f>$P$6</f>
        <v>2175</v>
      </c>
      <c r="D24" s="4">
        <f t="shared" ref="D24:H24" si="15">$P$6</f>
        <v>2175</v>
      </c>
      <c r="E24" s="4">
        <f t="shared" si="15"/>
        <v>2175</v>
      </c>
      <c r="F24" s="4">
        <f t="shared" si="15"/>
        <v>2175</v>
      </c>
      <c r="G24" s="4">
        <f t="shared" si="15"/>
        <v>2175</v>
      </c>
      <c r="H24" s="4">
        <f t="shared" si="15"/>
        <v>2175</v>
      </c>
      <c r="I24" s="4"/>
    </row>
    <row r="25" spans="2:15">
      <c r="B25" s="127" t="s">
        <v>123</v>
      </c>
      <c r="C25" s="4">
        <f>C24*C23</f>
        <v>6525</v>
      </c>
      <c r="D25" s="4">
        <f t="shared" ref="D25:H25" si="16">D24*D23</f>
        <v>28275</v>
      </c>
      <c r="E25" s="4">
        <f t="shared" si="16"/>
        <v>45675</v>
      </c>
      <c r="F25" s="4">
        <f t="shared" si="16"/>
        <v>23925</v>
      </c>
      <c r="G25" s="4">
        <f t="shared" si="16"/>
        <v>34800</v>
      </c>
      <c r="H25" s="4">
        <f t="shared" si="16"/>
        <v>23925</v>
      </c>
      <c r="I25" s="4"/>
    </row>
    <row r="26" spans="2:15">
      <c r="B26" s="127" t="s">
        <v>268</v>
      </c>
      <c r="C26" s="4">
        <f>MAX(0,C23-C22)</f>
        <v>0</v>
      </c>
      <c r="D26" s="4">
        <f t="shared" ref="D26:H26" si="17">MAX(0,D23-D22)</f>
        <v>10</v>
      </c>
      <c r="E26" s="4">
        <f t="shared" si="17"/>
        <v>8</v>
      </c>
      <c r="F26" s="4">
        <f t="shared" si="17"/>
        <v>0</v>
      </c>
      <c r="G26" s="4">
        <f t="shared" si="17"/>
        <v>5</v>
      </c>
      <c r="H26" s="4">
        <f t="shared" si="17"/>
        <v>0</v>
      </c>
      <c r="I26" s="4"/>
      <c r="K26" s="240"/>
    </row>
    <row r="27" spans="2:15">
      <c r="B27" s="127" t="s">
        <v>269</v>
      </c>
      <c r="C27" s="4">
        <f>MAX(0,C22-C23)</f>
        <v>7</v>
      </c>
      <c r="D27" s="4">
        <f t="shared" ref="D27:H27" si="18">MAX(0,D22-D23)</f>
        <v>0</v>
      </c>
      <c r="E27" s="4">
        <f t="shared" si="18"/>
        <v>0</v>
      </c>
      <c r="F27" s="4">
        <f t="shared" si="18"/>
        <v>10</v>
      </c>
      <c r="G27" s="4">
        <f t="shared" si="18"/>
        <v>0</v>
      </c>
      <c r="H27" s="4">
        <f t="shared" si="18"/>
        <v>5</v>
      </c>
      <c r="I27" s="4"/>
    </row>
    <row r="28" spans="2:15">
      <c r="B28" s="127" t="s">
        <v>126</v>
      </c>
      <c r="C28" s="4">
        <f>2500*C26</f>
        <v>0</v>
      </c>
      <c r="D28" s="4">
        <f t="shared" ref="D28:H28" si="19">2500*D26</f>
        <v>25000</v>
      </c>
      <c r="E28" s="4">
        <f t="shared" si="19"/>
        <v>20000</v>
      </c>
      <c r="F28" s="4">
        <f t="shared" si="19"/>
        <v>0</v>
      </c>
      <c r="G28" s="4">
        <f t="shared" si="19"/>
        <v>12500</v>
      </c>
      <c r="H28" s="4">
        <f t="shared" si="19"/>
        <v>0</v>
      </c>
      <c r="I28" s="238">
        <f>SUM(C28:H28)</f>
        <v>57500</v>
      </c>
    </row>
    <row r="29" spans="2:15">
      <c r="B29" s="127" t="s">
        <v>128</v>
      </c>
      <c r="C29" s="4">
        <f>1250*C27</f>
        <v>8750</v>
      </c>
      <c r="D29" s="4">
        <f t="shared" ref="D29:H29" si="20">1250*D27</f>
        <v>0</v>
      </c>
      <c r="E29" s="4">
        <f t="shared" si="20"/>
        <v>0</v>
      </c>
      <c r="F29" s="4">
        <f t="shared" si="20"/>
        <v>12500</v>
      </c>
      <c r="G29" s="4">
        <f t="shared" si="20"/>
        <v>0</v>
      </c>
      <c r="H29" s="4">
        <f t="shared" si="20"/>
        <v>6250</v>
      </c>
      <c r="I29" s="238">
        <f t="shared" ref="I29:I30" si="21">SUM(C29:H29)</f>
        <v>27500</v>
      </c>
    </row>
    <row r="30" spans="2:15">
      <c r="B30" s="127" t="s">
        <v>23</v>
      </c>
      <c r="C30" s="4">
        <f>(C25-C20)*2</f>
        <v>683.88516306844213</v>
      </c>
      <c r="D30" s="4">
        <f t="shared" ref="D30:H30" si="22">(D25-D20)*2</f>
        <v>1417.7018764454551</v>
      </c>
      <c r="E30" s="4">
        <f t="shared" si="22"/>
        <v>3835.7018764454551</v>
      </c>
      <c r="F30" s="4">
        <f t="shared" si="22"/>
        <v>1913.7018764454551</v>
      </c>
      <c r="G30" s="4">
        <f t="shared" si="22"/>
        <v>239.70187644545513</v>
      </c>
      <c r="H30" s="4">
        <f t="shared" si="22"/>
        <v>1649.7018764454551</v>
      </c>
      <c r="I30" s="238">
        <f t="shared" si="21"/>
        <v>9740.3945452957178</v>
      </c>
    </row>
    <row r="31" spans="2:15">
      <c r="B31" s="51" t="s">
        <v>270</v>
      </c>
      <c r="C31" s="51"/>
      <c r="D31" s="51"/>
      <c r="E31" s="51"/>
      <c r="F31" s="51"/>
      <c r="G31" s="51"/>
      <c r="H31" s="51"/>
      <c r="I31" s="239">
        <f>SUM(I28:I30)</f>
        <v>94740.394545295712</v>
      </c>
    </row>
    <row r="32" spans="2:15">
      <c r="O32" s="240"/>
    </row>
    <row r="33" spans="2:9">
      <c r="B33" s="6"/>
      <c r="C33" s="233"/>
      <c r="D33" s="267" t="s">
        <v>130</v>
      </c>
      <c r="E33" s="267"/>
      <c r="F33" s="267"/>
      <c r="G33" s="267"/>
      <c r="H33" s="267"/>
      <c r="I33" s="235"/>
    </row>
    <row r="34" spans="2:9">
      <c r="B34" s="127" t="s">
        <v>125</v>
      </c>
      <c r="C34" s="43">
        <v>20</v>
      </c>
      <c r="D34" s="43">
        <v>21</v>
      </c>
      <c r="E34" s="43">
        <v>22</v>
      </c>
      <c r="F34" s="43">
        <v>23</v>
      </c>
      <c r="G34" s="43">
        <v>24</v>
      </c>
      <c r="H34" s="43">
        <v>25</v>
      </c>
      <c r="I34" s="43" t="s">
        <v>19</v>
      </c>
    </row>
    <row r="35" spans="2:9">
      <c r="B35" s="127" t="s">
        <v>265</v>
      </c>
      <c r="C35" s="4">
        <f>'Capacity Planning'!C14</f>
        <v>6870.0344510794675</v>
      </c>
      <c r="D35" s="4">
        <f>'Capacity Planning'!D38</f>
        <v>23998.076774548153</v>
      </c>
      <c r="E35" s="4">
        <f>'Capacity Planning'!E38</f>
        <v>43102.076774548157</v>
      </c>
      <c r="F35" s="4">
        <f>'Capacity Planning'!F38</f>
        <v>27144.076774548153</v>
      </c>
      <c r="G35" s="4">
        <f>'Capacity Planning'!G38</f>
        <v>32079.076774548153</v>
      </c>
      <c r="H35" s="4">
        <f>'Capacity Planning'!H38</f>
        <v>27300.076774548153</v>
      </c>
      <c r="I35" s="4"/>
    </row>
    <row r="36" spans="2:9">
      <c r="B36" s="127" t="s">
        <v>124</v>
      </c>
      <c r="C36" s="4">
        <f>$O$7</f>
        <v>225</v>
      </c>
      <c r="D36" s="4">
        <f t="shared" ref="D36:H36" si="23">$O$7</f>
        <v>225</v>
      </c>
      <c r="E36" s="4">
        <f t="shared" si="23"/>
        <v>225</v>
      </c>
      <c r="F36" s="4">
        <f t="shared" si="23"/>
        <v>225</v>
      </c>
      <c r="G36" s="4">
        <f t="shared" si="23"/>
        <v>225</v>
      </c>
      <c r="H36" s="4">
        <f t="shared" si="23"/>
        <v>225</v>
      </c>
      <c r="I36" s="4"/>
    </row>
    <row r="37" spans="2:9">
      <c r="B37" s="127" t="s">
        <v>267</v>
      </c>
      <c r="C37" s="4">
        <v>10</v>
      </c>
      <c r="D37" s="4">
        <f>C38</f>
        <v>4</v>
      </c>
      <c r="E37" s="4">
        <f t="shared" ref="E37:H37" si="24">D38</f>
        <v>12</v>
      </c>
      <c r="F37" s="4">
        <f t="shared" si="24"/>
        <v>20</v>
      </c>
      <c r="G37" s="4">
        <f t="shared" si="24"/>
        <v>13</v>
      </c>
      <c r="H37" s="4">
        <f t="shared" si="24"/>
        <v>15</v>
      </c>
      <c r="I37" s="4"/>
    </row>
    <row r="38" spans="2:9">
      <c r="B38" s="127" t="s">
        <v>266</v>
      </c>
      <c r="C38" s="4">
        <f>ROUNDUP((C35/C39),0)</f>
        <v>4</v>
      </c>
      <c r="D38" s="4">
        <f t="shared" ref="D38:H38" si="25">ROUNDUP((D35/D39),0)</f>
        <v>12</v>
      </c>
      <c r="E38" s="4">
        <f t="shared" si="25"/>
        <v>20</v>
      </c>
      <c r="F38" s="4">
        <f t="shared" si="25"/>
        <v>13</v>
      </c>
      <c r="G38" s="4">
        <f t="shared" si="25"/>
        <v>15</v>
      </c>
      <c r="H38" s="4">
        <f t="shared" si="25"/>
        <v>13</v>
      </c>
      <c r="I38" s="4"/>
    </row>
    <row r="39" spans="2:9">
      <c r="B39" s="127" t="s">
        <v>129</v>
      </c>
      <c r="C39" s="4">
        <f>$P$7</f>
        <v>2175</v>
      </c>
      <c r="D39" s="4">
        <f t="shared" ref="D39:H39" si="26">$P$7</f>
        <v>2175</v>
      </c>
      <c r="E39" s="4">
        <f t="shared" si="26"/>
        <v>2175</v>
      </c>
      <c r="F39" s="4">
        <f t="shared" si="26"/>
        <v>2175</v>
      </c>
      <c r="G39" s="4">
        <f t="shared" si="26"/>
        <v>2175</v>
      </c>
      <c r="H39" s="4">
        <f t="shared" si="26"/>
        <v>2175</v>
      </c>
      <c r="I39" s="4"/>
    </row>
    <row r="40" spans="2:9">
      <c r="B40" s="127" t="s">
        <v>123</v>
      </c>
      <c r="C40" s="4">
        <f>C39*C38</f>
        <v>8700</v>
      </c>
      <c r="D40" s="4">
        <f>D39*D38</f>
        <v>26100</v>
      </c>
      <c r="E40" s="4">
        <f t="shared" ref="E40:H40" si="27">E39*E38</f>
        <v>43500</v>
      </c>
      <c r="F40" s="4">
        <f t="shared" si="27"/>
        <v>28275</v>
      </c>
      <c r="G40" s="4">
        <f t="shared" si="27"/>
        <v>32625</v>
      </c>
      <c r="H40" s="4">
        <f t="shared" si="27"/>
        <v>28275</v>
      </c>
      <c r="I40" s="4"/>
    </row>
    <row r="41" spans="2:9">
      <c r="B41" s="127" t="s">
        <v>268</v>
      </c>
      <c r="C41" s="4">
        <f>MAX(0,C38-C37)</f>
        <v>0</v>
      </c>
      <c r="D41" s="4">
        <f t="shared" ref="D41:H41" si="28">MAX(0,D38-D37)</f>
        <v>8</v>
      </c>
      <c r="E41" s="4">
        <f t="shared" si="28"/>
        <v>8</v>
      </c>
      <c r="F41" s="4">
        <f t="shared" si="28"/>
        <v>0</v>
      </c>
      <c r="G41" s="4">
        <f t="shared" si="28"/>
        <v>2</v>
      </c>
      <c r="H41" s="4">
        <f t="shared" si="28"/>
        <v>0</v>
      </c>
      <c r="I41" s="4"/>
    </row>
    <row r="42" spans="2:9">
      <c r="B42" s="127" t="s">
        <v>269</v>
      </c>
      <c r="C42" s="4">
        <f>MAX(0,C37-C38)</f>
        <v>6</v>
      </c>
      <c r="D42" s="4">
        <f t="shared" ref="D42:H42" si="29">MAX(0,D37-D38)</f>
        <v>0</v>
      </c>
      <c r="E42" s="4">
        <f t="shared" si="29"/>
        <v>0</v>
      </c>
      <c r="F42" s="4">
        <f t="shared" si="29"/>
        <v>7</v>
      </c>
      <c r="G42" s="4">
        <f t="shared" si="29"/>
        <v>0</v>
      </c>
      <c r="H42" s="4">
        <f t="shared" si="29"/>
        <v>2</v>
      </c>
      <c r="I42" s="4"/>
    </row>
    <row r="43" spans="2:9">
      <c r="B43" s="127" t="s">
        <v>126</v>
      </c>
      <c r="C43" s="4">
        <f>2500*C41</f>
        <v>0</v>
      </c>
      <c r="D43" s="4">
        <f t="shared" ref="D43:H43" si="30">2500*D41</f>
        <v>20000</v>
      </c>
      <c r="E43" s="4">
        <f t="shared" si="30"/>
        <v>20000</v>
      </c>
      <c r="F43" s="4">
        <f t="shared" si="30"/>
        <v>0</v>
      </c>
      <c r="G43" s="4">
        <f t="shared" si="30"/>
        <v>5000</v>
      </c>
      <c r="H43" s="4">
        <f t="shared" si="30"/>
        <v>0</v>
      </c>
      <c r="I43" s="238">
        <f>SUM(C43:H43)</f>
        <v>45000</v>
      </c>
    </row>
    <row r="44" spans="2:9">
      <c r="B44" s="127" t="s">
        <v>128</v>
      </c>
      <c r="C44" s="4">
        <f>1250*C42</f>
        <v>7500</v>
      </c>
      <c r="D44" s="4">
        <f t="shared" ref="D44:H44" si="31">1250*D42</f>
        <v>0</v>
      </c>
      <c r="E44" s="4">
        <f t="shared" si="31"/>
        <v>0</v>
      </c>
      <c r="F44" s="4">
        <f t="shared" si="31"/>
        <v>8750</v>
      </c>
      <c r="G44" s="4">
        <f t="shared" si="31"/>
        <v>0</v>
      </c>
      <c r="H44" s="4">
        <f t="shared" si="31"/>
        <v>2500</v>
      </c>
      <c r="I44" s="238">
        <f t="shared" ref="I44:I45" si="32">SUM(C44:H44)</f>
        <v>18750</v>
      </c>
    </row>
    <row r="45" spans="2:9">
      <c r="B45" s="127" t="s">
        <v>23</v>
      </c>
      <c r="C45" s="4">
        <f>(C40-C35)*2</f>
        <v>3659.9310978410649</v>
      </c>
      <c r="D45" s="4">
        <f>(D40-D35)*2</f>
        <v>4203.846450903693</v>
      </c>
      <c r="E45" s="4">
        <f t="shared" ref="E45:H45" si="33">(E40-E35)*2</f>
        <v>795.84645090368576</v>
      </c>
      <c r="F45" s="4">
        <f t="shared" si="33"/>
        <v>2261.846450903693</v>
      </c>
      <c r="G45" s="4">
        <f t="shared" si="33"/>
        <v>1091.846450903693</v>
      </c>
      <c r="H45" s="4">
        <f t="shared" si="33"/>
        <v>1949.846450903693</v>
      </c>
      <c r="I45" s="238">
        <f t="shared" si="32"/>
        <v>13963.163352359523</v>
      </c>
    </row>
    <row r="46" spans="2:9">
      <c r="B46" s="51" t="s">
        <v>270</v>
      </c>
      <c r="C46" s="51"/>
      <c r="D46" s="51"/>
      <c r="E46" s="51"/>
      <c r="F46" s="51"/>
      <c r="G46" s="51"/>
      <c r="H46" s="51"/>
      <c r="I46" s="239">
        <f>SUM(I43:I45)</f>
        <v>77713.163352359523</v>
      </c>
    </row>
    <row r="48" spans="2:9">
      <c r="B48" s="6"/>
      <c r="C48" s="233"/>
      <c r="D48" s="267" t="s">
        <v>127</v>
      </c>
      <c r="E48" s="267"/>
      <c r="F48" s="267"/>
      <c r="G48" s="267"/>
      <c r="H48" s="267"/>
      <c r="I48" s="235"/>
    </row>
    <row r="49" spans="2:9">
      <c r="B49" s="127" t="s">
        <v>125</v>
      </c>
      <c r="C49" s="43">
        <v>20</v>
      </c>
      <c r="D49" s="43">
        <v>21</v>
      </c>
      <c r="E49" s="43">
        <v>22</v>
      </c>
      <c r="F49" s="43">
        <v>23</v>
      </c>
      <c r="G49" s="43">
        <v>24</v>
      </c>
      <c r="H49" s="43">
        <v>25</v>
      </c>
      <c r="I49" s="43" t="s">
        <v>19</v>
      </c>
    </row>
    <row r="50" spans="2:9">
      <c r="B50" s="127" t="s">
        <v>265</v>
      </c>
      <c r="C50" s="4">
        <f>'Capacity Planning'!C17</f>
        <v>9618.0344510794675</v>
      </c>
      <c r="D50" s="4">
        <f>'Capacity Planning'!D39</f>
        <v>15170.115111203469</v>
      </c>
      <c r="E50" s="4">
        <f>'Capacity Planning'!E39</f>
        <v>38438.115111203471</v>
      </c>
      <c r="F50" s="4">
        <f>'Capacity Planning'!F39</f>
        <v>10440.115111203469</v>
      </c>
      <c r="G50" s="4">
        <f>'Capacity Planning'!G39</f>
        <v>23487.115111203471</v>
      </c>
      <c r="H50" s="4">
        <f>'Capacity Planning'!H39</f>
        <v>10500.115111203469</v>
      </c>
      <c r="I50" s="4"/>
    </row>
    <row r="51" spans="2:9">
      <c r="B51" s="127" t="s">
        <v>124</v>
      </c>
      <c r="C51" s="4">
        <f>$O$8</f>
        <v>200</v>
      </c>
      <c r="D51" s="4">
        <f t="shared" ref="D51:H51" si="34">$O$8</f>
        <v>200</v>
      </c>
      <c r="E51" s="4">
        <f t="shared" si="34"/>
        <v>200</v>
      </c>
      <c r="F51" s="4">
        <f t="shared" si="34"/>
        <v>200</v>
      </c>
      <c r="G51" s="4">
        <f t="shared" si="34"/>
        <v>200</v>
      </c>
      <c r="H51" s="4">
        <f t="shared" si="34"/>
        <v>200</v>
      </c>
      <c r="I51" s="4"/>
    </row>
    <row r="52" spans="2:9">
      <c r="B52" s="127" t="s">
        <v>267</v>
      </c>
      <c r="C52" s="4">
        <v>5</v>
      </c>
      <c r="D52" s="4">
        <f>C53</f>
        <v>5</v>
      </c>
      <c r="E52" s="4">
        <f t="shared" ref="E52:H52" si="35">D53</f>
        <v>7</v>
      </c>
      <c r="F52" s="4">
        <f t="shared" si="35"/>
        <v>18</v>
      </c>
      <c r="G52" s="4">
        <f t="shared" si="35"/>
        <v>5</v>
      </c>
      <c r="H52" s="4">
        <f t="shared" si="35"/>
        <v>11</v>
      </c>
      <c r="I52" s="4"/>
    </row>
    <row r="53" spans="2:9">
      <c r="B53" s="127" t="s">
        <v>266</v>
      </c>
      <c r="C53" s="4">
        <f>ROUNDUP((C50/C54),0)</f>
        <v>5</v>
      </c>
      <c r="D53" s="4">
        <f t="shared" ref="D53:H53" si="36">ROUNDUP((D50/D54),0)</f>
        <v>7</v>
      </c>
      <c r="E53" s="4">
        <f t="shared" si="36"/>
        <v>18</v>
      </c>
      <c r="F53" s="4">
        <f t="shared" si="36"/>
        <v>5</v>
      </c>
      <c r="G53" s="4">
        <f t="shared" si="36"/>
        <v>11</v>
      </c>
      <c r="H53" s="4">
        <f t="shared" si="36"/>
        <v>5</v>
      </c>
      <c r="I53" s="4"/>
    </row>
    <row r="54" spans="2:9">
      <c r="B54" s="127" t="s">
        <v>129</v>
      </c>
      <c r="C54" s="4">
        <f>$P$8</f>
        <v>2200</v>
      </c>
      <c r="D54" s="4">
        <f t="shared" ref="D54:H54" si="37">$P$8</f>
        <v>2200</v>
      </c>
      <c r="E54" s="4">
        <f t="shared" si="37"/>
        <v>2200</v>
      </c>
      <c r="F54" s="4">
        <f t="shared" si="37"/>
        <v>2200</v>
      </c>
      <c r="G54" s="4">
        <f t="shared" si="37"/>
        <v>2200</v>
      </c>
      <c r="H54" s="4">
        <f t="shared" si="37"/>
        <v>2200</v>
      </c>
      <c r="I54" s="4"/>
    </row>
    <row r="55" spans="2:9">
      <c r="B55" s="127" t="s">
        <v>123</v>
      </c>
      <c r="C55" s="4">
        <f>C54*C53</f>
        <v>11000</v>
      </c>
      <c r="D55" s="4">
        <f t="shared" ref="D55:G55" si="38">D54*D53</f>
        <v>15400</v>
      </c>
      <c r="E55" s="4">
        <f t="shared" si="38"/>
        <v>39600</v>
      </c>
      <c r="F55" s="4">
        <f>F54*F53</f>
        <v>11000</v>
      </c>
      <c r="G55" s="4">
        <f t="shared" si="38"/>
        <v>24200</v>
      </c>
      <c r="H55" s="4">
        <f>H54*H53</f>
        <v>11000</v>
      </c>
      <c r="I55" s="4"/>
    </row>
    <row r="56" spans="2:9">
      <c r="B56" s="127" t="s">
        <v>268</v>
      </c>
      <c r="C56" s="4">
        <f>MAX(0,C53-C52)</f>
        <v>0</v>
      </c>
      <c r="D56" s="4">
        <f t="shared" ref="D56:H56" si="39">MAX(0,D53-D52)</f>
        <v>2</v>
      </c>
      <c r="E56" s="4">
        <f t="shared" si="39"/>
        <v>11</v>
      </c>
      <c r="F56" s="4">
        <f t="shared" si="39"/>
        <v>0</v>
      </c>
      <c r="G56" s="4">
        <f t="shared" si="39"/>
        <v>6</v>
      </c>
      <c r="H56" s="4">
        <f t="shared" si="39"/>
        <v>0</v>
      </c>
      <c r="I56" s="4"/>
    </row>
    <row r="57" spans="2:9">
      <c r="B57" s="127" t="s">
        <v>269</v>
      </c>
      <c r="C57" s="4">
        <f>MAX(0,C52-C53)</f>
        <v>0</v>
      </c>
      <c r="D57" s="4">
        <f t="shared" ref="D57:H57" si="40">MAX(0,D52-D53)</f>
        <v>0</v>
      </c>
      <c r="E57" s="4">
        <f t="shared" si="40"/>
        <v>0</v>
      </c>
      <c r="F57" s="4">
        <f t="shared" si="40"/>
        <v>13</v>
      </c>
      <c r="G57" s="4">
        <f t="shared" si="40"/>
        <v>0</v>
      </c>
      <c r="H57" s="4">
        <f t="shared" si="40"/>
        <v>6</v>
      </c>
      <c r="I57" s="4"/>
    </row>
    <row r="58" spans="2:9">
      <c r="B58" s="127" t="s">
        <v>126</v>
      </c>
      <c r="C58" s="4">
        <f>2500*C56</f>
        <v>0</v>
      </c>
      <c r="D58" s="4">
        <f t="shared" ref="D58:H58" si="41">2500*D56</f>
        <v>5000</v>
      </c>
      <c r="E58" s="4">
        <f t="shared" si="41"/>
        <v>27500</v>
      </c>
      <c r="F58" s="4">
        <f t="shared" si="41"/>
        <v>0</v>
      </c>
      <c r="G58" s="4">
        <f t="shared" si="41"/>
        <v>15000</v>
      </c>
      <c r="H58" s="4">
        <f t="shared" si="41"/>
        <v>0</v>
      </c>
      <c r="I58" s="238">
        <f>SUM(C58:H58)</f>
        <v>47500</v>
      </c>
    </row>
    <row r="59" spans="2:9">
      <c r="B59" s="127" t="s">
        <v>128</v>
      </c>
      <c r="C59" s="4">
        <f>1250*C57</f>
        <v>0</v>
      </c>
      <c r="D59" s="4">
        <f t="shared" ref="D59:H59" si="42">1250*D57</f>
        <v>0</v>
      </c>
      <c r="E59" s="4">
        <f t="shared" si="42"/>
        <v>0</v>
      </c>
      <c r="F59" s="4">
        <f t="shared" si="42"/>
        <v>16250</v>
      </c>
      <c r="G59" s="4">
        <f t="shared" si="42"/>
        <v>0</v>
      </c>
      <c r="H59" s="4">
        <f t="shared" si="42"/>
        <v>7500</v>
      </c>
      <c r="I59" s="238">
        <f t="shared" ref="I59:I60" si="43">SUM(C59:H59)</f>
        <v>23750</v>
      </c>
    </row>
    <row r="60" spans="2:9">
      <c r="B60" s="127" t="s">
        <v>23</v>
      </c>
      <c r="C60" s="4">
        <f>(C55-C50)*2</f>
        <v>2763.9310978410649</v>
      </c>
      <c r="D60" s="4">
        <f t="shared" ref="D60:H60" si="44">(D55-D50)*2</f>
        <v>459.76977759306101</v>
      </c>
      <c r="E60" s="4">
        <f t="shared" si="44"/>
        <v>2323.7697775930574</v>
      </c>
      <c r="F60" s="4">
        <f t="shared" si="44"/>
        <v>1119.769777593061</v>
      </c>
      <c r="G60" s="4">
        <f t="shared" si="44"/>
        <v>1425.7697775930574</v>
      </c>
      <c r="H60" s="4">
        <f t="shared" si="44"/>
        <v>999.76977759306101</v>
      </c>
      <c r="I60" s="238">
        <f t="shared" si="43"/>
        <v>9092.7799858063627</v>
      </c>
    </row>
    <row r="61" spans="2:9">
      <c r="B61" s="51" t="s">
        <v>270</v>
      </c>
      <c r="C61" s="51"/>
      <c r="D61" s="51"/>
      <c r="E61" s="51"/>
      <c r="F61" s="51"/>
      <c r="G61" s="51"/>
      <c r="H61" s="51"/>
      <c r="I61" s="239">
        <f>SUM(I58:I60)</f>
        <v>80342.779985806366</v>
      </c>
    </row>
  </sheetData>
  <mergeCells count="5">
    <mergeCell ref="L3:P3"/>
    <mergeCell ref="D3:H3"/>
    <mergeCell ref="D18:H18"/>
    <mergeCell ref="D33:H33"/>
    <mergeCell ref="D48:H4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25"/>
  <sheetViews>
    <sheetView workbookViewId="0">
      <selection activeCell="B22" sqref="B22"/>
    </sheetView>
  </sheetViews>
  <sheetFormatPr baseColWidth="10" defaultRowHeight="15" x14ac:dyDescent="0"/>
  <cols>
    <col min="2" max="2" width="18.33203125" bestFit="1" customWidth="1"/>
    <col min="3" max="4" width="12.83203125" bestFit="1" customWidth="1"/>
    <col min="5" max="5" width="16.83203125" bestFit="1" customWidth="1"/>
    <col min="6" max="6" width="12.83203125" bestFit="1" customWidth="1"/>
    <col min="7" max="7" width="12.83203125" customWidth="1"/>
    <col min="9" max="9" width="12.5" bestFit="1" customWidth="1"/>
  </cols>
  <sheetData>
    <row r="4" spans="2:9">
      <c r="B4" s="234" t="s">
        <v>132</v>
      </c>
      <c r="C4" s="238">
        <f>Scheduling!I16</f>
        <v>74600.53899007781</v>
      </c>
    </row>
    <row r="5" spans="2:9">
      <c r="B5" s="234" t="s">
        <v>131</v>
      </c>
      <c r="C5" s="238">
        <f>Scheduling!I31</f>
        <v>94740.394545295712</v>
      </c>
    </row>
    <row r="6" spans="2:9">
      <c r="B6" s="234" t="s">
        <v>130</v>
      </c>
      <c r="C6" s="238">
        <f>Scheduling!I46</f>
        <v>77713.163352359523</v>
      </c>
    </row>
    <row r="7" spans="2:9">
      <c r="B7" s="234" t="s">
        <v>127</v>
      </c>
      <c r="C7" s="238">
        <f>Scheduling!I61</f>
        <v>80342.779985806366</v>
      </c>
    </row>
    <row r="8" spans="2:9">
      <c r="B8" s="234" t="s">
        <v>19</v>
      </c>
      <c r="C8" s="238">
        <f>SUM(C4:C7)</f>
        <v>327396.87687353941</v>
      </c>
    </row>
    <row r="10" spans="2:9">
      <c r="B10" s="111" t="s">
        <v>134</v>
      </c>
      <c r="C10" s="111">
        <v>21</v>
      </c>
      <c r="D10" s="111">
        <v>22</v>
      </c>
      <c r="E10" s="111">
        <v>23</v>
      </c>
      <c r="F10" s="111">
        <v>24</v>
      </c>
      <c r="G10" s="111">
        <v>25</v>
      </c>
      <c r="H10" s="111" t="s">
        <v>286</v>
      </c>
      <c r="I10" s="111" t="s">
        <v>19</v>
      </c>
    </row>
    <row r="11" spans="2:9">
      <c r="B11" s="49" t="s">
        <v>135</v>
      </c>
      <c r="C11" s="4">
        <f>MPS!C3</f>
        <v>1846</v>
      </c>
      <c r="D11" s="4">
        <f>MPS!D3</f>
        <v>2064</v>
      </c>
      <c r="E11" s="4">
        <f>MPS!E3</f>
        <v>2088</v>
      </c>
      <c r="F11" s="4">
        <f>MPS!F3</f>
        <v>2073</v>
      </c>
      <c r="G11" s="4">
        <f>MPS!G3</f>
        <v>2100</v>
      </c>
      <c r="H11" s="4">
        <f>SUM(C11:G11)</f>
        <v>10171</v>
      </c>
      <c r="I11" s="238">
        <f>C18*H11</f>
        <v>233933</v>
      </c>
    </row>
    <row r="12" spans="2:9">
      <c r="B12" s="50" t="s">
        <v>136</v>
      </c>
      <c r="C12" s="4">
        <f>MPS!C4</f>
        <v>0</v>
      </c>
      <c r="D12" s="4">
        <f>MPS!D4</f>
        <v>977</v>
      </c>
      <c r="E12" s="4">
        <f>MPS!E4</f>
        <v>0</v>
      </c>
      <c r="F12" s="4">
        <f>MPS!F4</f>
        <v>513</v>
      </c>
      <c r="G12" s="4">
        <f>MPS!G4</f>
        <v>0</v>
      </c>
      <c r="H12" s="4">
        <f t="shared" ref="H12:H14" si="0">SUM(C12:G12)</f>
        <v>1490</v>
      </c>
      <c r="I12" s="238">
        <f>D18*H12</f>
        <v>32780</v>
      </c>
    </row>
    <row r="13" spans="2:9">
      <c r="B13" s="51" t="s">
        <v>137</v>
      </c>
      <c r="C13" s="4">
        <f>MPS!C5</f>
        <v>0</v>
      </c>
      <c r="D13" s="4">
        <f>MPS!D5</f>
        <v>500</v>
      </c>
      <c r="E13" s="4">
        <f>MPS!E5</f>
        <v>0</v>
      </c>
      <c r="F13" s="4">
        <f>MPS!F5</f>
        <v>0</v>
      </c>
      <c r="G13" s="4">
        <f>MPS!G5</f>
        <v>0</v>
      </c>
      <c r="H13" s="4">
        <f t="shared" si="0"/>
        <v>500</v>
      </c>
      <c r="I13" s="238">
        <f>E18*H13</f>
        <v>6000</v>
      </c>
    </row>
    <row r="14" spans="2:9">
      <c r="B14" s="241" t="s">
        <v>138</v>
      </c>
      <c r="C14" s="4">
        <f>MPS!C6</f>
        <v>660</v>
      </c>
      <c r="D14" s="4">
        <f>MPS!D6</f>
        <v>660</v>
      </c>
      <c r="E14" s="4">
        <f>MPS!E6</f>
        <v>0</v>
      </c>
      <c r="F14" s="4">
        <f>MPS!F6</f>
        <v>660</v>
      </c>
      <c r="G14" s="4">
        <f>MPS!G6</f>
        <v>0</v>
      </c>
      <c r="H14" s="4">
        <f t="shared" si="0"/>
        <v>1980</v>
      </c>
      <c r="I14" s="238">
        <f>F18*H14</f>
        <v>17820</v>
      </c>
    </row>
    <row r="15" spans="2:9">
      <c r="B15" s="111" t="s">
        <v>19</v>
      </c>
      <c r="C15" s="4"/>
      <c r="D15" s="4"/>
      <c r="E15" s="4"/>
      <c r="F15" s="4"/>
      <c r="G15" s="4"/>
      <c r="H15" s="4"/>
      <c r="I15" s="238">
        <f>SUM(I11:I14)</f>
        <v>290533</v>
      </c>
    </row>
    <row r="17" spans="2:6">
      <c r="B17" s="111"/>
      <c r="C17" s="111" t="s">
        <v>83</v>
      </c>
      <c r="D17" s="111" t="s">
        <v>88</v>
      </c>
      <c r="E17" s="111" t="s">
        <v>92</v>
      </c>
      <c r="F17" s="111" t="s">
        <v>96</v>
      </c>
    </row>
    <row r="18" spans="2:6">
      <c r="B18" s="4" t="s">
        <v>285</v>
      </c>
      <c r="C18" s="4">
        <v>23</v>
      </c>
      <c r="D18" s="4">
        <v>22</v>
      </c>
      <c r="E18" s="4">
        <v>12</v>
      </c>
      <c r="F18" s="4">
        <v>9</v>
      </c>
    </row>
    <row r="22" spans="2:6" ht="40">
      <c r="D22" s="243" t="s">
        <v>287</v>
      </c>
      <c r="E22" s="242">
        <f>C8+I15</f>
        <v>617929.87687353941</v>
      </c>
    </row>
    <row r="25" spans="2:6">
      <c r="E25" s="240">
        <v>617929.88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Forecasting P-1</vt:lpstr>
      <vt:lpstr>Agregate Planning P-1</vt:lpstr>
      <vt:lpstr>AR-1</vt:lpstr>
      <vt:lpstr>Linear regression_HID</vt:lpstr>
      <vt:lpstr>Linear regression_HID1</vt:lpstr>
      <vt:lpstr>Linear regression1_HID</vt:lpstr>
      <vt:lpstr>Linear regression1_HID1</vt:lpstr>
      <vt:lpstr>Forecasting P-2</vt:lpstr>
      <vt:lpstr>Aggregate Planning P-2</vt:lpstr>
      <vt:lpstr>AR-2</vt:lpstr>
      <vt:lpstr>Forecasting P-3</vt:lpstr>
      <vt:lpstr>Aggregate Planning P-3</vt:lpstr>
      <vt:lpstr>AR-3</vt:lpstr>
      <vt:lpstr>Forecasting P-4</vt:lpstr>
      <vt:lpstr>Aggregte Planning P-4</vt:lpstr>
      <vt:lpstr>AR-4</vt:lpstr>
      <vt:lpstr>MRP</vt:lpstr>
      <vt:lpstr>MPS</vt:lpstr>
      <vt:lpstr>Capacity Planning</vt:lpstr>
      <vt:lpstr>Scheduling</vt:lpstr>
      <vt:lpstr>Total Cost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Marquez</dc:creator>
  <cp:lastModifiedBy>Juan Carlos Marquez</cp:lastModifiedBy>
  <dcterms:created xsi:type="dcterms:W3CDTF">2018-10-14T20:05:35Z</dcterms:created>
  <dcterms:modified xsi:type="dcterms:W3CDTF">2018-12-06T19:39:19Z</dcterms:modified>
</cp:coreProperties>
</file>