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71e3ea82e1acf8d1/Desktop/"/>
    </mc:Choice>
  </mc:AlternateContent>
  <xr:revisionPtr revIDLastSave="0" documentId="8_{4B469542-3A63-4ED8-A01F-87770BF1DCC1}" xr6:coauthVersionLast="47" xr6:coauthVersionMax="47" xr10:uidLastSave="{00000000-0000-0000-0000-000000000000}"/>
  <bookViews>
    <workbookView xWindow="-108" yWindow="-108" windowWidth="23256" windowHeight="12456" xr2:uid="{FEC8DFC1-5012-4FC6-8138-9608F26D145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L49" i="1" l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B49" i="1"/>
  <c r="B41" i="1"/>
  <c r="B40" i="1"/>
  <c r="B39" i="1"/>
  <c r="B38" i="1"/>
  <c r="B37" i="1"/>
  <c r="B36" i="1"/>
  <c r="B35" i="1"/>
  <c r="B34" i="1"/>
  <c r="B33" i="1"/>
  <c r="B32" i="1"/>
  <c r="B42" i="1" s="1"/>
  <c r="J39" i="1" s="1"/>
  <c r="AL27" i="1"/>
  <c r="AK25" i="1"/>
  <c r="AJ25" i="1"/>
  <c r="AI25" i="1"/>
  <c r="AN25" i="1" s="1"/>
  <c r="AK24" i="1"/>
  <c r="AK49" i="1" s="1"/>
  <c r="AJ24" i="1"/>
  <c r="B53" i="1" s="1"/>
  <c r="AI24" i="1"/>
  <c r="AN24" i="1" s="1"/>
  <c r="AK23" i="1"/>
  <c r="AJ23" i="1"/>
  <c r="AI23" i="1"/>
  <c r="AN23" i="1" s="1"/>
  <c r="AK22" i="1"/>
  <c r="AJ22" i="1"/>
  <c r="AI22" i="1"/>
  <c r="AN22" i="1" s="1"/>
  <c r="AK21" i="1"/>
  <c r="AJ21" i="1"/>
  <c r="AI21" i="1"/>
  <c r="AN21" i="1" s="1"/>
  <c r="AK20" i="1"/>
  <c r="AJ20" i="1"/>
  <c r="AI20" i="1"/>
  <c r="AN20" i="1" s="1"/>
  <c r="AK19" i="1"/>
  <c r="AJ19" i="1"/>
  <c r="AI19" i="1"/>
  <c r="AN19" i="1" s="1"/>
  <c r="AK18" i="1"/>
  <c r="AJ18" i="1"/>
  <c r="AI18" i="1"/>
  <c r="AN18" i="1" s="1"/>
  <c r="AK17" i="1"/>
  <c r="AJ17" i="1"/>
  <c r="AI17" i="1"/>
  <c r="AN17" i="1" s="1"/>
  <c r="AK16" i="1"/>
  <c r="AJ16" i="1"/>
  <c r="AI16" i="1"/>
  <c r="AN16" i="1" s="1"/>
  <c r="AK15" i="1"/>
  <c r="AJ15" i="1"/>
  <c r="AI15" i="1"/>
  <c r="AN15" i="1" s="1"/>
  <c r="AK14" i="1"/>
  <c r="AJ14" i="1"/>
  <c r="AI14" i="1"/>
  <c r="AN14" i="1" s="1"/>
  <c r="AK13" i="1"/>
  <c r="AJ13" i="1"/>
  <c r="AI13" i="1"/>
  <c r="AN13" i="1" s="1"/>
  <c r="AK12" i="1"/>
  <c r="AJ12" i="1"/>
  <c r="AI12" i="1"/>
  <c r="AN12" i="1" s="1"/>
  <c r="AK11" i="1"/>
  <c r="AJ11" i="1"/>
  <c r="AI11" i="1"/>
  <c r="AN11" i="1" s="1"/>
  <c r="AK10" i="1"/>
  <c r="AJ10" i="1"/>
  <c r="AI10" i="1"/>
  <c r="AN10" i="1" s="1"/>
  <c r="AK9" i="1"/>
  <c r="AJ9" i="1"/>
  <c r="AI9" i="1"/>
  <c r="AM9" i="1" s="1"/>
  <c r="AK8" i="1"/>
  <c r="AJ8" i="1"/>
  <c r="AI8" i="1"/>
  <c r="AN8" i="1" s="1"/>
  <c r="AK7" i="1"/>
  <c r="AJ7" i="1"/>
  <c r="AI7" i="1"/>
  <c r="AN7" i="1" s="1"/>
  <c r="AK6" i="1"/>
  <c r="AK27" i="1" s="1"/>
  <c r="AJ6" i="1"/>
  <c r="J33" i="1" s="1"/>
  <c r="AI6" i="1"/>
  <c r="AM6" i="1" s="1"/>
  <c r="AO18" i="1" l="1"/>
  <c r="AN49" i="1"/>
  <c r="AO12" i="1"/>
  <c r="AP6" i="1"/>
  <c r="AQ6" i="1" s="1"/>
  <c r="AP7" i="1"/>
  <c r="AP8" i="1"/>
  <c r="AP9" i="1"/>
  <c r="AQ9" i="1" s="1"/>
  <c r="AP10" i="1"/>
  <c r="AQ10" i="1" s="1"/>
  <c r="AP11" i="1"/>
  <c r="AQ11" i="1" s="1"/>
  <c r="AP12" i="1"/>
  <c r="AQ12" i="1" s="1"/>
  <c r="AP13" i="1"/>
  <c r="AQ13" i="1" s="1"/>
  <c r="AP14" i="1"/>
  <c r="AQ14" i="1" s="1"/>
  <c r="AP15" i="1"/>
  <c r="AQ15" i="1" s="1"/>
  <c r="AP16" i="1"/>
  <c r="AQ16" i="1" s="1"/>
  <c r="AP17" i="1"/>
  <c r="AQ17" i="1" s="1"/>
  <c r="AP18" i="1"/>
  <c r="AQ18" i="1" s="1"/>
  <c r="AP19" i="1"/>
  <c r="AQ19" i="1" s="1"/>
  <c r="AP20" i="1"/>
  <c r="AQ20" i="1" s="1"/>
  <c r="AP21" i="1"/>
  <c r="AQ21" i="1" s="1"/>
  <c r="AP22" i="1"/>
  <c r="AQ22" i="1" s="1"/>
  <c r="AP23" i="1"/>
  <c r="AQ23" i="1" s="1"/>
  <c r="AP24" i="1"/>
  <c r="AP25" i="1"/>
  <c r="AQ25" i="1" s="1"/>
  <c r="J31" i="1"/>
  <c r="AJ27" i="1"/>
  <c r="J32" i="1"/>
  <c r="AM8" i="1"/>
  <c r="AO8" i="1" s="1"/>
  <c r="AM10" i="1"/>
  <c r="AO10" i="1" s="1"/>
  <c r="AM13" i="1"/>
  <c r="AO13" i="1" s="1"/>
  <c r="AM14" i="1"/>
  <c r="AO14" i="1" s="1"/>
  <c r="AM15" i="1"/>
  <c r="AO15" i="1" s="1"/>
  <c r="AM16" i="1"/>
  <c r="AO16" i="1" s="1"/>
  <c r="AM17" i="1"/>
  <c r="AO17" i="1" s="1"/>
  <c r="AM18" i="1"/>
  <c r="AM19" i="1"/>
  <c r="AO19" i="1" s="1"/>
  <c r="AM22" i="1"/>
  <c r="AO22" i="1" s="1"/>
  <c r="AM23" i="1"/>
  <c r="AO23" i="1" s="1"/>
  <c r="AM24" i="1"/>
  <c r="AM49" i="1" s="1"/>
  <c r="AM25" i="1"/>
  <c r="AO25" i="1" s="1"/>
  <c r="AI49" i="1"/>
  <c r="AI27" i="1"/>
  <c r="AM7" i="1"/>
  <c r="AM27" i="1" s="1"/>
  <c r="AM11" i="1"/>
  <c r="AO11" i="1" s="1"/>
  <c r="AM21" i="1"/>
  <c r="AO21" i="1" s="1"/>
  <c r="AN6" i="1"/>
  <c r="AN9" i="1"/>
  <c r="AO9" i="1" s="1"/>
  <c r="AJ49" i="1"/>
  <c r="B52" i="1"/>
  <c r="AM12" i="1"/>
  <c r="AM20" i="1"/>
  <c r="AO20" i="1" s="1"/>
  <c r="AP49" i="1" l="1"/>
  <c r="AQ24" i="1"/>
  <c r="AQ49" i="1" s="1"/>
  <c r="AQ8" i="1"/>
  <c r="AQ7" i="1"/>
  <c r="AO24" i="1"/>
  <c r="AO49" i="1" s="1"/>
  <c r="AO7" i="1"/>
  <c r="AN27" i="1"/>
  <c r="J34" i="1" s="1"/>
  <c r="AO6" i="1"/>
  <c r="J36" i="1" l="1"/>
  <c r="J40" i="1"/>
  <c r="J35" i="1"/>
  <c r="AO27" i="1"/>
</calcChain>
</file>

<file path=xl/sharedStrings.xml><?xml version="1.0" encoding="utf-8"?>
<sst xmlns="http://schemas.openxmlformats.org/spreadsheetml/2006/main" count="780" uniqueCount="70">
  <si>
    <t>AUGUST MONTH ATTENDANCE  MANAGEMENT</t>
  </si>
  <si>
    <t>DAYS</t>
  </si>
  <si>
    <t>FRIDAY</t>
  </si>
  <si>
    <t>SATURDAY</t>
  </si>
  <si>
    <t>SUNDAY</t>
  </si>
  <si>
    <t>MONDAY</t>
  </si>
  <si>
    <t>TUESDAY</t>
  </si>
  <si>
    <t>WEDNESDAY</t>
  </si>
  <si>
    <t>THURSDAY</t>
  </si>
  <si>
    <t xml:space="preserve">DATE </t>
  </si>
  <si>
    <t>TOTAL WORKING DAYS IN A MONTH</t>
  </si>
  <si>
    <t>PRESENT/ABSENT</t>
  </si>
  <si>
    <t>BASE PAY</t>
  </si>
  <si>
    <t>PER DAY SALARY (Rs.)</t>
  </si>
  <si>
    <t>EMPLOYEES SALARY (Rs.)</t>
  </si>
  <si>
    <t>INCENTIVES</t>
  </si>
  <si>
    <t>TOTAL SALARY</t>
  </si>
  <si>
    <t>PERFORMANCE (%)</t>
  </si>
  <si>
    <t>RATING</t>
  </si>
  <si>
    <t>EMPLOYEES NAME</t>
  </si>
  <si>
    <t>ROLE</t>
  </si>
  <si>
    <t>P</t>
  </si>
  <si>
    <t>A</t>
  </si>
  <si>
    <t>Rani Kumar</t>
  </si>
  <si>
    <t>Associates</t>
  </si>
  <si>
    <t>LA</t>
  </si>
  <si>
    <t>Ravi Kumar</t>
  </si>
  <si>
    <t>Jothi Krishnan</t>
  </si>
  <si>
    <t>Web Designer</t>
  </si>
  <si>
    <t>Dharshini</t>
  </si>
  <si>
    <t>Technical Analyst</t>
  </si>
  <si>
    <t>Harsha</t>
  </si>
  <si>
    <t>Developer</t>
  </si>
  <si>
    <t>Priya Dharshini</t>
  </si>
  <si>
    <t>Data Analyst</t>
  </si>
  <si>
    <t>Gomathi</t>
  </si>
  <si>
    <t>Ruba</t>
  </si>
  <si>
    <t>Siva Kumar</t>
  </si>
  <si>
    <t>Business Analyst</t>
  </si>
  <si>
    <t>Karthik</t>
  </si>
  <si>
    <t>Manager</t>
  </si>
  <si>
    <t>Renu Maha</t>
  </si>
  <si>
    <t>Human Resource (HR)</t>
  </si>
  <si>
    <t>Maha Shree</t>
  </si>
  <si>
    <t>Quality Analyst</t>
  </si>
  <si>
    <t>Sri Devi</t>
  </si>
  <si>
    <t>Chithra</t>
  </si>
  <si>
    <t>Shabi Keerthi</t>
  </si>
  <si>
    <t>Subject Matter Expert (SME)</t>
  </si>
  <si>
    <t>Sowbi</t>
  </si>
  <si>
    <t>Sridhar</t>
  </si>
  <si>
    <t>Abirami</t>
  </si>
  <si>
    <t>Kavin</t>
  </si>
  <si>
    <t>Sadhana</t>
  </si>
  <si>
    <t>GRAND TOTAL</t>
  </si>
  <si>
    <t>Role of Employees</t>
  </si>
  <si>
    <t>Total Role</t>
  </si>
  <si>
    <t>Total  No of Working Employees</t>
  </si>
  <si>
    <t>Average of Present Employees</t>
  </si>
  <si>
    <t>Average of Absent Employees</t>
  </si>
  <si>
    <t>Providing Salary</t>
  </si>
  <si>
    <t>Average Salary</t>
  </si>
  <si>
    <t>Minimum Salary</t>
  </si>
  <si>
    <t xml:space="preserve">Total Working Days </t>
  </si>
  <si>
    <t>Total Salary without Absent</t>
  </si>
  <si>
    <t>20 employees in 26 working days</t>
  </si>
  <si>
    <t>Maximum Salary</t>
  </si>
  <si>
    <t>Total Employees</t>
  </si>
  <si>
    <t>Total Present</t>
  </si>
  <si>
    <t>Total Absent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</si>
</sst>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₹-4009]\ #,##0.00"/>
    <numFmt numFmtId="165" formatCode="[$INR]\ #,##0.00"/>
    <numFmt numFmtId="166" formatCode="[$₹-449]\ #,##0.00"/>
  </numFmts>
  <fonts count="1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20"/>
      <color theme="8" tint="-0.499984740745262"/>
      <name val="Aptos Narrow"/>
      <family val="2"/>
      <scheme val="minor"/>
    </font>
    <font>
      <b/>
      <sz val="20"/>
      <color theme="4" tint="-0.499984740745262"/>
      <name val="Aptos Narrow"/>
      <family val="2"/>
      <scheme val="minor"/>
    </font>
    <font>
      <b/>
      <sz val="14"/>
      <color theme="9" tint="-0.249977111117893"/>
      <name val="Aptos Narrow"/>
      <family val="2"/>
      <scheme val="minor"/>
    </font>
    <font>
      <b/>
      <sz val="14"/>
      <color rgb="FFFF0000"/>
      <name val="Aptos Narrow"/>
      <family val="2"/>
      <scheme val="minor"/>
    </font>
    <font>
      <b/>
      <sz val="11"/>
      <color rgb="FF002060"/>
      <name val="Aptos Narrow"/>
      <family val="2"/>
      <scheme val="minor"/>
    </font>
    <font>
      <sz val="11"/>
      <name val="Aptos Narrow"/>
      <family val="2"/>
      <scheme val="minor"/>
    </font>
    <font>
      <b/>
      <sz val="14"/>
      <color theme="0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0">
    <xf numFmtId="0" fontId="0" fillId="0" borderId="0" xfId="0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164" fontId="0" fillId="0" borderId="0" xfId="0" applyNumberFormat="1"/>
    <xf numFmtId="165" fontId="0" fillId="0" borderId="0" xfId="0" applyNumberFormat="1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0" fontId="0" fillId="2" borderId="1" xfId="0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64" fontId="0" fillId="2" borderId="1" xfId="0" applyNumberFormat="1" applyFill="1" applyBorder="1"/>
    <xf numFmtId="165" fontId="0" fillId="2" borderId="1" xfId="0" applyNumberFormat="1" applyFill="1" applyBorder="1"/>
    <xf numFmtId="0" fontId="0" fillId="2" borderId="1" xfId="0" applyFill="1" applyBorder="1"/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center"/>
    </xf>
    <xf numFmtId="164" fontId="2" fillId="3" borderId="1" xfId="0" applyNumberFormat="1" applyFont="1" applyFill="1" applyBorder="1" applyAlignment="1">
      <alignment horizontal="center"/>
    </xf>
    <xf numFmtId="164" fontId="2" fillId="3" borderId="1" xfId="0" applyNumberFormat="1" applyFont="1" applyFill="1" applyBorder="1" applyAlignment="1">
      <alignment horizontal="center" vertical="center"/>
    </xf>
    <xf numFmtId="165" fontId="2" fillId="3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164" fontId="6" fillId="2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0" fillId="0" borderId="1" xfId="0" applyBorder="1"/>
    <xf numFmtId="164" fontId="0" fillId="0" borderId="1" xfId="0" applyNumberFormat="1" applyBorder="1"/>
    <xf numFmtId="0" fontId="0" fillId="0" borderId="1" xfId="1" applyNumberFormat="1" applyFont="1" applyBorder="1"/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left" vertical="center"/>
    </xf>
    <xf numFmtId="0" fontId="5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0" fillId="3" borderId="1" xfId="0" applyFill="1" applyBorder="1"/>
    <xf numFmtId="164" fontId="0" fillId="3" borderId="1" xfId="0" applyNumberFormat="1" applyFill="1" applyBorder="1"/>
    <xf numFmtId="0" fontId="0" fillId="3" borderId="1" xfId="1" applyNumberFormat="1" applyFont="1" applyFill="1" applyBorder="1"/>
    <xf numFmtId="0" fontId="0" fillId="3" borderId="1" xfId="0" applyFill="1" applyBorder="1" applyAlignment="1">
      <alignment horizontal="center"/>
    </xf>
    <xf numFmtId="0" fontId="8" fillId="5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right"/>
    </xf>
    <xf numFmtId="166" fontId="0" fillId="2" borderId="1" xfId="0" applyNumberFormat="1" applyFill="1" applyBorder="1"/>
    <xf numFmtId="0" fontId="9" fillId="6" borderId="2" xfId="0" applyFont="1" applyFill="1" applyBorder="1" applyAlignment="1">
      <alignment horizontal="center"/>
    </xf>
    <xf numFmtId="0" fontId="9" fillId="6" borderId="3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0" fillId="7" borderId="1" xfId="0" applyFill="1" applyBorder="1"/>
    <xf numFmtId="0" fontId="0" fillId="8" borderId="4" xfId="0" applyFill="1" applyBorder="1" applyAlignment="1">
      <alignment horizontal="left" vertical="center"/>
    </xf>
    <xf numFmtId="0" fontId="0" fillId="0" borderId="5" xfId="0" applyBorder="1"/>
    <xf numFmtId="0" fontId="2" fillId="9" borderId="1" xfId="0" applyFont="1" applyFill="1" applyBorder="1" applyAlignment="1">
      <alignment horizontal="center"/>
    </xf>
    <xf numFmtId="0" fontId="0" fillId="9" borderId="1" xfId="0" applyFill="1" applyBorder="1"/>
    <xf numFmtId="0" fontId="0" fillId="0" borderId="4" xfId="0" applyBorder="1" applyAlignment="1">
      <alignment horizontal="left" vertical="center"/>
    </xf>
    <xf numFmtId="0" fontId="0" fillId="0" borderId="4" xfId="0" applyBorder="1"/>
    <xf numFmtId="164" fontId="0" fillId="9" borderId="1" xfId="0" applyNumberFormat="1" applyFill="1" applyBorder="1"/>
    <xf numFmtId="164" fontId="0" fillId="7" borderId="1" xfId="0" applyNumberFormat="1" applyFill="1" applyBorder="1"/>
    <xf numFmtId="0" fontId="0" fillId="10" borderId="6" xfId="0" applyFill="1" applyBorder="1" applyAlignment="1">
      <alignment horizontal="left" vertical="center"/>
    </xf>
    <xf numFmtId="0" fontId="0" fillId="10" borderId="7" xfId="0" applyFill="1" applyBorder="1"/>
    <xf numFmtId="0" fontId="8" fillId="0" borderId="1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6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8" tint="-0.249977111117893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1120140</xdr:colOff>
      <xdr:row>2</xdr:row>
      <xdr:rowOff>15240</xdr:rowOff>
    </xdr:from>
    <xdr:to>
      <xdr:col>0</xdr:col>
      <xdr:colOff>1341120</xdr:colOff>
      <xdr:row>3</xdr:row>
      <xdr:rowOff>7620</xdr:rowOff>
    </xdr:to>
    <xdr:sp macro="" textlink="">
      <xdr:nvSpPr>
        <xdr:cNvPr id="2" name="Arrow: Right 1">
          <a:extLst>
            <a:ext uri="{FF2B5EF4-FFF2-40B4-BE49-F238E27FC236}">
              <a16:creationId xmlns:a16="http://schemas.microsoft.com/office/drawing/2014/main" id="{330E45FE-F48F-4A7C-9078-0704386682DB}"/>
            </a:ext>
          </a:extLst>
        </xdr:cNvPr>
        <xdr:cNvSpPr/>
      </xdr:nvSpPr>
      <xdr:spPr>
        <a:xfrm>
          <a:off x="1120140" y="617220"/>
          <a:ext cx="220980" cy="175260"/>
        </a:xfrm>
        <a:prstGeom prst="rightArrow">
          <a:avLst/>
        </a:prstGeom>
        <a:solidFill>
          <a:schemeClr val="accent1">
            <a:lumMod val="5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1104900</xdr:colOff>
      <xdr:row>3</xdr:row>
      <xdr:rowOff>30480</xdr:rowOff>
    </xdr:from>
    <xdr:to>
      <xdr:col>0</xdr:col>
      <xdr:colOff>1333500</xdr:colOff>
      <xdr:row>4</xdr:row>
      <xdr:rowOff>22860</xdr:rowOff>
    </xdr:to>
    <xdr:sp macro="" textlink="">
      <xdr:nvSpPr>
        <xdr:cNvPr id="3" name="Arrow: Right 2">
          <a:extLst>
            <a:ext uri="{FF2B5EF4-FFF2-40B4-BE49-F238E27FC236}">
              <a16:creationId xmlns:a16="http://schemas.microsoft.com/office/drawing/2014/main" id="{411FA6DF-5F41-48AE-B197-C116A57FA4A4}"/>
            </a:ext>
          </a:extLst>
        </xdr:cNvPr>
        <xdr:cNvSpPr/>
      </xdr:nvSpPr>
      <xdr:spPr>
        <a:xfrm>
          <a:off x="1104900" y="815340"/>
          <a:ext cx="228600" cy="175260"/>
        </a:xfrm>
        <a:prstGeom prst="rightArrow">
          <a:avLst/>
        </a:prstGeom>
        <a:solidFill>
          <a:schemeClr val="accent1">
            <a:lumMod val="5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1120140</xdr:colOff>
      <xdr:row>45</xdr:row>
      <xdr:rowOff>15240</xdr:rowOff>
    </xdr:from>
    <xdr:to>
      <xdr:col>0</xdr:col>
      <xdr:colOff>1341120</xdr:colOff>
      <xdr:row>46</xdr:row>
      <xdr:rowOff>7620</xdr:rowOff>
    </xdr:to>
    <xdr:sp macro="" textlink="">
      <xdr:nvSpPr>
        <xdr:cNvPr id="4" name="Arrow: Right 3">
          <a:extLst>
            <a:ext uri="{FF2B5EF4-FFF2-40B4-BE49-F238E27FC236}">
              <a16:creationId xmlns:a16="http://schemas.microsoft.com/office/drawing/2014/main" id="{9B2AD9AE-2F0C-42B2-B30C-5BC8159D98A8}"/>
            </a:ext>
          </a:extLst>
        </xdr:cNvPr>
        <xdr:cNvSpPr/>
      </xdr:nvSpPr>
      <xdr:spPr>
        <a:xfrm>
          <a:off x="1120140" y="9486900"/>
          <a:ext cx="220980" cy="175260"/>
        </a:xfrm>
        <a:prstGeom prst="rightArrow">
          <a:avLst/>
        </a:prstGeom>
        <a:solidFill>
          <a:schemeClr val="accent1">
            <a:lumMod val="5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1104900</xdr:colOff>
      <xdr:row>46</xdr:row>
      <xdr:rowOff>30480</xdr:rowOff>
    </xdr:from>
    <xdr:to>
      <xdr:col>0</xdr:col>
      <xdr:colOff>1333500</xdr:colOff>
      <xdr:row>47</xdr:row>
      <xdr:rowOff>22860</xdr:rowOff>
    </xdr:to>
    <xdr:sp macro="" textlink="">
      <xdr:nvSpPr>
        <xdr:cNvPr id="5" name="Arrow: Right 4">
          <a:extLst>
            <a:ext uri="{FF2B5EF4-FFF2-40B4-BE49-F238E27FC236}">
              <a16:creationId xmlns:a16="http://schemas.microsoft.com/office/drawing/2014/main" id="{288ED421-C0A2-4A1C-84EF-010E8164CF62}"/>
            </a:ext>
          </a:extLst>
        </xdr:cNvPr>
        <xdr:cNvSpPr/>
      </xdr:nvSpPr>
      <xdr:spPr>
        <a:xfrm>
          <a:off x="1104900" y="9685020"/>
          <a:ext cx="228600" cy="175260"/>
        </a:xfrm>
        <a:prstGeom prst="rightArrow">
          <a:avLst/>
        </a:prstGeom>
        <a:solidFill>
          <a:schemeClr val="accent1">
            <a:lumMod val="5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200400A-7494-47E3-8060-EA1B66218C15}" name="Table9" displayName="Table9" ref="A31:B42" totalsRowShown="0" headerRowDxfId="5" headerRowBorderDxfId="3" tableBorderDxfId="4" totalsRowBorderDxfId="2">
  <autoFilter ref="A31:B42" xr:uid="{D200400A-7494-47E3-8060-EA1B66218C15}"/>
  <tableColumns count="2">
    <tableColumn id="1" xr3:uid="{5564F3AA-5E5B-4570-B3E5-D37C92583523}" name="Role of Employees" dataDxfId="1"/>
    <tableColumn id="2" xr3:uid="{66EA8F60-DCB7-4272-8FFB-9C6C9782F2FD}" name="Total Role" dataDxfId="0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53A81-76D4-4BE8-848B-F3ED2DCF193A}">
  <dimension ref="A1:AQ53"/>
  <sheetViews>
    <sheetView tabSelected="1" topLeftCell="A4" workbookViewId="0">
      <selection activeCell="B6" sqref="B6"/>
    </sheetView>
  </sheetViews>
  <sheetFormatPr defaultRowHeight="14.4" x14ac:dyDescent="0.3"/>
  <cols>
    <col min="1" max="1" width="24.77734375" customWidth="1"/>
    <col min="2" max="2" width="25.5546875" bestFit="1" customWidth="1"/>
    <col min="4" max="4" width="10" customWidth="1"/>
    <col min="5" max="5" width="10.109375" customWidth="1"/>
    <col min="8" max="8" width="11.33203125" customWidth="1"/>
    <col min="9" max="9" width="9.88671875" customWidth="1"/>
    <col min="10" max="10" width="14.21875" bestFit="1" customWidth="1"/>
    <col min="11" max="11" width="10.109375" customWidth="1"/>
    <col min="15" max="15" width="12.33203125" customWidth="1"/>
    <col min="16" max="16" width="12" customWidth="1"/>
    <col min="18" max="18" width="10.6640625" customWidth="1"/>
    <col min="22" max="22" width="11.6640625" customWidth="1"/>
    <col min="23" max="23" width="10.21875" customWidth="1"/>
    <col min="25" max="25" width="10.44140625" customWidth="1"/>
    <col min="29" max="29" width="12.21875" customWidth="1"/>
    <col min="30" max="30" width="10.44140625" customWidth="1"/>
    <col min="31" max="31" width="9.88671875" customWidth="1"/>
    <col min="32" max="32" width="11.33203125" customWidth="1"/>
    <col min="34" max="34" width="31.88671875" customWidth="1"/>
    <col min="35" max="35" width="15.21875" customWidth="1"/>
    <col min="36" max="36" width="13.77734375" customWidth="1"/>
    <col min="37" max="37" width="13.77734375" style="3" customWidth="1"/>
    <col min="38" max="38" width="21.5546875" style="3" customWidth="1"/>
    <col min="39" max="39" width="25" style="3" customWidth="1"/>
    <col min="40" max="40" width="22.33203125" style="4" customWidth="1"/>
    <col min="41" max="41" width="23" customWidth="1"/>
    <col min="42" max="42" width="24.5546875" customWidth="1"/>
    <col min="43" max="43" width="18.33203125" customWidth="1"/>
  </cols>
  <sheetData>
    <row r="1" spans="1:43" ht="33" customHeight="1" x14ac:dyDescent="0.3">
      <c r="I1" s="1">
        <v>2025</v>
      </c>
      <c r="J1" s="1"/>
      <c r="K1" s="2" t="s">
        <v>0</v>
      </c>
      <c r="L1" s="2"/>
      <c r="M1" s="2"/>
      <c r="N1" s="2"/>
      <c r="O1" s="2"/>
    </row>
    <row r="3" spans="1:43" x14ac:dyDescent="0.3">
      <c r="A3" s="5" t="s">
        <v>1</v>
      </c>
      <c r="B3" s="5"/>
      <c r="C3" s="5" t="s">
        <v>2</v>
      </c>
      <c r="D3" s="5" t="s">
        <v>3</v>
      </c>
      <c r="E3" s="5" t="s">
        <v>4</v>
      </c>
      <c r="F3" s="5" t="s">
        <v>5</v>
      </c>
      <c r="G3" s="5" t="s">
        <v>6</v>
      </c>
      <c r="H3" s="5" t="s">
        <v>7</v>
      </c>
      <c r="I3" s="5" t="s">
        <v>8</v>
      </c>
      <c r="J3" s="5" t="s">
        <v>2</v>
      </c>
      <c r="K3" s="5" t="s">
        <v>3</v>
      </c>
      <c r="L3" s="5" t="s">
        <v>4</v>
      </c>
      <c r="M3" s="5" t="s">
        <v>5</v>
      </c>
      <c r="N3" s="5" t="s">
        <v>6</v>
      </c>
      <c r="O3" s="5" t="s">
        <v>7</v>
      </c>
      <c r="P3" s="5" t="s">
        <v>8</v>
      </c>
      <c r="Q3" s="5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5" t="s">
        <v>8</v>
      </c>
      <c r="X3" s="5" t="s">
        <v>2</v>
      </c>
      <c r="Y3" s="5" t="s">
        <v>3</v>
      </c>
      <c r="Z3" s="5" t="s">
        <v>4</v>
      </c>
      <c r="AA3" s="5" t="s">
        <v>5</v>
      </c>
      <c r="AB3" s="5" t="s">
        <v>6</v>
      </c>
      <c r="AC3" s="5" t="s">
        <v>7</v>
      </c>
      <c r="AD3" s="5" t="s">
        <v>8</v>
      </c>
      <c r="AE3" s="5" t="s">
        <v>2</v>
      </c>
      <c r="AF3" s="5" t="s">
        <v>3</v>
      </c>
      <c r="AG3" s="5" t="s">
        <v>4</v>
      </c>
      <c r="AH3" s="6"/>
      <c r="AI3" s="5"/>
      <c r="AJ3" s="7"/>
      <c r="AK3" s="8"/>
      <c r="AL3" s="8"/>
      <c r="AM3" s="9"/>
      <c r="AN3" s="10"/>
      <c r="AO3" s="11"/>
      <c r="AP3" s="11"/>
      <c r="AQ3" s="11"/>
    </row>
    <row r="4" spans="1:43" x14ac:dyDescent="0.3">
      <c r="A4" s="12" t="s">
        <v>9</v>
      </c>
      <c r="B4" s="12"/>
      <c r="C4" s="12">
        <v>1</v>
      </c>
      <c r="D4" s="12">
        <v>2</v>
      </c>
      <c r="E4" s="12">
        <v>3</v>
      </c>
      <c r="F4" s="12">
        <v>4</v>
      </c>
      <c r="G4" s="12">
        <v>5</v>
      </c>
      <c r="H4" s="12">
        <v>6</v>
      </c>
      <c r="I4" s="12">
        <v>7</v>
      </c>
      <c r="J4" s="12">
        <v>8</v>
      </c>
      <c r="K4" s="12">
        <v>9</v>
      </c>
      <c r="L4" s="12">
        <v>10</v>
      </c>
      <c r="M4" s="12">
        <v>11</v>
      </c>
      <c r="N4" s="12">
        <v>12</v>
      </c>
      <c r="O4" s="12">
        <v>13</v>
      </c>
      <c r="P4" s="12">
        <v>14</v>
      </c>
      <c r="Q4" s="12">
        <v>15</v>
      </c>
      <c r="R4" s="12">
        <v>16</v>
      </c>
      <c r="S4" s="12">
        <v>17</v>
      </c>
      <c r="T4" s="12">
        <v>18</v>
      </c>
      <c r="U4" s="12">
        <v>19</v>
      </c>
      <c r="V4" s="12">
        <v>20</v>
      </c>
      <c r="W4" s="12">
        <v>21</v>
      </c>
      <c r="X4" s="12">
        <v>22</v>
      </c>
      <c r="Y4" s="12">
        <v>23</v>
      </c>
      <c r="Z4" s="12">
        <v>24</v>
      </c>
      <c r="AA4" s="12">
        <v>25</v>
      </c>
      <c r="AB4" s="12">
        <v>26</v>
      </c>
      <c r="AC4" s="12">
        <v>27</v>
      </c>
      <c r="AD4" s="12">
        <v>28</v>
      </c>
      <c r="AE4" s="12">
        <v>29</v>
      </c>
      <c r="AF4" s="12">
        <v>30</v>
      </c>
      <c r="AG4" s="12">
        <v>31</v>
      </c>
      <c r="AH4" s="13" t="s">
        <v>10</v>
      </c>
      <c r="AI4" s="14" t="s">
        <v>11</v>
      </c>
      <c r="AJ4" s="14"/>
      <c r="AK4" s="15" t="s">
        <v>12</v>
      </c>
      <c r="AL4" s="16" t="s">
        <v>13</v>
      </c>
      <c r="AM4" s="16" t="s">
        <v>14</v>
      </c>
      <c r="AN4" s="17" t="s">
        <v>15</v>
      </c>
      <c r="AO4" s="18" t="s">
        <v>16</v>
      </c>
      <c r="AP4" s="18" t="s">
        <v>17</v>
      </c>
      <c r="AQ4" s="18" t="s">
        <v>18</v>
      </c>
    </row>
    <row r="5" spans="1:43" ht="18" x14ac:dyDescent="0.3">
      <c r="A5" s="5" t="s">
        <v>19</v>
      </c>
      <c r="B5" s="5" t="s">
        <v>20</v>
      </c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9" t="s">
        <v>21</v>
      </c>
      <c r="AJ5" s="20" t="s">
        <v>22</v>
      </c>
      <c r="AK5" s="21"/>
      <c r="AL5" s="9"/>
      <c r="AM5" s="9"/>
      <c r="AN5" s="10"/>
      <c r="AO5" s="11"/>
      <c r="AP5" s="11"/>
      <c r="AQ5" s="11"/>
    </row>
    <row r="6" spans="1:43" ht="18" x14ac:dyDescent="0.3">
      <c r="A6" s="22" t="s">
        <v>23</v>
      </c>
      <c r="B6" s="22" t="s">
        <v>24</v>
      </c>
      <c r="C6" s="23" t="s">
        <v>21</v>
      </c>
      <c r="D6" s="23" t="s">
        <v>21</v>
      </c>
      <c r="E6" s="24" t="s">
        <v>25</v>
      </c>
      <c r="F6" s="23" t="s">
        <v>21</v>
      </c>
      <c r="G6" s="23" t="s">
        <v>21</v>
      </c>
      <c r="H6" s="23" t="s">
        <v>21</v>
      </c>
      <c r="I6" s="23" t="s">
        <v>21</v>
      </c>
      <c r="J6" s="23" t="s">
        <v>21</v>
      </c>
      <c r="K6" s="23" t="s">
        <v>21</v>
      </c>
      <c r="L6" s="24" t="s">
        <v>25</v>
      </c>
      <c r="M6" s="23" t="s">
        <v>21</v>
      </c>
      <c r="N6" s="23" t="s">
        <v>21</v>
      </c>
      <c r="O6" s="23" t="s">
        <v>21</v>
      </c>
      <c r="P6" s="23" t="s">
        <v>21</v>
      </c>
      <c r="Q6" s="23" t="s">
        <v>21</v>
      </c>
      <c r="R6" s="23" t="s">
        <v>21</v>
      </c>
      <c r="S6" s="24" t="s">
        <v>25</v>
      </c>
      <c r="T6" s="23" t="s">
        <v>21</v>
      </c>
      <c r="U6" s="25" t="s">
        <v>22</v>
      </c>
      <c r="V6" s="25" t="s">
        <v>22</v>
      </c>
      <c r="W6" s="25" t="s">
        <v>22</v>
      </c>
      <c r="X6" s="25" t="s">
        <v>22</v>
      </c>
      <c r="Y6" s="23" t="s">
        <v>21</v>
      </c>
      <c r="Z6" s="24" t="s">
        <v>25</v>
      </c>
      <c r="AA6" s="23" t="s">
        <v>21</v>
      </c>
      <c r="AB6" s="23" t="s">
        <v>21</v>
      </c>
      <c r="AC6" s="23" t="s">
        <v>21</v>
      </c>
      <c r="AD6" s="23" t="s">
        <v>21</v>
      </c>
      <c r="AE6" s="23" t="s">
        <v>21</v>
      </c>
      <c r="AF6" s="25" t="s">
        <v>22</v>
      </c>
      <c r="AG6" s="24" t="s">
        <v>25</v>
      </c>
      <c r="AH6" s="26">
        <v>26</v>
      </c>
      <c r="AI6" s="27">
        <f>COUNTIF(C6:AG6,"P")</f>
        <v>21</v>
      </c>
      <c r="AJ6" s="27">
        <f>COUNTIF(C6:AG6,"A")</f>
        <v>5</v>
      </c>
      <c r="AK6" s="28">
        <f>PRODUCT(AL6*AH6)</f>
        <v>13000</v>
      </c>
      <c r="AL6" s="28">
        <v>500</v>
      </c>
      <c r="AM6" s="28">
        <f>PRODUCT(AI6,AL6)</f>
        <v>10500</v>
      </c>
      <c r="AN6" s="28">
        <f>IF(AI6/AH6&gt;0.91,AK6*8%,IF(AI6/AH6&gt;0.75,AK6*4%,0))</f>
        <v>520</v>
      </c>
      <c r="AO6" s="28">
        <f>SUM(AN6,AM6)</f>
        <v>11020</v>
      </c>
      <c r="AP6" s="29">
        <f>ROUND(AI6/AH6*100,0)</f>
        <v>81</v>
      </c>
      <c r="AQ6" s="30" t="str">
        <f>IF(AP6&gt;95,"Very Good",IF(AP6&gt;=91,"Good",IF(AP6&gt;=80,"Better",IF(AP6&gt;75,"Average","Poor"))))</f>
        <v>Better</v>
      </c>
    </row>
    <row r="7" spans="1:43" ht="18" x14ac:dyDescent="0.3">
      <c r="A7" s="31" t="s">
        <v>26</v>
      </c>
      <c r="B7" s="31" t="s">
        <v>24</v>
      </c>
      <c r="C7" s="32" t="s">
        <v>21</v>
      </c>
      <c r="D7" s="32" t="s">
        <v>21</v>
      </c>
      <c r="E7" s="24" t="s">
        <v>25</v>
      </c>
      <c r="F7" s="32" t="s">
        <v>21</v>
      </c>
      <c r="G7" s="32" t="s">
        <v>21</v>
      </c>
      <c r="H7" s="32" t="s">
        <v>21</v>
      </c>
      <c r="I7" s="32" t="s">
        <v>21</v>
      </c>
      <c r="J7" s="32" t="s">
        <v>21</v>
      </c>
      <c r="K7" s="32" t="s">
        <v>21</v>
      </c>
      <c r="L7" s="24" t="s">
        <v>25</v>
      </c>
      <c r="M7" s="33" t="s">
        <v>22</v>
      </c>
      <c r="N7" s="32" t="s">
        <v>21</v>
      </c>
      <c r="O7" s="32" t="s">
        <v>21</v>
      </c>
      <c r="P7" s="32" t="s">
        <v>21</v>
      </c>
      <c r="Q7" s="32" t="s">
        <v>21</v>
      </c>
      <c r="R7" s="32" t="s">
        <v>21</v>
      </c>
      <c r="S7" s="24" t="s">
        <v>25</v>
      </c>
      <c r="T7" s="32" t="s">
        <v>21</v>
      </c>
      <c r="U7" s="32" t="s">
        <v>21</v>
      </c>
      <c r="V7" s="32" t="s">
        <v>21</v>
      </c>
      <c r="W7" s="33" t="s">
        <v>22</v>
      </c>
      <c r="X7" s="33" t="s">
        <v>22</v>
      </c>
      <c r="Y7" s="32" t="s">
        <v>21</v>
      </c>
      <c r="Z7" s="24" t="s">
        <v>25</v>
      </c>
      <c r="AA7" s="32" t="s">
        <v>21</v>
      </c>
      <c r="AB7" s="32" t="s">
        <v>21</v>
      </c>
      <c r="AC7" s="32" t="s">
        <v>21</v>
      </c>
      <c r="AD7" s="32" t="s">
        <v>21</v>
      </c>
      <c r="AE7" s="32" t="s">
        <v>21</v>
      </c>
      <c r="AF7" s="32" t="s">
        <v>21</v>
      </c>
      <c r="AG7" s="24" t="s">
        <v>25</v>
      </c>
      <c r="AH7" s="34">
        <v>26</v>
      </c>
      <c r="AI7" s="35">
        <f t="shared" ref="AI7:AI25" si="0">COUNTIF(C7:AG7,"P")</f>
        <v>23</v>
      </c>
      <c r="AJ7" s="35">
        <f t="shared" ref="AJ7:AJ25" si="1">COUNTIF(C7:AG7,"A")</f>
        <v>3</v>
      </c>
      <c r="AK7" s="36">
        <f t="shared" ref="AK7:AK25" si="2">PRODUCT(AL7*AH7)</f>
        <v>13000</v>
      </c>
      <c r="AL7" s="36">
        <v>500</v>
      </c>
      <c r="AM7" s="36">
        <f>PRODUCT(AI7,AL7)</f>
        <v>11500</v>
      </c>
      <c r="AN7" s="36">
        <f>IF(AI7/AH7&gt;0.91,AK7*8%, IF(AI7/AH7&gt;=0.75,AK7*4%,0))</f>
        <v>520</v>
      </c>
      <c r="AO7" s="36">
        <f>SUM(AN7,AM7)</f>
        <v>12020</v>
      </c>
      <c r="AP7" s="37">
        <f>ROUND(AI7/AH7*100,0)</f>
        <v>88</v>
      </c>
      <c r="AQ7" s="30" t="str">
        <f>IF(AP8&gt;=95,"Very Good",IF(AP8&gt;=91,"Good",IF(AP8&gt;=80,"Better",IF(AP8&gt;=75,"Average","Poor"))))</f>
        <v>Good</v>
      </c>
    </row>
    <row r="8" spans="1:43" ht="18" x14ac:dyDescent="0.3">
      <c r="A8" s="22" t="s">
        <v>27</v>
      </c>
      <c r="B8" s="22" t="s">
        <v>28</v>
      </c>
      <c r="C8" s="23" t="s">
        <v>21</v>
      </c>
      <c r="D8" s="23" t="s">
        <v>21</v>
      </c>
      <c r="E8" s="24" t="s">
        <v>25</v>
      </c>
      <c r="F8" s="23" t="s">
        <v>21</v>
      </c>
      <c r="G8" s="23" t="s">
        <v>21</v>
      </c>
      <c r="H8" s="23" t="s">
        <v>21</v>
      </c>
      <c r="I8" s="23" t="s">
        <v>21</v>
      </c>
      <c r="J8" s="23" t="s">
        <v>21</v>
      </c>
      <c r="K8" s="23" t="s">
        <v>21</v>
      </c>
      <c r="L8" s="24" t="s">
        <v>25</v>
      </c>
      <c r="M8" s="25" t="s">
        <v>22</v>
      </c>
      <c r="N8" s="25" t="s">
        <v>22</v>
      </c>
      <c r="O8" s="23" t="s">
        <v>21</v>
      </c>
      <c r="P8" s="23" t="s">
        <v>21</v>
      </c>
      <c r="Q8" s="23" t="s">
        <v>21</v>
      </c>
      <c r="R8" s="23" t="s">
        <v>21</v>
      </c>
      <c r="S8" s="24" t="s">
        <v>25</v>
      </c>
      <c r="T8" s="23" t="s">
        <v>21</v>
      </c>
      <c r="U8" s="23" t="s">
        <v>21</v>
      </c>
      <c r="V8" s="23" t="s">
        <v>21</v>
      </c>
      <c r="W8" s="23" t="s">
        <v>21</v>
      </c>
      <c r="X8" s="23" t="s">
        <v>21</v>
      </c>
      <c r="Y8" s="23" t="s">
        <v>21</v>
      </c>
      <c r="Z8" s="24" t="s">
        <v>25</v>
      </c>
      <c r="AA8" s="23" t="s">
        <v>21</v>
      </c>
      <c r="AB8" s="23" t="s">
        <v>21</v>
      </c>
      <c r="AC8" s="23" t="s">
        <v>21</v>
      </c>
      <c r="AD8" s="23" t="s">
        <v>21</v>
      </c>
      <c r="AE8" s="23" t="s">
        <v>21</v>
      </c>
      <c r="AF8" s="23" t="s">
        <v>21</v>
      </c>
      <c r="AG8" s="24" t="s">
        <v>25</v>
      </c>
      <c r="AH8" s="26">
        <v>26</v>
      </c>
      <c r="AI8" s="27">
        <f t="shared" si="0"/>
        <v>24</v>
      </c>
      <c r="AJ8" s="27">
        <f t="shared" si="1"/>
        <v>2</v>
      </c>
      <c r="AK8" s="28">
        <f t="shared" si="2"/>
        <v>18200</v>
      </c>
      <c r="AL8" s="28">
        <v>700</v>
      </c>
      <c r="AM8" s="28">
        <f t="shared" ref="AM8:AM25" si="3">PRODUCT(AI8,AL8)</f>
        <v>16800</v>
      </c>
      <c r="AN8" s="28">
        <f t="shared" ref="AN8:AN25" si="4">IF(AI8/AH8&gt;0.91,AK8*8%, IF(AI8/AH8&gt;=0.75,AK8*4%,0))</f>
        <v>1456</v>
      </c>
      <c r="AO8" s="28">
        <f t="shared" ref="AO8:AO25" si="5">SUM(AN8,AM8)</f>
        <v>18256</v>
      </c>
      <c r="AP8" s="29">
        <f t="shared" ref="AP8:AP25" si="6">ROUND(AI8/AH8*100,0)</f>
        <v>92</v>
      </c>
      <c r="AQ8" s="30" t="str">
        <f t="shared" ref="AQ8:AQ25" si="7">IF(AP8&gt;=95,"Very Good",IF(AP8&gt;=91,"Good",IF(AP8&gt;=80,"Better",IF(AP8&gt;=75,"Average","Poor"))))</f>
        <v>Good</v>
      </c>
    </row>
    <row r="9" spans="1:43" ht="18" x14ac:dyDescent="0.3">
      <c r="A9" s="31" t="s">
        <v>29</v>
      </c>
      <c r="B9" s="31" t="s">
        <v>30</v>
      </c>
      <c r="C9" s="32" t="s">
        <v>21</v>
      </c>
      <c r="D9" s="32" t="s">
        <v>21</v>
      </c>
      <c r="E9" s="24" t="s">
        <v>25</v>
      </c>
      <c r="F9" s="32" t="s">
        <v>21</v>
      </c>
      <c r="G9" s="32" t="s">
        <v>21</v>
      </c>
      <c r="H9" s="32" t="s">
        <v>21</v>
      </c>
      <c r="I9" s="32" t="s">
        <v>21</v>
      </c>
      <c r="J9" s="32" t="s">
        <v>21</v>
      </c>
      <c r="K9" s="32" t="s">
        <v>21</v>
      </c>
      <c r="L9" s="24" t="s">
        <v>25</v>
      </c>
      <c r="M9" s="32" t="s">
        <v>21</v>
      </c>
      <c r="N9" s="32" t="s">
        <v>21</v>
      </c>
      <c r="O9" s="32" t="s">
        <v>21</v>
      </c>
      <c r="P9" s="32" t="s">
        <v>21</v>
      </c>
      <c r="Q9" s="32" t="s">
        <v>21</v>
      </c>
      <c r="R9" s="32" t="s">
        <v>21</v>
      </c>
      <c r="S9" s="24" t="s">
        <v>25</v>
      </c>
      <c r="T9" s="32" t="s">
        <v>21</v>
      </c>
      <c r="U9" s="32" t="s">
        <v>21</v>
      </c>
      <c r="V9" s="32" t="s">
        <v>21</v>
      </c>
      <c r="W9" s="32" t="s">
        <v>21</v>
      </c>
      <c r="X9" s="32" t="s">
        <v>21</v>
      </c>
      <c r="Y9" s="32" t="s">
        <v>21</v>
      </c>
      <c r="Z9" s="24" t="s">
        <v>25</v>
      </c>
      <c r="AA9" s="32" t="s">
        <v>21</v>
      </c>
      <c r="AB9" s="32" t="s">
        <v>21</v>
      </c>
      <c r="AC9" s="32" t="s">
        <v>21</v>
      </c>
      <c r="AD9" s="32" t="s">
        <v>21</v>
      </c>
      <c r="AE9" s="33" t="s">
        <v>22</v>
      </c>
      <c r="AF9" s="33" t="s">
        <v>22</v>
      </c>
      <c r="AG9" s="24" t="s">
        <v>25</v>
      </c>
      <c r="AH9" s="34">
        <v>26</v>
      </c>
      <c r="AI9" s="35">
        <f t="shared" si="0"/>
        <v>24</v>
      </c>
      <c r="AJ9" s="35">
        <f t="shared" si="1"/>
        <v>2</v>
      </c>
      <c r="AK9" s="36">
        <f t="shared" si="2"/>
        <v>14300</v>
      </c>
      <c r="AL9" s="36">
        <v>550</v>
      </c>
      <c r="AM9" s="36">
        <f t="shared" si="3"/>
        <v>13200</v>
      </c>
      <c r="AN9" s="36">
        <f t="shared" si="4"/>
        <v>1144</v>
      </c>
      <c r="AO9" s="36">
        <f t="shared" si="5"/>
        <v>14344</v>
      </c>
      <c r="AP9" s="37">
        <f t="shared" si="6"/>
        <v>92</v>
      </c>
      <c r="AQ9" s="38" t="str">
        <f t="shared" si="7"/>
        <v>Good</v>
      </c>
    </row>
    <row r="10" spans="1:43" ht="18" x14ac:dyDescent="0.3">
      <c r="A10" s="22" t="s">
        <v>31</v>
      </c>
      <c r="B10" s="22" t="s">
        <v>32</v>
      </c>
      <c r="C10" s="23" t="s">
        <v>21</v>
      </c>
      <c r="D10" s="25" t="s">
        <v>22</v>
      </c>
      <c r="E10" s="24" t="s">
        <v>25</v>
      </c>
      <c r="F10" s="25" t="s">
        <v>22</v>
      </c>
      <c r="G10" s="23" t="s">
        <v>21</v>
      </c>
      <c r="H10" s="23" t="s">
        <v>21</v>
      </c>
      <c r="I10" s="23" t="s">
        <v>21</v>
      </c>
      <c r="J10" s="23" t="s">
        <v>21</v>
      </c>
      <c r="K10" s="23" t="s">
        <v>21</v>
      </c>
      <c r="L10" s="24" t="s">
        <v>25</v>
      </c>
      <c r="M10" s="23" t="s">
        <v>21</v>
      </c>
      <c r="N10" s="23" t="s">
        <v>21</v>
      </c>
      <c r="O10" s="23" t="s">
        <v>21</v>
      </c>
      <c r="P10" s="23" t="s">
        <v>21</v>
      </c>
      <c r="Q10" s="23" t="s">
        <v>21</v>
      </c>
      <c r="R10" s="23" t="s">
        <v>21</v>
      </c>
      <c r="S10" s="24" t="s">
        <v>25</v>
      </c>
      <c r="T10" s="23" t="s">
        <v>21</v>
      </c>
      <c r="U10" s="23" t="s">
        <v>21</v>
      </c>
      <c r="V10" s="23" t="s">
        <v>21</v>
      </c>
      <c r="W10" s="23" t="s">
        <v>21</v>
      </c>
      <c r="X10" s="23" t="s">
        <v>21</v>
      </c>
      <c r="Y10" s="23" t="s">
        <v>21</v>
      </c>
      <c r="Z10" s="24" t="s">
        <v>25</v>
      </c>
      <c r="AA10" s="23" t="s">
        <v>21</v>
      </c>
      <c r="AB10" s="23" t="s">
        <v>21</v>
      </c>
      <c r="AC10" s="23" t="s">
        <v>21</v>
      </c>
      <c r="AD10" s="23" t="s">
        <v>21</v>
      </c>
      <c r="AE10" s="23" t="s">
        <v>21</v>
      </c>
      <c r="AF10" s="23" t="s">
        <v>21</v>
      </c>
      <c r="AG10" s="24" t="s">
        <v>25</v>
      </c>
      <c r="AH10" s="39">
        <v>26</v>
      </c>
      <c r="AI10" s="27">
        <f t="shared" si="0"/>
        <v>24</v>
      </c>
      <c r="AJ10" s="27">
        <f t="shared" si="1"/>
        <v>2</v>
      </c>
      <c r="AK10" s="28">
        <f t="shared" si="2"/>
        <v>19500</v>
      </c>
      <c r="AL10" s="28">
        <v>750</v>
      </c>
      <c r="AM10" s="28">
        <f t="shared" si="3"/>
        <v>18000</v>
      </c>
      <c r="AN10" s="28">
        <f t="shared" si="4"/>
        <v>1560</v>
      </c>
      <c r="AO10" s="28">
        <f t="shared" si="5"/>
        <v>19560</v>
      </c>
      <c r="AP10" s="29">
        <f t="shared" si="6"/>
        <v>92</v>
      </c>
      <c r="AQ10" s="30" t="str">
        <f t="shared" si="7"/>
        <v>Good</v>
      </c>
    </row>
    <row r="11" spans="1:43" ht="18" x14ac:dyDescent="0.3">
      <c r="A11" s="31" t="s">
        <v>33</v>
      </c>
      <c r="B11" s="31" t="s">
        <v>34</v>
      </c>
      <c r="C11" s="32" t="s">
        <v>21</v>
      </c>
      <c r="D11" s="33" t="s">
        <v>22</v>
      </c>
      <c r="E11" s="24" t="s">
        <v>25</v>
      </c>
      <c r="F11" s="32" t="s">
        <v>21</v>
      </c>
      <c r="G11" s="32" t="s">
        <v>21</v>
      </c>
      <c r="H11" s="32" t="s">
        <v>21</v>
      </c>
      <c r="I11" s="32" t="s">
        <v>21</v>
      </c>
      <c r="J11" s="32" t="s">
        <v>21</v>
      </c>
      <c r="K11" s="32" t="s">
        <v>21</v>
      </c>
      <c r="L11" s="24" t="s">
        <v>25</v>
      </c>
      <c r="M11" s="32" t="s">
        <v>21</v>
      </c>
      <c r="N11" s="32" t="s">
        <v>21</v>
      </c>
      <c r="O11" s="32" t="s">
        <v>21</v>
      </c>
      <c r="P11" s="32" t="s">
        <v>21</v>
      </c>
      <c r="Q11" s="32" t="s">
        <v>21</v>
      </c>
      <c r="R11" s="32" t="s">
        <v>21</v>
      </c>
      <c r="S11" s="24" t="s">
        <v>25</v>
      </c>
      <c r="T11" s="32" t="s">
        <v>21</v>
      </c>
      <c r="U11" s="32" t="s">
        <v>21</v>
      </c>
      <c r="V11" s="32" t="s">
        <v>21</v>
      </c>
      <c r="W11" s="32" t="s">
        <v>21</v>
      </c>
      <c r="X11" s="32" t="s">
        <v>21</v>
      </c>
      <c r="Y11" s="32" t="s">
        <v>21</v>
      </c>
      <c r="Z11" s="24" t="s">
        <v>25</v>
      </c>
      <c r="AA11" s="32" t="s">
        <v>21</v>
      </c>
      <c r="AB11" s="32" t="s">
        <v>21</v>
      </c>
      <c r="AC11" s="32" t="s">
        <v>21</v>
      </c>
      <c r="AD11" s="32" t="s">
        <v>21</v>
      </c>
      <c r="AE11" s="32" t="s">
        <v>21</v>
      </c>
      <c r="AF11" s="32" t="s">
        <v>21</v>
      </c>
      <c r="AG11" s="24" t="s">
        <v>25</v>
      </c>
      <c r="AH11" s="34">
        <v>26</v>
      </c>
      <c r="AI11" s="35">
        <f t="shared" si="0"/>
        <v>25</v>
      </c>
      <c r="AJ11" s="35">
        <f t="shared" si="1"/>
        <v>1</v>
      </c>
      <c r="AK11" s="36">
        <f t="shared" si="2"/>
        <v>26000</v>
      </c>
      <c r="AL11" s="36">
        <v>1000</v>
      </c>
      <c r="AM11" s="36">
        <f t="shared" si="3"/>
        <v>25000</v>
      </c>
      <c r="AN11" s="36">
        <f t="shared" si="4"/>
        <v>2080</v>
      </c>
      <c r="AO11" s="36">
        <f t="shared" si="5"/>
        <v>27080</v>
      </c>
      <c r="AP11" s="37">
        <f t="shared" si="6"/>
        <v>96</v>
      </c>
      <c r="AQ11" s="38" t="str">
        <f t="shared" si="7"/>
        <v>Very Good</v>
      </c>
    </row>
    <row r="12" spans="1:43" ht="18" x14ac:dyDescent="0.3">
      <c r="A12" s="22" t="s">
        <v>35</v>
      </c>
      <c r="B12" s="22" t="s">
        <v>28</v>
      </c>
      <c r="C12" s="23" t="s">
        <v>21</v>
      </c>
      <c r="D12" s="23" t="s">
        <v>21</v>
      </c>
      <c r="E12" s="24" t="s">
        <v>25</v>
      </c>
      <c r="F12" s="23" t="s">
        <v>21</v>
      </c>
      <c r="G12" s="23" t="s">
        <v>21</v>
      </c>
      <c r="H12" s="23" t="s">
        <v>21</v>
      </c>
      <c r="I12" s="23" t="s">
        <v>21</v>
      </c>
      <c r="J12" s="23" t="s">
        <v>21</v>
      </c>
      <c r="K12" s="23" t="s">
        <v>21</v>
      </c>
      <c r="L12" s="24" t="s">
        <v>25</v>
      </c>
      <c r="M12" s="23" t="s">
        <v>21</v>
      </c>
      <c r="N12" s="23" t="s">
        <v>21</v>
      </c>
      <c r="O12" s="23" t="s">
        <v>21</v>
      </c>
      <c r="P12" s="23" t="s">
        <v>21</v>
      </c>
      <c r="Q12" s="23" t="s">
        <v>21</v>
      </c>
      <c r="R12" s="23" t="s">
        <v>21</v>
      </c>
      <c r="S12" s="24" t="s">
        <v>25</v>
      </c>
      <c r="T12" s="23" t="s">
        <v>21</v>
      </c>
      <c r="U12" s="23" t="s">
        <v>21</v>
      </c>
      <c r="V12" s="23" t="s">
        <v>21</v>
      </c>
      <c r="W12" s="23" t="s">
        <v>21</v>
      </c>
      <c r="X12" s="23" t="s">
        <v>21</v>
      </c>
      <c r="Y12" s="25" t="s">
        <v>22</v>
      </c>
      <c r="Z12" s="24" t="s">
        <v>25</v>
      </c>
      <c r="AA12" s="23" t="s">
        <v>21</v>
      </c>
      <c r="AB12" s="23" t="s">
        <v>21</v>
      </c>
      <c r="AC12" s="23" t="s">
        <v>21</v>
      </c>
      <c r="AD12" s="23" t="s">
        <v>21</v>
      </c>
      <c r="AE12" s="23" t="s">
        <v>21</v>
      </c>
      <c r="AF12" s="23" t="s">
        <v>21</v>
      </c>
      <c r="AG12" s="24" t="s">
        <v>25</v>
      </c>
      <c r="AH12" s="26">
        <v>26</v>
      </c>
      <c r="AI12" s="27">
        <f t="shared" si="0"/>
        <v>25</v>
      </c>
      <c r="AJ12" s="27">
        <f t="shared" si="1"/>
        <v>1</v>
      </c>
      <c r="AK12" s="28">
        <f t="shared" si="2"/>
        <v>20800</v>
      </c>
      <c r="AL12" s="28">
        <v>800</v>
      </c>
      <c r="AM12" s="28">
        <f t="shared" si="3"/>
        <v>20000</v>
      </c>
      <c r="AN12" s="28">
        <f t="shared" si="4"/>
        <v>1664</v>
      </c>
      <c r="AO12" s="28">
        <f t="shared" si="5"/>
        <v>21664</v>
      </c>
      <c r="AP12" s="29">
        <f t="shared" si="6"/>
        <v>96</v>
      </c>
      <c r="AQ12" s="30" t="str">
        <f t="shared" si="7"/>
        <v>Very Good</v>
      </c>
    </row>
    <row r="13" spans="1:43" ht="18" x14ac:dyDescent="0.3">
      <c r="A13" s="31" t="s">
        <v>36</v>
      </c>
      <c r="B13" s="31" t="s">
        <v>34</v>
      </c>
      <c r="C13" s="32" t="s">
        <v>21</v>
      </c>
      <c r="D13" s="32" t="s">
        <v>21</v>
      </c>
      <c r="E13" s="24" t="s">
        <v>25</v>
      </c>
      <c r="F13" s="32" t="s">
        <v>21</v>
      </c>
      <c r="G13" s="32" t="s">
        <v>21</v>
      </c>
      <c r="H13" s="32" t="s">
        <v>21</v>
      </c>
      <c r="I13" s="32" t="s">
        <v>21</v>
      </c>
      <c r="J13" s="32" t="s">
        <v>21</v>
      </c>
      <c r="K13" s="32" t="s">
        <v>21</v>
      </c>
      <c r="L13" s="24" t="s">
        <v>25</v>
      </c>
      <c r="M13" s="32" t="s">
        <v>21</v>
      </c>
      <c r="N13" s="32" t="s">
        <v>21</v>
      </c>
      <c r="O13" s="32" t="s">
        <v>21</v>
      </c>
      <c r="P13" s="32" t="s">
        <v>21</v>
      </c>
      <c r="Q13" s="32" t="s">
        <v>21</v>
      </c>
      <c r="R13" s="32" t="s">
        <v>21</v>
      </c>
      <c r="S13" s="24" t="s">
        <v>25</v>
      </c>
      <c r="T13" s="32" t="s">
        <v>21</v>
      </c>
      <c r="U13" s="32" t="s">
        <v>21</v>
      </c>
      <c r="V13" s="32" t="s">
        <v>21</v>
      </c>
      <c r="W13" s="32" t="s">
        <v>21</v>
      </c>
      <c r="X13" s="32" t="s">
        <v>21</v>
      </c>
      <c r="Y13" s="32" t="s">
        <v>21</v>
      </c>
      <c r="Z13" s="24" t="s">
        <v>25</v>
      </c>
      <c r="AA13" s="32" t="s">
        <v>21</v>
      </c>
      <c r="AB13" s="32" t="s">
        <v>21</v>
      </c>
      <c r="AC13" s="32" t="s">
        <v>21</v>
      </c>
      <c r="AD13" s="32" t="s">
        <v>21</v>
      </c>
      <c r="AE13" s="32" t="s">
        <v>21</v>
      </c>
      <c r="AF13" s="32" t="s">
        <v>21</v>
      </c>
      <c r="AG13" s="24" t="s">
        <v>25</v>
      </c>
      <c r="AH13" s="34">
        <v>26</v>
      </c>
      <c r="AI13" s="35">
        <f t="shared" si="0"/>
        <v>26</v>
      </c>
      <c r="AJ13" s="35">
        <f t="shared" si="1"/>
        <v>0</v>
      </c>
      <c r="AK13" s="36">
        <f t="shared" si="2"/>
        <v>26000</v>
      </c>
      <c r="AL13" s="36">
        <v>1000</v>
      </c>
      <c r="AM13" s="36">
        <f t="shared" si="3"/>
        <v>26000</v>
      </c>
      <c r="AN13" s="36">
        <f t="shared" si="4"/>
        <v>2080</v>
      </c>
      <c r="AO13" s="36">
        <f t="shared" si="5"/>
        <v>28080</v>
      </c>
      <c r="AP13" s="37">
        <f t="shared" si="6"/>
        <v>100</v>
      </c>
      <c r="AQ13" s="38" t="str">
        <f t="shared" si="7"/>
        <v>Very Good</v>
      </c>
    </row>
    <row r="14" spans="1:43" ht="18" x14ac:dyDescent="0.3">
      <c r="A14" s="22" t="s">
        <v>37</v>
      </c>
      <c r="B14" s="22" t="s">
        <v>38</v>
      </c>
      <c r="C14" s="23" t="s">
        <v>21</v>
      </c>
      <c r="D14" s="23" t="s">
        <v>21</v>
      </c>
      <c r="E14" s="24" t="s">
        <v>25</v>
      </c>
      <c r="F14" s="23" t="s">
        <v>21</v>
      </c>
      <c r="G14" s="23" t="s">
        <v>21</v>
      </c>
      <c r="H14" s="23" t="s">
        <v>21</v>
      </c>
      <c r="I14" s="23" t="s">
        <v>21</v>
      </c>
      <c r="J14" s="23" t="s">
        <v>21</v>
      </c>
      <c r="K14" s="23" t="s">
        <v>21</v>
      </c>
      <c r="L14" s="24" t="s">
        <v>25</v>
      </c>
      <c r="M14" s="23" t="s">
        <v>21</v>
      </c>
      <c r="N14" s="23" t="s">
        <v>21</v>
      </c>
      <c r="O14" s="23" t="s">
        <v>21</v>
      </c>
      <c r="P14" s="23" t="s">
        <v>21</v>
      </c>
      <c r="Q14" s="23" t="s">
        <v>21</v>
      </c>
      <c r="R14" s="23" t="s">
        <v>21</v>
      </c>
      <c r="S14" s="24" t="s">
        <v>25</v>
      </c>
      <c r="T14" s="23" t="s">
        <v>21</v>
      </c>
      <c r="U14" s="23" t="s">
        <v>21</v>
      </c>
      <c r="V14" s="23" t="s">
        <v>21</v>
      </c>
      <c r="W14" s="23" t="s">
        <v>21</v>
      </c>
      <c r="X14" s="23" t="s">
        <v>21</v>
      </c>
      <c r="Y14" s="23" t="s">
        <v>21</v>
      </c>
      <c r="Z14" s="24" t="s">
        <v>25</v>
      </c>
      <c r="AA14" s="23" t="s">
        <v>21</v>
      </c>
      <c r="AB14" s="23" t="s">
        <v>21</v>
      </c>
      <c r="AC14" s="23" t="s">
        <v>21</v>
      </c>
      <c r="AD14" s="23" t="s">
        <v>21</v>
      </c>
      <c r="AE14" s="23" t="s">
        <v>21</v>
      </c>
      <c r="AF14" s="23" t="s">
        <v>21</v>
      </c>
      <c r="AG14" s="24" t="s">
        <v>25</v>
      </c>
      <c r="AH14" s="26">
        <v>26</v>
      </c>
      <c r="AI14" s="27">
        <f t="shared" si="0"/>
        <v>26</v>
      </c>
      <c r="AJ14" s="27">
        <f t="shared" si="1"/>
        <v>0</v>
      </c>
      <c r="AK14" s="28">
        <f t="shared" si="2"/>
        <v>26000</v>
      </c>
      <c r="AL14" s="28">
        <v>1000</v>
      </c>
      <c r="AM14" s="28">
        <f t="shared" si="3"/>
        <v>26000</v>
      </c>
      <c r="AN14" s="28">
        <f t="shared" si="4"/>
        <v>2080</v>
      </c>
      <c r="AO14" s="28">
        <f t="shared" si="5"/>
        <v>28080</v>
      </c>
      <c r="AP14" s="29">
        <f t="shared" si="6"/>
        <v>100</v>
      </c>
      <c r="AQ14" s="30" t="str">
        <f t="shared" si="7"/>
        <v>Very Good</v>
      </c>
    </row>
    <row r="15" spans="1:43" ht="18" x14ac:dyDescent="0.3">
      <c r="A15" s="31" t="s">
        <v>39</v>
      </c>
      <c r="B15" s="31" t="s">
        <v>40</v>
      </c>
      <c r="C15" s="32" t="s">
        <v>21</v>
      </c>
      <c r="D15" s="32" t="s">
        <v>21</v>
      </c>
      <c r="E15" s="24" t="s">
        <v>25</v>
      </c>
      <c r="F15" s="32" t="s">
        <v>21</v>
      </c>
      <c r="G15" s="32" t="s">
        <v>21</v>
      </c>
      <c r="H15" s="32" t="s">
        <v>21</v>
      </c>
      <c r="I15" s="32" t="s">
        <v>21</v>
      </c>
      <c r="J15" s="32" t="s">
        <v>21</v>
      </c>
      <c r="K15" s="32" t="s">
        <v>21</v>
      </c>
      <c r="L15" s="24" t="s">
        <v>25</v>
      </c>
      <c r="M15" s="33" t="s">
        <v>22</v>
      </c>
      <c r="N15" s="32" t="s">
        <v>21</v>
      </c>
      <c r="O15" s="32" t="s">
        <v>21</v>
      </c>
      <c r="P15" s="32" t="s">
        <v>21</v>
      </c>
      <c r="Q15" s="32" t="s">
        <v>21</v>
      </c>
      <c r="R15" s="32" t="s">
        <v>21</v>
      </c>
      <c r="S15" s="24" t="s">
        <v>25</v>
      </c>
      <c r="T15" s="32" t="s">
        <v>21</v>
      </c>
      <c r="U15" s="32" t="s">
        <v>21</v>
      </c>
      <c r="V15" s="32" t="s">
        <v>21</v>
      </c>
      <c r="W15" s="33" t="s">
        <v>22</v>
      </c>
      <c r="X15" s="33" t="s">
        <v>22</v>
      </c>
      <c r="Y15" s="32" t="s">
        <v>21</v>
      </c>
      <c r="Z15" s="24" t="s">
        <v>25</v>
      </c>
      <c r="AA15" s="32" t="s">
        <v>21</v>
      </c>
      <c r="AB15" s="32" t="s">
        <v>21</v>
      </c>
      <c r="AC15" s="32" t="s">
        <v>21</v>
      </c>
      <c r="AD15" s="32" t="s">
        <v>21</v>
      </c>
      <c r="AE15" s="32" t="s">
        <v>21</v>
      </c>
      <c r="AF15" s="32" t="s">
        <v>21</v>
      </c>
      <c r="AG15" s="24" t="s">
        <v>25</v>
      </c>
      <c r="AH15" s="34">
        <v>26</v>
      </c>
      <c r="AI15" s="35">
        <f t="shared" si="0"/>
        <v>23</v>
      </c>
      <c r="AJ15" s="35">
        <f t="shared" si="1"/>
        <v>3</v>
      </c>
      <c r="AK15" s="36">
        <f t="shared" si="2"/>
        <v>31200</v>
      </c>
      <c r="AL15" s="36">
        <v>1200</v>
      </c>
      <c r="AM15" s="36">
        <f t="shared" si="3"/>
        <v>27600</v>
      </c>
      <c r="AN15" s="36">
        <f t="shared" si="4"/>
        <v>1248</v>
      </c>
      <c r="AO15" s="36">
        <f t="shared" si="5"/>
        <v>28848</v>
      </c>
      <c r="AP15" s="37">
        <f t="shared" si="6"/>
        <v>88</v>
      </c>
      <c r="AQ15" s="38" t="str">
        <f t="shared" si="7"/>
        <v>Better</v>
      </c>
    </row>
    <row r="16" spans="1:43" ht="18" x14ac:dyDescent="0.3">
      <c r="A16" s="22" t="s">
        <v>41</v>
      </c>
      <c r="B16" s="22" t="s">
        <v>42</v>
      </c>
      <c r="C16" s="23" t="s">
        <v>21</v>
      </c>
      <c r="D16" s="25" t="s">
        <v>22</v>
      </c>
      <c r="E16" s="24" t="s">
        <v>25</v>
      </c>
      <c r="F16" s="23" t="s">
        <v>21</v>
      </c>
      <c r="G16" s="23" t="s">
        <v>21</v>
      </c>
      <c r="H16" s="23" t="s">
        <v>21</v>
      </c>
      <c r="I16" s="23" t="s">
        <v>21</v>
      </c>
      <c r="J16" s="23" t="s">
        <v>21</v>
      </c>
      <c r="K16" s="23" t="s">
        <v>21</v>
      </c>
      <c r="L16" s="24" t="s">
        <v>25</v>
      </c>
      <c r="M16" s="23" t="s">
        <v>21</v>
      </c>
      <c r="N16" s="25" t="s">
        <v>22</v>
      </c>
      <c r="O16" s="25" t="s">
        <v>22</v>
      </c>
      <c r="P16" s="23" t="s">
        <v>21</v>
      </c>
      <c r="Q16" s="23" t="s">
        <v>21</v>
      </c>
      <c r="R16" s="23" t="s">
        <v>21</v>
      </c>
      <c r="S16" s="24" t="s">
        <v>25</v>
      </c>
      <c r="T16" s="23" t="s">
        <v>21</v>
      </c>
      <c r="U16" s="23" t="s">
        <v>21</v>
      </c>
      <c r="V16" s="23" t="s">
        <v>21</v>
      </c>
      <c r="W16" s="23" t="s">
        <v>21</v>
      </c>
      <c r="X16" s="25" t="s">
        <v>22</v>
      </c>
      <c r="Y16" s="25" t="s">
        <v>22</v>
      </c>
      <c r="Z16" s="24" t="s">
        <v>25</v>
      </c>
      <c r="AA16" s="23" t="s">
        <v>21</v>
      </c>
      <c r="AB16" s="23" t="s">
        <v>21</v>
      </c>
      <c r="AC16" s="23" t="s">
        <v>21</v>
      </c>
      <c r="AD16" s="23" t="s">
        <v>21</v>
      </c>
      <c r="AE16" s="23" t="s">
        <v>21</v>
      </c>
      <c r="AF16" s="23" t="s">
        <v>21</v>
      </c>
      <c r="AG16" s="24" t="s">
        <v>25</v>
      </c>
      <c r="AH16" s="26">
        <v>26</v>
      </c>
      <c r="AI16" s="27">
        <f t="shared" si="0"/>
        <v>21</v>
      </c>
      <c r="AJ16" s="27">
        <f t="shared" si="1"/>
        <v>5</v>
      </c>
      <c r="AK16" s="28">
        <f t="shared" si="2"/>
        <v>39000</v>
      </c>
      <c r="AL16" s="28">
        <v>1500</v>
      </c>
      <c r="AM16" s="28">
        <f t="shared" si="3"/>
        <v>31500</v>
      </c>
      <c r="AN16" s="28">
        <f t="shared" si="4"/>
        <v>1560</v>
      </c>
      <c r="AO16" s="28">
        <f t="shared" si="5"/>
        <v>33060</v>
      </c>
      <c r="AP16" s="29">
        <f t="shared" si="6"/>
        <v>81</v>
      </c>
      <c r="AQ16" s="30" t="str">
        <f t="shared" si="7"/>
        <v>Better</v>
      </c>
    </row>
    <row r="17" spans="1:43" ht="18" x14ac:dyDescent="0.3">
      <c r="A17" s="31" t="s">
        <v>43</v>
      </c>
      <c r="B17" s="31" t="s">
        <v>44</v>
      </c>
      <c r="C17" s="32" t="s">
        <v>21</v>
      </c>
      <c r="D17" s="33" t="s">
        <v>22</v>
      </c>
      <c r="E17" s="24" t="s">
        <v>25</v>
      </c>
      <c r="F17" s="33" t="s">
        <v>22</v>
      </c>
      <c r="G17" s="32" t="s">
        <v>21</v>
      </c>
      <c r="H17" s="32" t="s">
        <v>21</v>
      </c>
      <c r="I17" s="32" t="s">
        <v>21</v>
      </c>
      <c r="J17" s="32" t="s">
        <v>21</v>
      </c>
      <c r="K17" s="32" t="s">
        <v>21</v>
      </c>
      <c r="L17" s="24" t="s">
        <v>25</v>
      </c>
      <c r="M17" s="33" t="s">
        <v>22</v>
      </c>
      <c r="N17" s="33" t="s">
        <v>22</v>
      </c>
      <c r="O17" s="33" t="s">
        <v>22</v>
      </c>
      <c r="P17" s="32" t="s">
        <v>21</v>
      </c>
      <c r="Q17" s="32" t="s">
        <v>21</v>
      </c>
      <c r="R17" s="32" t="s">
        <v>21</v>
      </c>
      <c r="S17" s="24" t="s">
        <v>25</v>
      </c>
      <c r="T17" s="32" t="s">
        <v>21</v>
      </c>
      <c r="U17" s="32" t="s">
        <v>21</v>
      </c>
      <c r="V17" s="33" t="s">
        <v>22</v>
      </c>
      <c r="W17" s="33" t="s">
        <v>22</v>
      </c>
      <c r="X17" s="33" t="s">
        <v>22</v>
      </c>
      <c r="Y17" s="32" t="s">
        <v>21</v>
      </c>
      <c r="Z17" s="24" t="s">
        <v>25</v>
      </c>
      <c r="AA17" s="32" t="s">
        <v>21</v>
      </c>
      <c r="AB17" s="32" t="s">
        <v>21</v>
      </c>
      <c r="AC17" s="32" t="s">
        <v>21</v>
      </c>
      <c r="AD17" s="33" t="s">
        <v>22</v>
      </c>
      <c r="AE17" s="33" t="s">
        <v>22</v>
      </c>
      <c r="AF17" s="32" t="s">
        <v>21</v>
      </c>
      <c r="AG17" s="24" t="s">
        <v>25</v>
      </c>
      <c r="AH17" s="34">
        <v>26</v>
      </c>
      <c r="AI17" s="35">
        <f t="shared" si="0"/>
        <v>16</v>
      </c>
      <c r="AJ17" s="35">
        <f t="shared" si="1"/>
        <v>10</v>
      </c>
      <c r="AK17" s="36">
        <f t="shared" si="2"/>
        <v>24700</v>
      </c>
      <c r="AL17" s="36">
        <v>950</v>
      </c>
      <c r="AM17" s="36">
        <f t="shared" si="3"/>
        <v>15200</v>
      </c>
      <c r="AN17" s="36">
        <f t="shared" si="4"/>
        <v>0</v>
      </c>
      <c r="AO17" s="36">
        <f t="shared" si="5"/>
        <v>15200</v>
      </c>
      <c r="AP17" s="37">
        <f t="shared" si="6"/>
        <v>62</v>
      </c>
      <c r="AQ17" s="38" t="str">
        <f t="shared" si="7"/>
        <v>Poor</v>
      </c>
    </row>
    <row r="18" spans="1:43" ht="18" x14ac:dyDescent="0.3">
      <c r="A18" s="22" t="s">
        <v>45</v>
      </c>
      <c r="B18" s="22" t="s">
        <v>40</v>
      </c>
      <c r="C18" s="23" t="s">
        <v>21</v>
      </c>
      <c r="D18" s="23" t="s">
        <v>21</v>
      </c>
      <c r="E18" s="24" t="s">
        <v>25</v>
      </c>
      <c r="F18" s="23" t="s">
        <v>21</v>
      </c>
      <c r="G18" s="25" t="s">
        <v>22</v>
      </c>
      <c r="H18" s="25" t="s">
        <v>22</v>
      </c>
      <c r="I18" s="25" t="s">
        <v>22</v>
      </c>
      <c r="J18" s="23" t="s">
        <v>21</v>
      </c>
      <c r="K18" s="23" t="s">
        <v>21</v>
      </c>
      <c r="L18" s="24" t="s">
        <v>25</v>
      </c>
      <c r="M18" s="23" t="s">
        <v>21</v>
      </c>
      <c r="N18" s="23" t="s">
        <v>21</v>
      </c>
      <c r="O18" s="23" t="s">
        <v>21</v>
      </c>
      <c r="P18" s="23" t="s">
        <v>21</v>
      </c>
      <c r="Q18" s="23" t="s">
        <v>21</v>
      </c>
      <c r="R18" s="23" t="s">
        <v>21</v>
      </c>
      <c r="S18" s="24" t="s">
        <v>25</v>
      </c>
      <c r="T18" s="23" t="s">
        <v>21</v>
      </c>
      <c r="U18" s="25" t="s">
        <v>22</v>
      </c>
      <c r="V18" s="23" t="s">
        <v>21</v>
      </c>
      <c r="W18" s="23" t="s">
        <v>21</v>
      </c>
      <c r="X18" s="23" t="s">
        <v>21</v>
      </c>
      <c r="Y18" s="23" t="s">
        <v>21</v>
      </c>
      <c r="Z18" s="24" t="s">
        <v>25</v>
      </c>
      <c r="AA18" s="23" t="s">
        <v>21</v>
      </c>
      <c r="AB18" s="23" t="s">
        <v>21</v>
      </c>
      <c r="AC18" s="23" t="s">
        <v>21</v>
      </c>
      <c r="AD18" s="23" t="s">
        <v>21</v>
      </c>
      <c r="AE18" s="23" t="s">
        <v>21</v>
      </c>
      <c r="AF18" s="23" t="s">
        <v>21</v>
      </c>
      <c r="AG18" s="24" t="s">
        <v>25</v>
      </c>
      <c r="AH18" s="26">
        <v>26</v>
      </c>
      <c r="AI18" s="27">
        <f t="shared" si="0"/>
        <v>22</v>
      </c>
      <c r="AJ18" s="27">
        <f t="shared" si="1"/>
        <v>4</v>
      </c>
      <c r="AK18" s="28">
        <f t="shared" si="2"/>
        <v>32500</v>
      </c>
      <c r="AL18" s="28">
        <v>1250</v>
      </c>
      <c r="AM18" s="28">
        <f t="shared" si="3"/>
        <v>27500</v>
      </c>
      <c r="AN18" s="28">
        <f t="shared" si="4"/>
        <v>1300</v>
      </c>
      <c r="AO18" s="28">
        <f t="shared" si="5"/>
        <v>28800</v>
      </c>
      <c r="AP18" s="29">
        <f t="shared" si="6"/>
        <v>85</v>
      </c>
      <c r="AQ18" s="30" t="str">
        <f t="shared" si="7"/>
        <v>Better</v>
      </c>
    </row>
    <row r="19" spans="1:43" ht="18" x14ac:dyDescent="0.3">
      <c r="A19" s="31" t="s">
        <v>46</v>
      </c>
      <c r="B19" s="31" t="s">
        <v>24</v>
      </c>
      <c r="C19" s="32" t="s">
        <v>21</v>
      </c>
      <c r="D19" s="32" t="s">
        <v>21</v>
      </c>
      <c r="E19" s="24" t="s">
        <v>25</v>
      </c>
      <c r="F19" s="32" t="s">
        <v>21</v>
      </c>
      <c r="G19" s="33" t="s">
        <v>22</v>
      </c>
      <c r="H19" s="32" t="s">
        <v>21</v>
      </c>
      <c r="I19" s="33" t="s">
        <v>22</v>
      </c>
      <c r="J19" s="32" t="s">
        <v>21</v>
      </c>
      <c r="K19" s="32" t="s">
        <v>21</v>
      </c>
      <c r="L19" s="24" t="s">
        <v>25</v>
      </c>
      <c r="M19" s="32" t="s">
        <v>21</v>
      </c>
      <c r="N19" s="32" t="s">
        <v>21</v>
      </c>
      <c r="O19" s="32" t="s">
        <v>21</v>
      </c>
      <c r="P19" s="32" t="s">
        <v>21</v>
      </c>
      <c r="Q19" s="32" t="s">
        <v>21</v>
      </c>
      <c r="R19" s="32" t="s">
        <v>21</v>
      </c>
      <c r="S19" s="24" t="s">
        <v>25</v>
      </c>
      <c r="T19" s="32" t="s">
        <v>21</v>
      </c>
      <c r="U19" s="32" t="s">
        <v>21</v>
      </c>
      <c r="V19" s="32" t="s">
        <v>21</v>
      </c>
      <c r="W19" s="32" t="s">
        <v>21</v>
      </c>
      <c r="X19" s="32" t="s">
        <v>21</v>
      </c>
      <c r="Y19" s="33" t="s">
        <v>22</v>
      </c>
      <c r="Z19" s="24" t="s">
        <v>25</v>
      </c>
      <c r="AA19" s="32" t="s">
        <v>21</v>
      </c>
      <c r="AB19" s="32" t="s">
        <v>21</v>
      </c>
      <c r="AC19" s="32" t="s">
        <v>21</v>
      </c>
      <c r="AD19" s="32" t="s">
        <v>21</v>
      </c>
      <c r="AE19" s="32" t="s">
        <v>21</v>
      </c>
      <c r="AF19" s="32" t="s">
        <v>21</v>
      </c>
      <c r="AG19" s="24" t="s">
        <v>25</v>
      </c>
      <c r="AH19" s="34">
        <v>26</v>
      </c>
      <c r="AI19" s="35">
        <f t="shared" si="0"/>
        <v>23</v>
      </c>
      <c r="AJ19" s="35">
        <f t="shared" si="1"/>
        <v>3</v>
      </c>
      <c r="AK19" s="36">
        <f t="shared" si="2"/>
        <v>13000</v>
      </c>
      <c r="AL19" s="36">
        <v>500</v>
      </c>
      <c r="AM19" s="36">
        <f t="shared" si="3"/>
        <v>11500</v>
      </c>
      <c r="AN19" s="36">
        <f t="shared" si="4"/>
        <v>520</v>
      </c>
      <c r="AO19" s="36">
        <f t="shared" si="5"/>
        <v>12020</v>
      </c>
      <c r="AP19" s="37">
        <f>ROUND(AI19/AH19*100,0)</f>
        <v>88</v>
      </c>
      <c r="AQ19" s="38" t="str">
        <f t="shared" si="7"/>
        <v>Better</v>
      </c>
    </row>
    <row r="20" spans="1:43" ht="18" x14ac:dyDescent="0.3">
      <c r="A20" s="22" t="s">
        <v>47</v>
      </c>
      <c r="B20" s="22" t="s">
        <v>48</v>
      </c>
      <c r="C20" s="23" t="s">
        <v>21</v>
      </c>
      <c r="D20" s="23" t="s">
        <v>21</v>
      </c>
      <c r="E20" s="24" t="s">
        <v>25</v>
      </c>
      <c r="F20" s="23" t="s">
        <v>21</v>
      </c>
      <c r="G20" s="25" t="s">
        <v>22</v>
      </c>
      <c r="H20" s="23" t="s">
        <v>21</v>
      </c>
      <c r="I20" s="23" t="s">
        <v>21</v>
      </c>
      <c r="J20" s="25" t="s">
        <v>22</v>
      </c>
      <c r="K20" s="23" t="s">
        <v>21</v>
      </c>
      <c r="L20" s="24" t="s">
        <v>25</v>
      </c>
      <c r="M20" s="23" t="s">
        <v>21</v>
      </c>
      <c r="N20" s="23" t="s">
        <v>21</v>
      </c>
      <c r="O20" s="23" t="s">
        <v>21</v>
      </c>
      <c r="P20" s="23" t="s">
        <v>21</v>
      </c>
      <c r="Q20" s="23" t="s">
        <v>21</v>
      </c>
      <c r="R20" s="23" t="s">
        <v>21</v>
      </c>
      <c r="S20" s="24" t="s">
        <v>25</v>
      </c>
      <c r="T20" s="23" t="s">
        <v>21</v>
      </c>
      <c r="U20" s="23" t="s">
        <v>21</v>
      </c>
      <c r="V20" s="23" t="s">
        <v>21</v>
      </c>
      <c r="W20" s="23" t="s">
        <v>21</v>
      </c>
      <c r="X20" s="23" t="s">
        <v>21</v>
      </c>
      <c r="Y20" s="23" t="s">
        <v>21</v>
      </c>
      <c r="Z20" s="24" t="s">
        <v>25</v>
      </c>
      <c r="AA20" s="23" t="s">
        <v>21</v>
      </c>
      <c r="AB20" s="23" t="s">
        <v>21</v>
      </c>
      <c r="AC20" s="23" t="s">
        <v>21</v>
      </c>
      <c r="AD20" s="25" t="s">
        <v>22</v>
      </c>
      <c r="AE20" s="23" t="s">
        <v>21</v>
      </c>
      <c r="AF20" s="25" t="s">
        <v>22</v>
      </c>
      <c r="AG20" s="24" t="s">
        <v>25</v>
      </c>
      <c r="AH20" s="26">
        <v>26</v>
      </c>
      <c r="AI20" s="27">
        <f t="shared" si="0"/>
        <v>22</v>
      </c>
      <c r="AJ20" s="27">
        <f t="shared" si="1"/>
        <v>4</v>
      </c>
      <c r="AK20" s="28">
        <f t="shared" si="2"/>
        <v>19500</v>
      </c>
      <c r="AL20" s="28">
        <v>750</v>
      </c>
      <c r="AM20" s="28">
        <f t="shared" si="3"/>
        <v>16500</v>
      </c>
      <c r="AN20" s="28">
        <f t="shared" si="4"/>
        <v>780</v>
      </c>
      <c r="AO20" s="28">
        <f t="shared" si="5"/>
        <v>17280</v>
      </c>
      <c r="AP20" s="29">
        <f t="shared" si="6"/>
        <v>85</v>
      </c>
      <c r="AQ20" s="30" t="str">
        <f t="shared" si="7"/>
        <v>Better</v>
      </c>
    </row>
    <row r="21" spans="1:43" ht="18" x14ac:dyDescent="0.3">
      <c r="A21" s="31" t="s">
        <v>49</v>
      </c>
      <c r="B21" s="31" t="s">
        <v>24</v>
      </c>
      <c r="C21" s="32" t="s">
        <v>21</v>
      </c>
      <c r="D21" s="32" t="s">
        <v>21</v>
      </c>
      <c r="E21" s="24" t="s">
        <v>25</v>
      </c>
      <c r="F21" s="32" t="s">
        <v>21</v>
      </c>
      <c r="G21" s="33" t="s">
        <v>22</v>
      </c>
      <c r="H21" s="32" t="s">
        <v>21</v>
      </c>
      <c r="I21" s="32" t="s">
        <v>21</v>
      </c>
      <c r="J21" s="32" t="s">
        <v>21</v>
      </c>
      <c r="K21" s="32" t="s">
        <v>21</v>
      </c>
      <c r="L21" s="24" t="s">
        <v>25</v>
      </c>
      <c r="M21" s="32" t="s">
        <v>21</v>
      </c>
      <c r="N21" s="32" t="s">
        <v>21</v>
      </c>
      <c r="O21" s="32" t="s">
        <v>21</v>
      </c>
      <c r="P21" s="32" t="s">
        <v>21</v>
      </c>
      <c r="Q21" s="32" t="s">
        <v>21</v>
      </c>
      <c r="R21" s="32" t="s">
        <v>21</v>
      </c>
      <c r="S21" s="24" t="s">
        <v>25</v>
      </c>
      <c r="T21" s="32" t="s">
        <v>21</v>
      </c>
      <c r="U21" s="32" t="s">
        <v>21</v>
      </c>
      <c r="V21" s="32" t="s">
        <v>21</v>
      </c>
      <c r="W21" s="32" t="s">
        <v>21</v>
      </c>
      <c r="X21" s="32" t="s">
        <v>21</v>
      </c>
      <c r="Y21" s="32" t="s">
        <v>21</v>
      </c>
      <c r="Z21" s="24" t="s">
        <v>25</v>
      </c>
      <c r="AA21" s="32" t="s">
        <v>21</v>
      </c>
      <c r="AB21" s="32" t="s">
        <v>21</v>
      </c>
      <c r="AC21" s="32" t="s">
        <v>21</v>
      </c>
      <c r="AD21" s="32" t="s">
        <v>21</v>
      </c>
      <c r="AE21" s="32" t="s">
        <v>21</v>
      </c>
      <c r="AF21" s="33" t="s">
        <v>22</v>
      </c>
      <c r="AG21" s="24" t="s">
        <v>25</v>
      </c>
      <c r="AH21" s="34">
        <v>26</v>
      </c>
      <c r="AI21" s="35">
        <f t="shared" si="0"/>
        <v>24</v>
      </c>
      <c r="AJ21" s="35">
        <f t="shared" si="1"/>
        <v>2</v>
      </c>
      <c r="AK21" s="36">
        <f t="shared" si="2"/>
        <v>13000</v>
      </c>
      <c r="AL21" s="36">
        <v>500</v>
      </c>
      <c r="AM21" s="36">
        <f t="shared" si="3"/>
        <v>12000</v>
      </c>
      <c r="AN21" s="36">
        <f t="shared" si="4"/>
        <v>1040</v>
      </c>
      <c r="AO21" s="36">
        <f t="shared" si="5"/>
        <v>13040</v>
      </c>
      <c r="AP21" s="37">
        <f t="shared" si="6"/>
        <v>92</v>
      </c>
      <c r="AQ21" s="38" t="str">
        <f t="shared" si="7"/>
        <v>Good</v>
      </c>
    </row>
    <row r="22" spans="1:43" ht="18" x14ac:dyDescent="0.3">
      <c r="A22" s="22" t="s">
        <v>50</v>
      </c>
      <c r="B22" s="22" t="s">
        <v>32</v>
      </c>
      <c r="C22" s="23" t="s">
        <v>21</v>
      </c>
      <c r="D22" s="25" t="s">
        <v>22</v>
      </c>
      <c r="E22" s="24" t="s">
        <v>25</v>
      </c>
      <c r="F22" s="23" t="s">
        <v>21</v>
      </c>
      <c r="G22" s="25" t="s">
        <v>22</v>
      </c>
      <c r="H22" s="23" t="s">
        <v>21</v>
      </c>
      <c r="I22" s="23" t="s">
        <v>21</v>
      </c>
      <c r="J22" s="23" t="s">
        <v>21</v>
      </c>
      <c r="K22" s="25" t="s">
        <v>22</v>
      </c>
      <c r="L22" s="24" t="s">
        <v>25</v>
      </c>
      <c r="M22" s="23" t="s">
        <v>21</v>
      </c>
      <c r="N22" s="23" t="s">
        <v>21</v>
      </c>
      <c r="O22" s="23" t="s">
        <v>21</v>
      </c>
      <c r="P22" s="40" t="s">
        <v>22</v>
      </c>
      <c r="Q22" s="23" t="s">
        <v>21</v>
      </c>
      <c r="R22" s="23" t="s">
        <v>21</v>
      </c>
      <c r="S22" s="24" t="s">
        <v>25</v>
      </c>
      <c r="T22" s="23" t="s">
        <v>21</v>
      </c>
      <c r="U22" s="23" t="s">
        <v>21</v>
      </c>
      <c r="V22" s="25" t="s">
        <v>22</v>
      </c>
      <c r="W22" s="25" t="s">
        <v>22</v>
      </c>
      <c r="X22" s="23" t="s">
        <v>21</v>
      </c>
      <c r="Y22" s="23" t="s">
        <v>21</v>
      </c>
      <c r="Z22" s="24" t="s">
        <v>25</v>
      </c>
      <c r="AA22" s="23" t="s">
        <v>21</v>
      </c>
      <c r="AB22" s="23" t="s">
        <v>21</v>
      </c>
      <c r="AC22" s="23" t="s">
        <v>21</v>
      </c>
      <c r="AD22" s="23" t="s">
        <v>21</v>
      </c>
      <c r="AE22" s="23" t="s">
        <v>21</v>
      </c>
      <c r="AF22" s="23" t="s">
        <v>21</v>
      </c>
      <c r="AG22" s="24" t="s">
        <v>25</v>
      </c>
      <c r="AH22" s="26">
        <v>26</v>
      </c>
      <c r="AI22" s="27">
        <f t="shared" si="0"/>
        <v>20</v>
      </c>
      <c r="AJ22" s="27">
        <f t="shared" si="1"/>
        <v>6</v>
      </c>
      <c r="AK22" s="28">
        <f t="shared" si="2"/>
        <v>19500</v>
      </c>
      <c r="AL22" s="28">
        <v>750</v>
      </c>
      <c r="AM22" s="28">
        <f t="shared" si="3"/>
        <v>15000</v>
      </c>
      <c r="AN22" s="28">
        <f t="shared" si="4"/>
        <v>780</v>
      </c>
      <c r="AO22" s="28">
        <f t="shared" si="5"/>
        <v>15780</v>
      </c>
      <c r="AP22" s="29">
        <f t="shared" si="6"/>
        <v>77</v>
      </c>
      <c r="AQ22" s="30" t="str">
        <f t="shared" si="7"/>
        <v>Average</v>
      </c>
    </row>
    <row r="23" spans="1:43" ht="18" x14ac:dyDescent="0.3">
      <c r="A23" s="31" t="s">
        <v>51</v>
      </c>
      <c r="B23" s="31" t="s">
        <v>24</v>
      </c>
      <c r="C23" s="32" t="s">
        <v>21</v>
      </c>
      <c r="D23" s="33" t="s">
        <v>22</v>
      </c>
      <c r="E23" s="24" t="s">
        <v>25</v>
      </c>
      <c r="F23" s="32" t="s">
        <v>21</v>
      </c>
      <c r="G23" s="32" t="s">
        <v>21</v>
      </c>
      <c r="H23" s="32" t="s">
        <v>21</v>
      </c>
      <c r="I23" s="32" t="s">
        <v>21</v>
      </c>
      <c r="J23" s="32" t="s">
        <v>21</v>
      </c>
      <c r="K23" s="32" t="s">
        <v>21</v>
      </c>
      <c r="L23" s="24" t="s">
        <v>25</v>
      </c>
      <c r="M23" s="32" t="s">
        <v>21</v>
      </c>
      <c r="N23" s="32" t="s">
        <v>21</v>
      </c>
      <c r="O23" s="32" t="s">
        <v>21</v>
      </c>
      <c r="P23" s="32" t="s">
        <v>21</v>
      </c>
      <c r="Q23" s="32" t="s">
        <v>21</v>
      </c>
      <c r="R23" s="32" t="s">
        <v>21</v>
      </c>
      <c r="S23" s="24" t="s">
        <v>25</v>
      </c>
      <c r="T23" s="32" t="s">
        <v>21</v>
      </c>
      <c r="U23" s="32" t="s">
        <v>21</v>
      </c>
      <c r="V23" s="32" t="s">
        <v>21</v>
      </c>
      <c r="W23" s="32" t="s">
        <v>21</v>
      </c>
      <c r="X23" s="32" t="s">
        <v>21</v>
      </c>
      <c r="Y23" s="32" t="s">
        <v>21</v>
      </c>
      <c r="Z23" s="24" t="s">
        <v>25</v>
      </c>
      <c r="AA23" s="32" t="s">
        <v>21</v>
      </c>
      <c r="AB23" s="32" t="s">
        <v>21</v>
      </c>
      <c r="AC23" s="33" t="s">
        <v>22</v>
      </c>
      <c r="AD23" s="33" t="s">
        <v>22</v>
      </c>
      <c r="AE23" s="33" t="s">
        <v>22</v>
      </c>
      <c r="AF23" s="32" t="s">
        <v>21</v>
      </c>
      <c r="AG23" s="24" t="s">
        <v>25</v>
      </c>
      <c r="AH23" s="34">
        <v>26</v>
      </c>
      <c r="AI23" s="35">
        <f t="shared" si="0"/>
        <v>22</v>
      </c>
      <c r="AJ23" s="35">
        <f t="shared" si="1"/>
        <v>4</v>
      </c>
      <c r="AK23" s="36">
        <f t="shared" si="2"/>
        <v>13000</v>
      </c>
      <c r="AL23" s="36">
        <v>500</v>
      </c>
      <c r="AM23" s="36">
        <f t="shared" si="3"/>
        <v>11000</v>
      </c>
      <c r="AN23" s="36">
        <f t="shared" si="4"/>
        <v>520</v>
      </c>
      <c r="AO23" s="36">
        <f t="shared" si="5"/>
        <v>11520</v>
      </c>
      <c r="AP23" s="37">
        <f t="shared" si="6"/>
        <v>85</v>
      </c>
      <c r="AQ23" s="38" t="str">
        <f t="shared" si="7"/>
        <v>Better</v>
      </c>
    </row>
    <row r="24" spans="1:43" ht="18" x14ac:dyDescent="0.3">
      <c r="A24" s="22" t="s">
        <v>52</v>
      </c>
      <c r="B24" s="22" t="s">
        <v>38</v>
      </c>
      <c r="C24" s="23" t="s">
        <v>21</v>
      </c>
      <c r="D24" s="23" t="s">
        <v>21</v>
      </c>
      <c r="E24" s="24" t="s">
        <v>25</v>
      </c>
      <c r="F24" s="23" t="s">
        <v>21</v>
      </c>
      <c r="G24" s="23" t="s">
        <v>21</v>
      </c>
      <c r="H24" s="25" t="s">
        <v>22</v>
      </c>
      <c r="I24" s="23" t="s">
        <v>21</v>
      </c>
      <c r="J24" s="23" t="s">
        <v>21</v>
      </c>
      <c r="K24" s="23" t="s">
        <v>21</v>
      </c>
      <c r="L24" s="24" t="s">
        <v>25</v>
      </c>
      <c r="M24" s="23" t="s">
        <v>21</v>
      </c>
      <c r="N24" s="23" t="s">
        <v>21</v>
      </c>
      <c r="O24" s="23" t="s">
        <v>21</v>
      </c>
      <c r="P24" s="23" t="s">
        <v>21</v>
      </c>
      <c r="Q24" s="23" t="s">
        <v>21</v>
      </c>
      <c r="R24" s="23" t="s">
        <v>21</v>
      </c>
      <c r="S24" s="24" t="s">
        <v>25</v>
      </c>
      <c r="T24" s="23" t="s">
        <v>21</v>
      </c>
      <c r="U24" s="23" t="s">
        <v>21</v>
      </c>
      <c r="V24" s="23" t="s">
        <v>21</v>
      </c>
      <c r="W24" s="23" t="s">
        <v>21</v>
      </c>
      <c r="X24" s="23" t="s">
        <v>21</v>
      </c>
      <c r="Y24" s="23" t="s">
        <v>21</v>
      </c>
      <c r="Z24" s="24" t="s">
        <v>25</v>
      </c>
      <c r="AA24" s="23" t="s">
        <v>21</v>
      </c>
      <c r="AB24" s="23" t="s">
        <v>21</v>
      </c>
      <c r="AC24" s="25" t="s">
        <v>22</v>
      </c>
      <c r="AD24" s="23" t="s">
        <v>21</v>
      </c>
      <c r="AE24" s="23" t="s">
        <v>21</v>
      </c>
      <c r="AF24" s="25" t="s">
        <v>22</v>
      </c>
      <c r="AG24" s="24" t="s">
        <v>25</v>
      </c>
      <c r="AH24" s="26">
        <v>26</v>
      </c>
      <c r="AI24" s="27">
        <f t="shared" si="0"/>
        <v>23</v>
      </c>
      <c r="AJ24" s="27">
        <f t="shared" si="1"/>
        <v>3</v>
      </c>
      <c r="AK24" s="28">
        <f t="shared" si="2"/>
        <v>26000</v>
      </c>
      <c r="AL24" s="28">
        <v>1000</v>
      </c>
      <c r="AM24" s="28">
        <f t="shared" si="3"/>
        <v>23000</v>
      </c>
      <c r="AN24" s="28">
        <f t="shared" si="4"/>
        <v>1040</v>
      </c>
      <c r="AO24" s="28">
        <f t="shared" si="5"/>
        <v>24040</v>
      </c>
      <c r="AP24" s="29">
        <f t="shared" si="6"/>
        <v>88</v>
      </c>
      <c r="AQ24" s="30" t="str">
        <f t="shared" si="7"/>
        <v>Better</v>
      </c>
    </row>
    <row r="25" spans="1:43" ht="18" x14ac:dyDescent="0.3">
      <c r="A25" s="31" t="s">
        <v>53</v>
      </c>
      <c r="B25" s="31" t="s">
        <v>32</v>
      </c>
      <c r="C25" s="32" t="s">
        <v>21</v>
      </c>
      <c r="D25" s="32" t="s">
        <v>21</v>
      </c>
      <c r="E25" s="24" t="s">
        <v>25</v>
      </c>
      <c r="F25" s="32" t="s">
        <v>21</v>
      </c>
      <c r="G25" s="32" t="s">
        <v>21</v>
      </c>
      <c r="H25" s="33" t="s">
        <v>22</v>
      </c>
      <c r="I25" s="33" t="s">
        <v>22</v>
      </c>
      <c r="J25" s="32" t="s">
        <v>21</v>
      </c>
      <c r="K25" s="32" t="s">
        <v>21</v>
      </c>
      <c r="L25" s="24" t="s">
        <v>25</v>
      </c>
      <c r="M25" s="32" t="s">
        <v>21</v>
      </c>
      <c r="N25" s="32" t="s">
        <v>21</v>
      </c>
      <c r="O25" s="32" t="s">
        <v>21</v>
      </c>
      <c r="P25" s="32" t="s">
        <v>21</v>
      </c>
      <c r="Q25" s="32" t="s">
        <v>21</v>
      </c>
      <c r="R25" s="32" t="s">
        <v>21</v>
      </c>
      <c r="S25" s="24" t="s">
        <v>25</v>
      </c>
      <c r="T25" s="32" t="s">
        <v>21</v>
      </c>
      <c r="U25" s="32" t="s">
        <v>21</v>
      </c>
      <c r="V25" s="32" t="s">
        <v>21</v>
      </c>
      <c r="W25" s="32" t="s">
        <v>21</v>
      </c>
      <c r="X25" s="32" t="s">
        <v>21</v>
      </c>
      <c r="Y25" s="32" t="s">
        <v>21</v>
      </c>
      <c r="Z25" s="24" t="s">
        <v>25</v>
      </c>
      <c r="AA25" s="33" t="s">
        <v>22</v>
      </c>
      <c r="AB25" s="33" t="s">
        <v>22</v>
      </c>
      <c r="AC25" s="33" t="s">
        <v>22</v>
      </c>
      <c r="AD25" s="32" t="s">
        <v>21</v>
      </c>
      <c r="AE25" s="32" t="s">
        <v>21</v>
      </c>
      <c r="AF25" s="32" t="s">
        <v>21</v>
      </c>
      <c r="AG25" s="24" t="s">
        <v>25</v>
      </c>
      <c r="AH25" s="34">
        <v>26</v>
      </c>
      <c r="AI25" s="35">
        <f t="shared" si="0"/>
        <v>21</v>
      </c>
      <c r="AJ25" s="35">
        <f t="shared" si="1"/>
        <v>5</v>
      </c>
      <c r="AK25" s="36">
        <f t="shared" si="2"/>
        <v>19500</v>
      </c>
      <c r="AL25" s="36">
        <v>750</v>
      </c>
      <c r="AM25" s="36">
        <f t="shared" si="3"/>
        <v>15750</v>
      </c>
      <c r="AN25" s="36">
        <f t="shared" si="4"/>
        <v>780</v>
      </c>
      <c r="AO25" s="36">
        <f t="shared" si="5"/>
        <v>16530</v>
      </c>
      <c r="AP25" s="37">
        <f t="shared" si="6"/>
        <v>81</v>
      </c>
      <c r="AQ25" s="38" t="str">
        <f t="shared" si="7"/>
        <v>Better</v>
      </c>
    </row>
    <row r="26" spans="1:43" x14ac:dyDescent="0.3">
      <c r="AI26" s="41"/>
      <c r="AJ26" s="41"/>
    </row>
    <row r="27" spans="1:43" x14ac:dyDescent="0.3">
      <c r="AH27" s="42" t="s">
        <v>54</v>
      </c>
      <c r="AI27" s="11">
        <f t="shared" ref="AI27:AO27" si="8">SUM(AI6:AI25)</f>
        <v>455</v>
      </c>
      <c r="AJ27" s="43">
        <f t="shared" si="8"/>
        <v>65</v>
      </c>
      <c r="AK27" s="9">
        <f t="shared" si="8"/>
        <v>427700</v>
      </c>
      <c r="AL27" s="9">
        <f t="shared" si="8"/>
        <v>16450</v>
      </c>
      <c r="AM27" s="9">
        <f t="shared" si="8"/>
        <v>373550</v>
      </c>
      <c r="AN27" s="44">
        <f t="shared" si="8"/>
        <v>22672</v>
      </c>
      <c r="AO27" s="9">
        <f t="shared" si="8"/>
        <v>396222</v>
      </c>
    </row>
    <row r="28" spans="1:43" x14ac:dyDescent="0.3">
      <c r="AI28" s="41"/>
      <c r="AJ28" s="41"/>
    </row>
    <row r="31" spans="1:43" ht="18" x14ac:dyDescent="0.35">
      <c r="A31" s="45" t="s">
        <v>55</v>
      </c>
      <c r="B31" s="46" t="s">
        <v>56</v>
      </c>
      <c r="E31" s="47" t="s">
        <v>57</v>
      </c>
      <c r="F31" s="47"/>
      <c r="G31" s="47"/>
      <c r="H31" s="47"/>
      <c r="I31" s="47"/>
      <c r="J31" s="48">
        <f>SUM(B32:B41)</f>
        <v>20</v>
      </c>
    </row>
    <row r="32" spans="1:43" x14ac:dyDescent="0.3">
      <c r="A32" s="49" t="s">
        <v>24</v>
      </c>
      <c r="B32" s="50">
        <f>COUNTIF(B6:B25,"Associates")</f>
        <v>5</v>
      </c>
      <c r="E32" s="51" t="s">
        <v>58</v>
      </c>
      <c r="F32" s="51"/>
      <c r="G32" s="51"/>
      <c r="H32" s="51"/>
      <c r="I32" s="51"/>
      <c r="J32" s="52">
        <f>AVERAGE(AI6:AI25)</f>
        <v>22.75</v>
      </c>
    </row>
    <row r="33" spans="1:43" x14ac:dyDescent="0.3">
      <c r="A33" s="53" t="s">
        <v>28</v>
      </c>
      <c r="B33" s="50">
        <f>COUNTIF(B6:B25,"Web Designer")</f>
        <v>2</v>
      </c>
      <c r="E33" s="47" t="s">
        <v>59</v>
      </c>
      <c r="F33" s="47"/>
      <c r="G33" s="47"/>
      <c r="H33" s="47"/>
      <c r="I33" s="47"/>
      <c r="J33" s="48">
        <f>AVERAGE(AJ6,AJ7,AJ8,AJ9,AJ10,AJ11,AJ12,AJ13,AJ14,AJ15,AJ16,AJ17,AJ18,AJ19,AJ20,AJ21,AJ23,AJ22,AJ24,AJ25)</f>
        <v>3.25</v>
      </c>
    </row>
    <row r="34" spans="1:43" x14ac:dyDescent="0.3">
      <c r="A34" s="54" t="s">
        <v>30</v>
      </c>
      <c r="B34" s="50">
        <f>COUNTIF(B6:B25,"Technical Analyst")</f>
        <v>1</v>
      </c>
      <c r="E34" s="51" t="s">
        <v>60</v>
      </c>
      <c r="F34" s="51"/>
      <c r="G34" s="51"/>
      <c r="H34" s="51"/>
      <c r="I34" s="51"/>
      <c r="J34" s="55">
        <f>(AK27/J37)*AI27+AN27</f>
        <v>7507422</v>
      </c>
    </row>
    <row r="35" spans="1:43" x14ac:dyDescent="0.3">
      <c r="A35" s="53" t="s">
        <v>32</v>
      </c>
      <c r="B35" s="50">
        <f>COUNTIF(B9:B28,"Developer")</f>
        <v>3</v>
      </c>
      <c r="E35" s="47" t="s">
        <v>61</v>
      </c>
      <c r="F35" s="47"/>
      <c r="G35" s="47"/>
      <c r="H35" s="47"/>
      <c r="I35" s="47"/>
      <c r="J35" s="56">
        <f>AVERAGE(AO6:AO25)</f>
        <v>19811.099999999999</v>
      </c>
    </row>
    <row r="36" spans="1:43" x14ac:dyDescent="0.3">
      <c r="A36" s="53" t="s">
        <v>34</v>
      </c>
      <c r="B36" s="50">
        <f>COUNTIF(B6:B25,"Data Analyst")</f>
        <v>2</v>
      </c>
      <c r="E36" s="51" t="s">
        <v>62</v>
      </c>
      <c r="F36" s="51"/>
      <c r="G36" s="51"/>
      <c r="H36" s="51"/>
      <c r="I36" s="51"/>
      <c r="J36" s="55">
        <f>MIN(AO6:AO25)</f>
        <v>11020</v>
      </c>
    </row>
    <row r="37" spans="1:43" x14ac:dyDescent="0.3">
      <c r="A37" s="53" t="s">
        <v>38</v>
      </c>
      <c r="B37" s="50">
        <f>COUNTIF(B6:B25,"Business Analyst")</f>
        <v>2</v>
      </c>
      <c r="E37" s="47" t="s">
        <v>63</v>
      </c>
      <c r="F37" s="47"/>
      <c r="G37" s="47"/>
      <c r="H37" s="47"/>
      <c r="I37" s="47"/>
      <c r="J37" s="48">
        <v>26</v>
      </c>
    </row>
    <row r="38" spans="1:43" x14ac:dyDescent="0.3">
      <c r="A38" s="53" t="s">
        <v>40</v>
      </c>
      <c r="B38" s="50">
        <f>COUNTIF(B6:B25,"Manager")</f>
        <v>2</v>
      </c>
      <c r="E38" s="51" t="s">
        <v>64</v>
      </c>
      <c r="F38" s="51"/>
      <c r="G38" s="51"/>
      <c r="H38" s="51"/>
      <c r="I38" s="51"/>
      <c r="J38" s="55">
        <v>8576672</v>
      </c>
    </row>
    <row r="39" spans="1:43" x14ac:dyDescent="0.3">
      <c r="A39" s="53" t="s">
        <v>42</v>
      </c>
      <c r="B39" s="50">
        <f>COUNTIF(B6:B25,"Human Resource (HR)")</f>
        <v>1</v>
      </c>
      <c r="E39" s="47" t="s">
        <v>65</v>
      </c>
      <c r="F39" s="47"/>
      <c r="G39" s="47"/>
      <c r="H39" s="47"/>
      <c r="I39" s="47"/>
      <c r="J39" s="48">
        <f>B42*J37</f>
        <v>520</v>
      </c>
    </row>
    <row r="40" spans="1:43" x14ac:dyDescent="0.3">
      <c r="A40" s="53" t="s">
        <v>44</v>
      </c>
      <c r="B40" s="50">
        <f>COUNTIF(B6:B25,"Quality Analyst")</f>
        <v>1</v>
      </c>
      <c r="E40" s="51" t="s">
        <v>66</v>
      </c>
      <c r="F40" s="51"/>
      <c r="G40" s="51"/>
      <c r="H40" s="51"/>
      <c r="I40" s="51"/>
      <c r="J40" s="55">
        <f>MAX(AO6:AO25)</f>
        <v>33060</v>
      </c>
    </row>
    <row r="41" spans="1:43" x14ac:dyDescent="0.3">
      <c r="A41" s="53" t="s">
        <v>48</v>
      </c>
      <c r="B41" s="50">
        <f>COUNTIF(B6:B25,"Subject Matter Expert (SME)")</f>
        <v>1</v>
      </c>
    </row>
    <row r="42" spans="1:43" x14ac:dyDescent="0.3">
      <c r="A42" s="57" t="s">
        <v>67</v>
      </c>
      <c r="B42" s="58">
        <f>SUM(B32:B41)</f>
        <v>20</v>
      </c>
    </row>
    <row r="46" spans="1:43" x14ac:dyDescent="0.3">
      <c r="A46" s="5" t="s">
        <v>1</v>
      </c>
      <c r="B46" s="5"/>
      <c r="C46" s="5" t="s">
        <v>2</v>
      </c>
      <c r="D46" s="5" t="s">
        <v>3</v>
      </c>
      <c r="E46" s="5" t="s">
        <v>4</v>
      </c>
      <c r="F46" s="5" t="s">
        <v>5</v>
      </c>
      <c r="G46" s="5" t="s">
        <v>6</v>
      </c>
      <c r="H46" s="5" t="s">
        <v>7</v>
      </c>
      <c r="I46" s="5" t="s">
        <v>8</v>
      </c>
      <c r="J46" s="5" t="s">
        <v>2</v>
      </c>
      <c r="K46" s="5" t="s">
        <v>3</v>
      </c>
      <c r="L46" s="5" t="s">
        <v>4</v>
      </c>
      <c r="M46" s="5" t="s">
        <v>5</v>
      </c>
      <c r="N46" s="5" t="s">
        <v>6</v>
      </c>
      <c r="O46" s="5" t="s">
        <v>7</v>
      </c>
      <c r="P46" s="5" t="s">
        <v>8</v>
      </c>
      <c r="Q46" s="5" t="s">
        <v>2</v>
      </c>
      <c r="R46" s="5" t="s">
        <v>3</v>
      </c>
      <c r="S46" s="5" t="s">
        <v>4</v>
      </c>
      <c r="T46" s="5" t="s">
        <v>5</v>
      </c>
      <c r="U46" s="5" t="s">
        <v>6</v>
      </c>
      <c r="V46" s="5" t="s">
        <v>7</v>
      </c>
      <c r="W46" s="5" t="s">
        <v>8</v>
      </c>
      <c r="X46" s="5" t="s">
        <v>2</v>
      </c>
      <c r="Y46" s="5" t="s">
        <v>3</v>
      </c>
      <c r="Z46" s="5" t="s">
        <v>4</v>
      </c>
      <c r="AA46" s="5" t="s">
        <v>5</v>
      </c>
      <c r="AB46" s="5" t="s">
        <v>6</v>
      </c>
      <c r="AC46" s="5" t="s">
        <v>7</v>
      </c>
      <c r="AD46" s="5" t="s">
        <v>8</v>
      </c>
      <c r="AE46" s="5" t="s">
        <v>2</v>
      </c>
      <c r="AF46" s="5" t="s">
        <v>3</v>
      </c>
      <c r="AG46" s="5" t="s">
        <v>4</v>
      </c>
      <c r="AH46" s="6"/>
      <c r="AI46" s="5"/>
      <c r="AJ46" s="7"/>
      <c r="AK46" s="8"/>
      <c r="AL46" s="8"/>
      <c r="AM46" s="9"/>
      <c r="AN46" s="10"/>
      <c r="AO46" s="11"/>
      <c r="AP46" s="11"/>
      <c r="AQ46" s="11"/>
    </row>
    <row r="47" spans="1:43" x14ac:dyDescent="0.3">
      <c r="A47" s="12" t="s">
        <v>9</v>
      </c>
      <c r="B47" s="12"/>
      <c r="C47" s="12">
        <v>1</v>
      </c>
      <c r="D47" s="12">
        <v>2</v>
      </c>
      <c r="E47" s="12">
        <v>3</v>
      </c>
      <c r="F47" s="12">
        <v>4</v>
      </c>
      <c r="G47" s="12">
        <v>5</v>
      </c>
      <c r="H47" s="12">
        <v>6</v>
      </c>
      <c r="I47" s="12">
        <v>7</v>
      </c>
      <c r="J47" s="12">
        <v>8</v>
      </c>
      <c r="K47" s="12">
        <v>9</v>
      </c>
      <c r="L47" s="12">
        <v>10</v>
      </c>
      <c r="M47" s="12">
        <v>11</v>
      </c>
      <c r="N47" s="12">
        <v>12</v>
      </c>
      <c r="O47" s="12">
        <v>13</v>
      </c>
      <c r="P47" s="12">
        <v>14</v>
      </c>
      <c r="Q47" s="12">
        <v>15</v>
      </c>
      <c r="R47" s="12">
        <v>16</v>
      </c>
      <c r="S47" s="12">
        <v>17</v>
      </c>
      <c r="T47" s="12">
        <v>18</v>
      </c>
      <c r="U47" s="12">
        <v>19</v>
      </c>
      <c r="V47" s="12">
        <v>20</v>
      </c>
      <c r="W47" s="12">
        <v>21</v>
      </c>
      <c r="X47" s="12">
        <v>22</v>
      </c>
      <c r="Y47" s="12">
        <v>23</v>
      </c>
      <c r="Z47" s="12">
        <v>24</v>
      </c>
      <c r="AA47" s="12">
        <v>25</v>
      </c>
      <c r="AB47" s="12">
        <v>26</v>
      </c>
      <c r="AC47" s="12">
        <v>27</v>
      </c>
      <c r="AD47" s="12">
        <v>28</v>
      </c>
      <c r="AE47" s="12">
        <v>29</v>
      </c>
      <c r="AF47" s="12">
        <v>30</v>
      </c>
      <c r="AG47" s="12">
        <v>31</v>
      </c>
      <c r="AH47" s="13" t="s">
        <v>10</v>
      </c>
      <c r="AI47" s="14" t="s">
        <v>11</v>
      </c>
      <c r="AJ47" s="14"/>
      <c r="AK47" s="15" t="s">
        <v>12</v>
      </c>
      <c r="AL47" s="16" t="s">
        <v>13</v>
      </c>
      <c r="AM47" s="16" t="s">
        <v>14</v>
      </c>
      <c r="AN47" s="17" t="s">
        <v>15</v>
      </c>
      <c r="AO47" s="18" t="s">
        <v>16</v>
      </c>
      <c r="AP47" s="18" t="s">
        <v>17</v>
      </c>
      <c r="AQ47" s="18" t="s">
        <v>18</v>
      </c>
    </row>
    <row r="48" spans="1:43" ht="18" x14ac:dyDescent="0.3">
      <c r="A48" s="5" t="s">
        <v>19</v>
      </c>
      <c r="B48" s="5" t="s">
        <v>20</v>
      </c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9" t="s">
        <v>21</v>
      </c>
      <c r="AJ48" s="20" t="s">
        <v>22</v>
      </c>
      <c r="AK48" s="21"/>
      <c r="AL48" s="9"/>
      <c r="AM48" s="9"/>
      <c r="AN48" s="10"/>
      <c r="AO48" s="11"/>
      <c r="AP48" s="11"/>
      <c r="AQ48" s="11"/>
    </row>
    <row r="49" spans="1:43" x14ac:dyDescent="0.3">
      <c r="A49" s="27" t="s">
        <v>52</v>
      </c>
      <c r="B49" s="27" t="str">
        <f>VLOOKUP(A49,$A$6:$AQ$25,2,0)</f>
        <v>Business Analyst</v>
      </c>
      <c r="C49" s="59" t="str">
        <f>VLOOKUP(A49,$A$6:$AQ$25,3,0)</f>
        <v>P</v>
      </c>
      <c r="D49" s="30" t="str">
        <f>VLOOKUP(A49,$A$6:$AQ$25,4,0)</f>
        <v>P</v>
      </c>
      <c r="E49" s="30" t="str">
        <f>VLOOKUP(A49,$A$6:$AQ$25,5,0)</f>
        <v>LA</v>
      </c>
      <c r="F49" s="30" t="str">
        <f>VLOOKUP(A49,$A$6:$AQ$25,6,0)</f>
        <v>P</v>
      </c>
      <c r="G49" s="30" t="str">
        <f>VLOOKUP(A49,$A$6:$AQ$25,7,0)</f>
        <v>P</v>
      </c>
      <c r="H49" s="30" t="str">
        <f>VLOOKUP(A49,$A$6:$AQ$25,8,0)</f>
        <v>A</v>
      </c>
      <c r="I49" s="30" t="str">
        <f>VLOOKUP(A49,$A$6:$AQ$25,9,0)</f>
        <v>P</v>
      </c>
      <c r="J49" s="30" t="str">
        <f>VLOOKUP(A49,$A$6:$AQ$25,10,0)</f>
        <v>P</v>
      </c>
      <c r="K49" s="30" t="str">
        <f>VLOOKUP(A49,$A$6:$AQ$25,11,0)</f>
        <v>P</v>
      </c>
      <c r="L49" s="30" t="str">
        <f>VLOOKUP(A49,$A$6:$AQ$25,12,0)</f>
        <v>LA</v>
      </c>
      <c r="M49" s="30" t="str">
        <f>VLOOKUP(A49,$A$6:$AQ$25,13,0)</f>
        <v>P</v>
      </c>
      <c r="N49" s="30" t="str">
        <f>VLOOKUP(A49,$A$6:$AQ$25,14,0)</f>
        <v>P</v>
      </c>
      <c r="O49" s="30" t="str">
        <f>VLOOKUP(A49,$A$6:$AQ$25,15,0)</f>
        <v>P</v>
      </c>
      <c r="P49" s="30" t="str">
        <f>VLOOKUP(A49,$A$6:$AQ$25,16,0)</f>
        <v>P</v>
      </c>
      <c r="Q49" s="30" t="str">
        <f>VLOOKUP(A49,$A$6:$AQ$25,17,0)</f>
        <v>P</v>
      </c>
      <c r="R49" s="30" t="str">
        <f>VLOOKUP(A49,$A$6:$AQ$25,18,0)</f>
        <v>P</v>
      </c>
      <c r="S49" s="30" t="str">
        <f>VLOOKUP(A49,$A$6:$AQ$25,19,0)</f>
        <v>LA</v>
      </c>
      <c r="T49" s="30" t="str">
        <f>VLOOKUP(A49,$A$6:$AQ$25,20,0)</f>
        <v>P</v>
      </c>
      <c r="U49" s="30" t="str">
        <f>VLOOKUP(A49,$A$6:$AQ$25,21,0)</f>
        <v>P</v>
      </c>
      <c r="V49" s="30" t="str">
        <f>VLOOKUP(A49,$A$6:$AQ$25,22,0)</f>
        <v>P</v>
      </c>
      <c r="W49" s="30" t="str">
        <f>VLOOKUP(A49,$A$6:$AQ$25,23,0)</f>
        <v>P</v>
      </c>
      <c r="X49" s="30" t="str">
        <f>VLOOKUP(A49,$A$6:$AQ$25,24,0)</f>
        <v>P</v>
      </c>
      <c r="Y49" s="30" t="str">
        <f>VLOOKUP(A49,$A$6:$AQ$25,25,0)</f>
        <v>P</v>
      </c>
      <c r="Z49" s="30" t="str">
        <f>VLOOKUP(A49,$A$6:$AQ$25,26,0)</f>
        <v>LA</v>
      </c>
      <c r="AA49" s="30" t="str">
        <f>VLOOKUP(A49,$A$6:$AQ$25,27,0)</f>
        <v>P</v>
      </c>
      <c r="AB49" s="30" t="str">
        <f>VLOOKUP(A49,$A$6:$AQ$25,28,0)</f>
        <v>P</v>
      </c>
      <c r="AC49" s="30" t="str">
        <f>VLOOKUP(A49,$A$6:$AQ$25,29,0)</f>
        <v>A</v>
      </c>
      <c r="AD49" s="30" t="str">
        <f>VLOOKUP(A49,$A$6:$AQ$25,30,0)</f>
        <v>P</v>
      </c>
      <c r="AE49" s="30" t="str">
        <f>VLOOKUP(A49,$A$6:$AQ$25,31,0)</f>
        <v>P</v>
      </c>
      <c r="AF49" s="30" t="str">
        <f>VLOOKUP(A49,$A$6:$AQ$25,32,0)</f>
        <v>A</v>
      </c>
      <c r="AG49" s="30" t="str">
        <f>VLOOKUP(A49,$A$6:$AQ$25,33,0)</f>
        <v>LA</v>
      </c>
      <c r="AH49" s="27">
        <f>VLOOKUP(A49,$A$6:$AQ$25,34,0)</f>
        <v>26</v>
      </c>
      <c r="AI49" s="27">
        <f>VLOOKUP(A49,$A$6:$AQ$25,35,0)</f>
        <v>23</v>
      </c>
      <c r="AJ49" s="27">
        <f>VLOOKUP(A49,$A$6:$AQ$25,36,0)</f>
        <v>3</v>
      </c>
      <c r="AK49" s="28">
        <f>VLOOKUP(A49,$A$6:$AQ$25,37,0)</f>
        <v>26000</v>
      </c>
      <c r="AL49" s="28">
        <f>VLOOKUP(A49,$A$6:$AQ$25,38,0)</f>
        <v>1000</v>
      </c>
      <c r="AM49" s="28">
        <f>VLOOKUP(A49,$A$6:$AQ$25,39,0)</f>
        <v>23000</v>
      </c>
      <c r="AN49" s="28">
        <f>VLOOKUP(A49,$A$6:$AQ$25,40,0)</f>
        <v>1040</v>
      </c>
      <c r="AO49" s="28">
        <f>VLOOKUP(A49,$A$6:$AQ$25,41,0)</f>
        <v>24040</v>
      </c>
      <c r="AP49" s="27">
        <f>VLOOKUP(A49,$A$6:$AQ$25,42,0)</f>
        <v>88</v>
      </c>
      <c r="AQ49" s="30" t="str">
        <f>VLOOKUP(A49,$A$6:$AQ$25,43,0)</f>
        <v>Better</v>
      </c>
    </row>
    <row r="52" spans="1:43" x14ac:dyDescent="0.3">
      <c r="A52" s="42" t="s">
        <v>68</v>
      </c>
      <c r="B52" s="35">
        <f>VLOOKUP(A49,$A$6:$AQ$25,35,0)</f>
        <v>23</v>
      </c>
    </row>
    <row r="53" spans="1:43" x14ac:dyDescent="0.3">
      <c r="A53" s="42" t="s">
        <v>69</v>
      </c>
      <c r="B53" s="35">
        <f>VLOOKUP(A49,$A$6:$AQ$25,36,0)</f>
        <v>3</v>
      </c>
    </row>
  </sheetData>
  <mergeCells count="13">
    <mergeCell ref="AI47:AJ47"/>
    <mergeCell ref="E35:I35"/>
    <mergeCell ref="E36:I36"/>
    <mergeCell ref="E37:I37"/>
    <mergeCell ref="E38:I38"/>
    <mergeCell ref="E39:I39"/>
    <mergeCell ref="E40:I40"/>
    <mergeCell ref="I1:J1"/>
    <mergeCell ref="AI4:AJ4"/>
    <mergeCell ref="E31:I31"/>
    <mergeCell ref="E32:I32"/>
    <mergeCell ref="E33:I33"/>
    <mergeCell ref="E34:I34"/>
  </mergeCells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DHAVASIA G</dc:creator>
  <cp:lastModifiedBy>DHAVASIA G</cp:lastModifiedBy>
  <dcterms:created xsi:type="dcterms:W3CDTF">2025-08-16T06:40:04Z</dcterms:created>
  <dcterms:modified xsi:type="dcterms:W3CDTF">2025-08-16T06:41:07Z</dcterms:modified>
</cp:coreProperties>
</file>