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hiraj Kumar\OneDrive\Desktop\"/>
    </mc:Choice>
  </mc:AlternateContent>
  <bookViews>
    <workbookView xWindow="0" yWindow="0" windowWidth="20490" windowHeight="7650" tabRatio="685" activeTab="2"/>
  </bookViews>
  <sheets>
    <sheet name="Key assumptions" sheetId="28" r:id="rId1"/>
    <sheet name="Income statement" sheetId="27" r:id="rId2"/>
    <sheet name="Balance sheet" sheetId="29" r:id="rId3"/>
    <sheet name="Cash flow statement" sheetId="30" r:id="rId4"/>
    <sheet name="Debt schedule" sheetId="32" r:id="rId5"/>
    <sheet name="PP&amp;E schedule" sheetId="33" r:id="rId6"/>
    <sheet name="Working capital" sheetId="31" r:id="rId7"/>
  </sheets>
  <definedNames>
    <definedName name="asd">#REF!</definedName>
    <definedName name="CIQWBGuid" hidden="1">"2cd8126d-26c3-430c-b7fa-a069e3a1fc62"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9" l="1"/>
  <c r="H18" i="29" s="1"/>
  <c r="I18" i="29" s="1"/>
  <c r="J18" i="29" s="1"/>
  <c r="F18" i="29"/>
  <c r="J22" i="30"/>
  <c r="I22" i="30"/>
  <c r="H22" i="30"/>
  <c r="G22" i="30"/>
  <c r="F22" i="30"/>
  <c r="J20" i="30"/>
  <c r="I20" i="30"/>
  <c r="H20" i="30"/>
  <c r="G20" i="30"/>
  <c r="F20" i="30"/>
  <c r="J17" i="30"/>
  <c r="I17" i="30"/>
  <c r="H17" i="30"/>
  <c r="G17" i="30"/>
  <c r="F17" i="30"/>
  <c r="J25" i="27"/>
  <c r="I25" i="27"/>
  <c r="H25" i="27"/>
  <c r="G25" i="27"/>
  <c r="F25" i="27"/>
  <c r="J11" i="32"/>
  <c r="I11" i="32"/>
  <c r="H11" i="32"/>
  <c r="G11" i="32"/>
  <c r="F11" i="32"/>
  <c r="J13" i="32"/>
  <c r="I13" i="32"/>
  <c r="H13" i="32"/>
  <c r="G13" i="32"/>
  <c r="F13" i="32"/>
  <c r="J19" i="30" l="1"/>
  <c r="I19" i="30"/>
  <c r="H19" i="30"/>
  <c r="G19" i="30"/>
  <c r="J18" i="30"/>
  <c r="I18" i="30"/>
  <c r="H18" i="30"/>
  <c r="G18" i="30"/>
  <c r="F18" i="30"/>
  <c r="F19" i="30"/>
  <c r="J14" i="30"/>
  <c r="J13" i="30"/>
  <c r="I13" i="30"/>
  <c r="I14" i="30" s="1"/>
  <c r="H13" i="30"/>
  <c r="H14" i="30" s="1"/>
  <c r="G13" i="30"/>
  <c r="G14" i="30" s="1"/>
  <c r="J9" i="30"/>
  <c r="I9" i="30"/>
  <c r="H9" i="30"/>
  <c r="G9" i="30"/>
  <c r="J8" i="30"/>
  <c r="I8" i="30"/>
  <c r="H8" i="30"/>
  <c r="G8" i="30"/>
  <c r="F14" i="30"/>
  <c r="F13" i="30"/>
  <c r="F9" i="30"/>
  <c r="F8" i="30"/>
  <c r="J15" i="29"/>
  <c r="I15" i="29"/>
  <c r="H15" i="29"/>
  <c r="G15" i="29"/>
  <c r="F15" i="29"/>
  <c r="J14" i="29"/>
  <c r="I14" i="29"/>
  <c r="H14" i="29"/>
  <c r="G14" i="29"/>
  <c r="F14" i="29"/>
  <c r="J10" i="29"/>
  <c r="I10" i="29"/>
  <c r="H10" i="29"/>
  <c r="G10" i="29"/>
  <c r="F10" i="29"/>
  <c r="J16" i="27"/>
  <c r="I16" i="27"/>
  <c r="H16" i="27"/>
  <c r="G16" i="27"/>
  <c r="J18" i="27"/>
  <c r="I18" i="27"/>
  <c r="H18" i="27"/>
  <c r="G18" i="27"/>
  <c r="F18" i="27"/>
  <c r="J20" i="27"/>
  <c r="J21" i="27" s="1"/>
  <c r="I20" i="27"/>
  <c r="I21" i="27" s="1"/>
  <c r="H20" i="27"/>
  <c r="H21" i="27" s="1"/>
  <c r="G20" i="27"/>
  <c r="G21" i="27" s="1"/>
  <c r="F20" i="27"/>
  <c r="F21" i="27" s="1"/>
  <c r="F16" i="27"/>
  <c r="F10" i="33"/>
  <c r="F8" i="33"/>
  <c r="J9" i="33"/>
  <c r="I9" i="33"/>
  <c r="H9" i="33"/>
  <c r="G9" i="33"/>
  <c r="F9" i="33"/>
  <c r="J9" i="32"/>
  <c r="I9" i="32"/>
  <c r="H9" i="32"/>
  <c r="G9" i="32"/>
  <c r="F9" i="32"/>
  <c r="G17" i="29"/>
  <c r="H17" i="29" s="1"/>
  <c r="I17" i="29" s="1"/>
  <c r="J17" i="29" s="1"/>
  <c r="F17" i="29"/>
  <c r="J13" i="29"/>
  <c r="I13" i="29"/>
  <c r="H13" i="29"/>
  <c r="G13" i="29"/>
  <c r="J9" i="29"/>
  <c r="I9" i="29"/>
  <c r="H9" i="29"/>
  <c r="G9" i="29"/>
  <c r="J8" i="29"/>
  <c r="I8" i="29"/>
  <c r="H8" i="29"/>
  <c r="G8" i="29"/>
  <c r="F9" i="29"/>
  <c r="F8" i="29"/>
  <c r="F13" i="29"/>
  <c r="J12" i="31"/>
  <c r="I12" i="31"/>
  <c r="H12" i="31"/>
  <c r="G12" i="31"/>
  <c r="F12" i="31"/>
  <c r="J11" i="31"/>
  <c r="I11" i="31"/>
  <c r="H11" i="31"/>
  <c r="G11" i="31"/>
  <c r="F11" i="31"/>
  <c r="J10" i="31"/>
  <c r="I10" i="31"/>
  <c r="H10" i="31"/>
  <c r="G10" i="31"/>
  <c r="F10" i="31"/>
  <c r="J9" i="31"/>
  <c r="I9" i="31"/>
  <c r="H9" i="31"/>
  <c r="G9" i="31"/>
  <c r="F9" i="31"/>
  <c r="J8" i="31"/>
  <c r="I8" i="31"/>
  <c r="H8" i="31"/>
  <c r="G8" i="31"/>
  <c r="F8" i="31"/>
  <c r="J18" i="31"/>
  <c r="I18" i="31"/>
  <c r="H18" i="31"/>
  <c r="G18" i="31"/>
  <c r="F18" i="31"/>
  <c r="E18" i="31"/>
  <c r="D18" i="31"/>
  <c r="J17" i="31"/>
  <c r="I17" i="31"/>
  <c r="H17" i="31"/>
  <c r="G17" i="31"/>
  <c r="F17" i="31"/>
  <c r="E17" i="31"/>
  <c r="D17" i="31"/>
  <c r="J16" i="31"/>
  <c r="I16" i="31"/>
  <c r="H16" i="31"/>
  <c r="G16" i="31"/>
  <c r="F16" i="31"/>
  <c r="E16" i="31"/>
  <c r="D16" i="31"/>
  <c r="C18" i="31"/>
  <c r="C17" i="31"/>
  <c r="C16" i="31"/>
  <c r="G8" i="32"/>
  <c r="G10" i="32" s="1"/>
  <c r="H8" i="32" s="1"/>
  <c r="H10" i="32" s="1"/>
  <c r="I8" i="32" s="1"/>
  <c r="I10" i="32" s="1"/>
  <c r="J8" i="32" s="1"/>
  <c r="J10" i="32" s="1"/>
  <c r="F8" i="32"/>
  <c r="F10" i="32" s="1"/>
  <c r="J14" i="27"/>
  <c r="I14" i="27"/>
  <c r="H14" i="27"/>
  <c r="G14" i="27"/>
  <c r="F14" i="27"/>
  <c r="J9" i="27"/>
  <c r="I9" i="27"/>
  <c r="H9" i="27"/>
  <c r="G9" i="27"/>
  <c r="F9" i="27"/>
  <c r="J8" i="27"/>
  <c r="I8" i="27"/>
  <c r="H8" i="27"/>
  <c r="G8" i="27"/>
  <c r="J12" i="27"/>
  <c r="I12" i="27"/>
  <c r="H12" i="27"/>
  <c r="G12" i="27"/>
  <c r="J11" i="27"/>
  <c r="I11" i="27"/>
  <c r="H11" i="27"/>
  <c r="G11" i="27"/>
  <c r="F12" i="27"/>
  <c r="F11" i="27"/>
  <c r="F8" i="27"/>
  <c r="G7" i="27"/>
  <c r="H7" i="27" s="1"/>
  <c r="I7" i="27" s="1"/>
  <c r="J7" i="27" s="1"/>
  <c r="F7" i="27"/>
  <c r="H22" i="27" l="1"/>
  <c r="H23" i="27" s="1"/>
  <c r="H7" i="30" s="1"/>
  <c r="H10" i="30" s="1"/>
  <c r="I22" i="27"/>
  <c r="I23" i="27" s="1"/>
  <c r="I7" i="30" s="1"/>
  <c r="I10" i="30" s="1"/>
  <c r="J22" i="27"/>
  <c r="J23" i="27" s="1"/>
  <c r="J7" i="30" s="1"/>
  <c r="J10" i="30" s="1"/>
  <c r="G22" i="27"/>
  <c r="G23" i="27" s="1"/>
  <c r="G7" i="30" s="1"/>
  <c r="G10" i="30" s="1"/>
  <c r="F22" i="27"/>
  <c r="F23" i="27" s="1"/>
  <c r="E18" i="28"/>
  <c r="D18" i="28"/>
  <c r="C18" i="28"/>
  <c r="E17" i="28"/>
  <c r="D17" i="28"/>
  <c r="C17" i="28"/>
  <c r="D27" i="27"/>
  <c r="C27" i="27"/>
  <c r="XFD26" i="29"/>
  <c r="E14" i="29"/>
  <c r="D14" i="29"/>
  <c r="C14" i="29"/>
  <c r="E10" i="31"/>
  <c r="D10" i="31"/>
  <c r="C10" i="31"/>
  <c r="E9" i="31"/>
  <c r="D9" i="31"/>
  <c r="C9" i="31"/>
  <c r="E8" i="31"/>
  <c r="D8" i="31"/>
  <c r="C8" i="31"/>
  <c r="E18" i="30"/>
  <c r="D18" i="30"/>
  <c r="C18" i="30"/>
  <c r="E10" i="29"/>
  <c r="D10" i="29"/>
  <c r="C10" i="29"/>
  <c r="E13" i="30"/>
  <c r="D13" i="30"/>
  <c r="C13" i="30"/>
  <c r="E8" i="30"/>
  <c r="D8" i="30"/>
  <c r="C8" i="30"/>
  <c r="D21" i="27"/>
  <c r="C21" i="27"/>
  <c r="H14" i="28"/>
  <c r="I14" i="28" s="1"/>
  <c r="J14" i="28" s="1"/>
  <c r="G14" i="28"/>
  <c r="H12" i="28"/>
  <c r="I12" i="28" s="1"/>
  <c r="J12" i="28" s="1"/>
  <c r="G12" i="28"/>
  <c r="D12" i="28"/>
  <c r="C12" i="28"/>
  <c r="F11" i="28"/>
  <c r="G11" i="28" s="1"/>
  <c r="H11" i="28" s="1"/>
  <c r="I11" i="28" s="1"/>
  <c r="J11" i="28" s="1"/>
  <c r="F10" i="28"/>
  <c r="G10" i="28" s="1"/>
  <c r="H10" i="28" s="1"/>
  <c r="I10" i="28" s="1"/>
  <c r="J10" i="28" s="1"/>
  <c r="D18" i="27"/>
  <c r="C18" i="27"/>
  <c r="E14" i="27"/>
  <c r="D14" i="27"/>
  <c r="C14" i="27"/>
  <c r="E13" i="28"/>
  <c r="D13" i="28"/>
  <c r="C13" i="28"/>
  <c r="E20" i="27"/>
  <c r="D20" i="27"/>
  <c r="C20" i="27"/>
  <c r="E8" i="32"/>
  <c r="D8" i="32"/>
  <c r="E10" i="32"/>
  <c r="D10" i="32"/>
  <c r="C10" i="32"/>
  <c r="C16" i="27"/>
  <c r="C11" i="33"/>
  <c r="D8" i="33" s="1"/>
  <c r="D16" i="27" s="1"/>
  <c r="D4" i="33"/>
  <c r="E4" i="33" s="1"/>
  <c r="F4" i="33" s="1"/>
  <c r="G4" i="33" s="1"/>
  <c r="H4" i="33" s="1"/>
  <c r="I4" i="33" s="1"/>
  <c r="J4" i="33" s="1"/>
  <c r="D4" i="32"/>
  <c r="E4" i="32" s="1"/>
  <c r="F4" i="32" s="1"/>
  <c r="G4" i="32" s="1"/>
  <c r="H4" i="32" s="1"/>
  <c r="I4" i="32" s="1"/>
  <c r="J4" i="32" s="1"/>
  <c r="C12" i="27"/>
  <c r="C11" i="28" s="1"/>
  <c r="C11" i="27"/>
  <c r="C10" i="28" s="1"/>
  <c r="C8" i="27"/>
  <c r="C9" i="27" s="1"/>
  <c r="F7" i="30" l="1"/>
  <c r="F10" i="30" s="1"/>
  <c r="C23" i="27"/>
  <c r="C9" i="28"/>
  <c r="D11" i="33"/>
  <c r="E8" i="33" s="1"/>
  <c r="F19" i="29" l="1"/>
  <c r="F20" i="29" s="1"/>
  <c r="E16" i="27"/>
  <c r="G19" i="29" l="1"/>
  <c r="G20" i="29" s="1"/>
  <c r="E12" i="28"/>
  <c r="E18" i="27"/>
  <c r="E21" i="27" s="1"/>
  <c r="E11" i="33"/>
  <c r="H19" i="29" l="1"/>
  <c r="H20" i="29" s="1"/>
  <c r="D7" i="27"/>
  <c r="J19" i="29" l="1"/>
  <c r="J20" i="29" s="1"/>
  <c r="I19" i="29"/>
  <c r="I20" i="29" s="1"/>
  <c r="D12" i="27"/>
  <c r="D11" i="28" s="1"/>
  <c r="D8" i="27"/>
  <c r="D9" i="28" s="1"/>
  <c r="D11" i="27"/>
  <c r="D10" i="28" s="1"/>
  <c r="E7" i="27"/>
  <c r="D9" i="27" l="1"/>
  <c r="E12" i="27"/>
  <c r="E11" i="28" s="1"/>
  <c r="E8" i="27"/>
  <c r="E9" i="28" s="1"/>
  <c r="E11" i="27"/>
  <c r="E10" i="28" s="1"/>
  <c r="D23" i="27" l="1"/>
  <c r="E9" i="27"/>
  <c r="E23" i="27" l="1"/>
  <c r="E27" i="27" s="1"/>
  <c r="D5" i="31" l="1"/>
  <c r="E5" i="31" s="1"/>
  <c r="F5" i="31" s="1"/>
  <c r="G5" i="31" s="1"/>
  <c r="H5" i="31" s="1"/>
  <c r="I5" i="31" s="1"/>
  <c r="J5" i="31" s="1"/>
  <c r="D5" i="30"/>
  <c r="E5" i="30" s="1"/>
  <c r="F5" i="30" s="1"/>
  <c r="G5" i="30" s="1"/>
  <c r="H5" i="30" s="1"/>
  <c r="I5" i="30" s="1"/>
  <c r="J5" i="30" s="1"/>
  <c r="D5" i="29"/>
  <c r="E5" i="29" s="1"/>
  <c r="F5" i="29" s="1"/>
  <c r="G5" i="29" s="1"/>
  <c r="H5" i="29" s="1"/>
  <c r="I5" i="29" s="1"/>
  <c r="J5" i="29" s="1"/>
  <c r="D5" i="27"/>
  <c r="E5" i="27" s="1"/>
  <c r="F5" i="27" s="1"/>
  <c r="G5" i="27" s="1"/>
  <c r="H5" i="27" s="1"/>
  <c r="I5" i="27" s="1"/>
  <c r="J5" i="27" s="1"/>
  <c r="E11" i="31" l="1"/>
  <c r="D11" i="31"/>
  <c r="E12" i="31" s="1"/>
  <c r="E9" i="30" s="1"/>
  <c r="C11" i="31"/>
  <c r="E20" i="30"/>
  <c r="D20" i="30"/>
  <c r="C20" i="30"/>
  <c r="E14" i="30"/>
  <c r="D14" i="30"/>
  <c r="C14" i="30"/>
  <c r="E19" i="29"/>
  <c r="D19" i="29"/>
  <c r="C19" i="29"/>
  <c r="E15" i="29"/>
  <c r="D15" i="29"/>
  <c r="C15" i="29"/>
  <c r="C11" i="29"/>
  <c r="E7" i="30"/>
  <c r="D7" i="30"/>
  <c r="D5" i="28"/>
  <c r="E5" i="28" s="1"/>
  <c r="F5" i="28" s="1"/>
  <c r="G5" i="28" s="1"/>
  <c r="H5" i="28" s="1"/>
  <c r="I5" i="28" s="1"/>
  <c r="J5" i="28" s="1"/>
  <c r="D8" i="28"/>
  <c r="E8" i="28"/>
  <c r="C16" i="28"/>
  <c r="D16" i="28"/>
  <c r="E16" i="28"/>
  <c r="F17" i="28"/>
  <c r="F18" i="28"/>
  <c r="C20" i="28"/>
  <c r="D20" i="28"/>
  <c r="E20" i="28"/>
  <c r="C21" i="28"/>
  <c r="D21" i="28"/>
  <c r="E21" i="28"/>
  <c r="E10" i="30" l="1"/>
  <c r="E22" i="30" s="1"/>
  <c r="E25" i="30" s="1"/>
  <c r="F16" i="28"/>
  <c r="G16" i="28" s="1"/>
  <c r="G18" i="28"/>
  <c r="G17" i="28"/>
  <c r="E20" i="29"/>
  <c r="D12" i="31"/>
  <c r="D9" i="30" s="1"/>
  <c r="D10" i="30" s="1"/>
  <c r="D22" i="30" s="1"/>
  <c r="D25" i="30" s="1"/>
  <c r="F9" i="28"/>
  <c r="D20" i="29"/>
  <c r="C20" i="29"/>
  <c r="C22" i="29" s="1"/>
  <c r="C7" i="30"/>
  <c r="C10" i="30" s="1"/>
  <c r="C22" i="30" s="1"/>
  <c r="C25" i="30" s="1"/>
  <c r="C26" i="30" s="1"/>
  <c r="H18" i="28" l="1"/>
  <c r="H16" i="28"/>
  <c r="C23" i="29"/>
  <c r="H17" i="28"/>
  <c r="G9" i="28"/>
  <c r="I17" i="28" l="1"/>
  <c r="I16" i="28"/>
  <c r="I18" i="28"/>
  <c r="D24" i="30"/>
  <c r="D26" i="30" s="1"/>
  <c r="H9" i="28"/>
  <c r="J18" i="28" l="1"/>
  <c r="J16" i="28"/>
  <c r="J17" i="28"/>
  <c r="E24" i="30"/>
  <c r="E26" i="30" s="1"/>
  <c r="D11" i="29"/>
  <c r="I9" i="28"/>
  <c r="J9" i="28"/>
  <c r="F27" i="27"/>
  <c r="D22" i="29" l="1"/>
  <c r="D23" i="29"/>
  <c r="E11" i="29"/>
  <c r="F24" i="30"/>
  <c r="F25" i="30"/>
  <c r="E22" i="29" l="1"/>
  <c r="E23" i="29"/>
  <c r="F26" i="30"/>
  <c r="F7" i="29" s="1"/>
  <c r="F11" i="29" s="1"/>
  <c r="G24" i="30" l="1"/>
  <c r="G27" i="27" l="1"/>
  <c r="F22" i="29"/>
  <c r="F23" i="29"/>
  <c r="G25" i="30"/>
  <c r="G26" i="30" s="1"/>
  <c r="G7" i="29" s="1"/>
  <c r="G11" i="29" s="1"/>
  <c r="G22" i="29" l="1"/>
  <c r="H24" i="30"/>
  <c r="H27" i="27"/>
  <c r="G23" i="29" l="1"/>
  <c r="H25" i="30"/>
  <c r="H26" i="30" s="1"/>
  <c r="H7" i="29" s="1"/>
  <c r="H11" i="29" s="1"/>
  <c r="I27" i="27" l="1"/>
  <c r="H22" i="29" l="1"/>
  <c r="I24" i="30"/>
  <c r="I25" i="30"/>
  <c r="I26" i="30" l="1"/>
  <c r="I7" i="29" s="1"/>
  <c r="I11" i="29" s="1"/>
  <c r="H23" i="29"/>
  <c r="I22" i="29" l="1"/>
  <c r="J24" i="30"/>
  <c r="J27" i="27"/>
  <c r="I23" i="29" l="1"/>
  <c r="J25" i="30"/>
  <c r="J26" i="30" s="1"/>
  <c r="J7" i="29" s="1"/>
  <c r="J11" i="29" s="1"/>
  <c r="J22" i="29" l="1"/>
  <c r="J23" i="29"/>
  <c r="F11" i="33" l="1"/>
  <c r="G8" i="33" s="1"/>
  <c r="G10" i="33" s="1"/>
  <c r="G11" i="33" l="1"/>
  <c r="H8" i="33" s="1"/>
  <c r="H10" i="33" s="1"/>
  <c r="H11" i="33" l="1"/>
  <c r="I8" i="33" s="1"/>
  <c r="I10" i="33" s="1"/>
  <c r="I11" i="33" l="1"/>
  <c r="J8" i="33" s="1"/>
  <c r="J10" i="33" s="1"/>
  <c r="J11" i="33" l="1"/>
</calcChain>
</file>

<file path=xl/sharedStrings.xml><?xml version="1.0" encoding="utf-8"?>
<sst xmlns="http://schemas.openxmlformats.org/spreadsheetml/2006/main" count="102" uniqueCount="79">
  <si>
    <t>Income Statement</t>
  </si>
  <si>
    <t>Gross Profit</t>
  </si>
  <si>
    <t>Depreciation &amp; Amortization</t>
  </si>
  <si>
    <t>Taxes</t>
  </si>
  <si>
    <t>Balance Sheet</t>
  </si>
  <si>
    <t>Cash</t>
  </si>
  <si>
    <t>Accounts Receivable</t>
  </si>
  <si>
    <t>Property &amp; Equipment</t>
  </si>
  <si>
    <t>PPE Opening</t>
  </si>
  <si>
    <t>PPE Closing</t>
  </si>
  <si>
    <t>Inventory</t>
  </si>
  <si>
    <t>Total Assets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</si>
  <si>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</si>
  <si>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</si>
  <si>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</si>
  <si>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</si>
  <si>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</si>
  <si>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</si>
  <si>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</si>
  <si>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</si>
  <si>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</si>
  <si>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</si>
  <si>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Change in NWC</t>
  </si>
  <si>
    <t>Net Working Capital (NWC)</t>
  </si>
  <si>
    <t>Issuance (repayment) of debt</t>
  </si>
  <si>
    <t>Issuance (repayment) of equity</t>
  </si>
  <si>
    <t>Net Increase (decrease) in Cash</t>
  </si>
  <si>
    <t>Opening Cash Balance</t>
  </si>
  <si>
    <t>Closing Cash Balance</t>
  </si>
  <si>
    <t>Cash Flow Statement</t>
  </si>
  <si>
    <t>Check</t>
  </si>
  <si>
    <t>Working Capital Schedule</t>
  </si>
  <si>
    <t>Depreciation Schedule</t>
  </si>
  <si>
    <t>Debt &amp; Interest Schedule</t>
  </si>
  <si>
    <t>Cost of Goods Sold (COGS)</t>
  </si>
  <si>
    <t>Accounts Receivable (Days)</t>
  </si>
  <si>
    <t>Inventory (Days)</t>
  </si>
  <si>
    <t>Accounts Payable (Days)</t>
  </si>
  <si>
    <t>Assumptions</t>
  </si>
  <si>
    <t>Income statement</t>
  </si>
  <si>
    <t>Estimates</t>
  </si>
  <si>
    <t>Profit before tax</t>
  </si>
  <si>
    <t>Profit after tax</t>
  </si>
  <si>
    <t>Turnover ratios</t>
  </si>
  <si>
    <t xml:space="preserve">Accounts Receivable </t>
  </si>
  <si>
    <t xml:space="preserve">Inventory </t>
  </si>
  <si>
    <t xml:space="preserve">Accounts Payable </t>
  </si>
  <si>
    <t>Dividend payments</t>
  </si>
  <si>
    <t>Retained earnings</t>
  </si>
  <si>
    <t>Dividend outflow</t>
  </si>
  <si>
    <t>Revenue</t>
  </si>
  <si>
    <t>Historical information</t>
  </si>
  <si>
    <t>All figs in USDm</t>
  </si>
  <si>
    <t>Other operating expenses (% of sales)</t>
  </si>
  <si>
    <t>Cost of Goods Sold (% of sales)</t>
  </si>
  <si>
    <t>Debt schedule</t>
  </si>
  <si>
    <t>Add: Capex</t>
  </si>
  <si>
    <t>Less: Depreciation</t>
  </si>
  <si>
    <t>Interest expense</t>
  </si>
  <si>
    <t>Other operating expenses</t>
  </si>
  <si>
    <t>SG&amp;A</t>
  </si>
  <si>
    <t>SG&amp;A (% of sales)</t>
  </si>
  <si>
    <t>Interest expense (% of average debt)</t>
  </si>
  <si>
    <t>EBIT</t>
  </si>
  <si>
    <t>EBITDA</t>
  </si>
  <si>
    <t>Capex (m)</t>
  </si>
  <si>
    <t>Debt Issuance (Repayment) (m)</t>
  </si>
  <si>
    <t>Equity Issued (Repaid) (m)</t>
  </si>
  <si>
    <t>PP&amp;E schedule</t>
  </si>
  <si>
    <t>Depreciation &amp; Amortization (% of beginning PP&amp;E)</t>
  </si>
  <si>
    <t>Add: Depreciation &amp; Amortization</t>
  </si>
  <si>
    <t>Add/(sub) Changes in Working Capital</t>
  </si>
  <si>
    <t>Capex</t>
  </si>
  <si>
    <t>CFO</t>
  </si>
  <si>
    <t>CFI</t>
  </si>
  <si>
    <t>CFF</t>
  </si>
  <si>
    <t>Total Liabilities &amp; Equity</t>
  </si>
  <si>
    <t>Revenue Growth (%)</t>
  </si>
  <si>
    <t>Tax Rate (% of PBT)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</si>
</sst>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_-* #,##0_-;\(#,##0\)_-;_-* &quot;-&quot;_-;_-@_-"/>
    <numFmt numFmtId="166" formatCode="0.0%"/>
    <numFmt numFmtId="167" formatCode="_-* #,##0_-;\-* #,##0_-;_-* &quot;-&quot;??_-;_-@_-"/>
    <numFmt numFmtId="168" formatCode="_(* #,##0_);_(* \(#,##0\);_(* &quot;-&quot;??_);_(@_)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b/>
      <sz val="12"/>
      <color theme="0"/>
      <name val="Arial Narrow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89999084444715716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56">
    <xf numFmtId="0" fontId="0" fillId="0" borderId="0" xfId="0"/>
    <xf numFmtId="165" fontId="2" fillId="0" borderId="0" xfId="1" applyNumberFormat="1" applyFont="1"/>
    <xf numFmtId="165" fontId="2" fillId="0" borderId="1" xfId="1" applyNumberFormat="1" applyFont="1" applyBorder="1"/>
    <xf numFmtId="165" fontId="3" fillId="0" borderId="0" xfId="1" applyNumberFormat="1" applyFont="1"/>
    <xf numFmtId="165" fontId="3" fillId="0" borderId="2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Border="1"/>
    <xf numFmtId="165" fontId="3" fillId="0" borderId="0" xfId="1" applyNumberFormat="1" applyFont="1" applyBorder="1"/>
    <xf numFmtId="165" fontId="3" fillId="0" borderId="3" xfId="1" applyNumberFormat="1" applyFont="1" applyBorder="1"/>
    <xf numFmtId="165" fontId="4" fillId="0" borderId="0" xfId="1" applyNumberFormat="1" applyFont="1"/>
    <xf numFmtId="165" fontId="6" fillId="0" borderId="0" xfId="1" applyNumberFormat="1" applyFont="1"/>
    <xf numFmtId="165" fontId="7" fillId="0" borderId="0" xfId="1" applyNumberFormat="1" applyFont="1"/>
    <xf numFmtId="165" fontId="7" fillId="0" borderId="0" xfId="1" applyNumberFormat="1" applyFont="1" applyBorder="1"/>
    <xf numFmtId="165" fontId="5" fillId="0" borderId="2" xfId="1" applyNumberFormat="1" applyFont="1" applyBorder="1"/>
    <xf numFmtId="165" fontId="2" fillId="0" borderId="0" xfId="1" applyNumberFormat="1" applyFont="1" applyFill="1" applyBorder="1"/>
    <xf numFmtId="165" fontId="3" fillId="0" borderId="4" xfId="1" applyNumberFormat="1" applyFont="1" applyBorder="1"/>
    <xf numFmtId="165" fontId="5" fillId="0" borderId="4" xfId="1" applyNumberFormat="1" applyFont="1" applyBorder="1"/>
    <xf numFmtId="165" fontId="7" fillId="0" borderId="1" xfId="1" applyNumberFormat="1" applyFont="1" applyBorder="1"/>
    <xf numFmtId="165" fontId="6" fillId="0" borderId="0" xfId="1" applyNumberFormat="1" applyFont="1" applyBorder="1"/>
    <xf numFmtId="165" fontId="8" fillId="0" borderId="0" xfId="1" applyNumberFormat="1" applyFont="1" applyBorder="1"/>
    <xf numFmtId="165" fontId="5" fillId="0" borderId="0" xfId="1" applyNumberFormat="1" applyFont="1" applyBorder="1"/>
    <xf numFmtId="165" fontId="5" fillId="0" borderId="3" xfId="1" applyNumberFormat="1" applyFont="1" applyBorder="1"/>
    <xf numFmtId="165" fontId="8" fillId="0" borderId="2" xfId="1" applyNumberFormat="1" applyFont="1" applyBorder="1"/>
    <xf numFmtId="165" fontId="8" fillId="0" borderId="0" xfId="1" applyNumberFormat="1" applyFont="1"/>
    <xf numFmtId="168" fontId="2" fillId="0" borderId="0" xfId="1" applyNumberFormat="1" applyFont="1" applyFill="1" applyBorder="1"/>
    <xf numFmtId="0" fontId="11" fillId="0" borderId="0" xfId="0" applyFont="1"/>
    <xf numFmtId="0" fontId="5" fillId="3" borderId="0" xfId="1" applyNumberFormat="1" applyFont="1" applyFill="1" applyAlignment="1"/>
    <xf numFmtId="0" fontId="5" fillId="4" borderId="0" xfId="0" applyFont="1" applyFill="1"/>
    <xf numFmtId="37" fontId="9" fillId="2" borderId="0" xfId="0" applyNumberFormat="1" applyFont="1" applyFill="1" applyAlignment="1">
      <alignment vertical="center"/>
    </xf>
    <xf numFmtId="0" fontId="13" fillId="0" borderId="0" xfId="0" applyFont="1"/>
    <xf numFmtId="165" fontId="11" fillId="0" borderId="0" xfId="0" applyNumberFormat="1" applyFont="1"/>
    <xf numFmtId="168" fontId="2" fillId="5" borderId="0" xfId="1" applyNumberFormat="1" applyFont="1" applyFill="1" applyBorder="1"/>
    <xf numFmtId="165" fontId="2" fillId="5" borderId="0" xfId="1" applyNumberFormat="1" applyFont="1" applyFill="1"/>
    <xf numFmtId="165" fontId="8" fillId="5" borderId="1" xfId="1" applyNumberFormat="1" applyFont="1" applyFill="1" applyBorder="1"/>
    <xf numFmtId="168" fontId="2" fillId="5" borderId="0" xfId="1" applyNumberFormat="1" applyFont="1" applyFill="1"/>
    <xf numFmtId="165" fontId="2" fillId="6" borderId="0" xfId="1" applyNumberFormat="1" applyFont="1" applyFill="1"/>
    <xf numFmtId="165" fontId="2" fillId="6" borderId="0" xfId="1" applyNumberFormat="1" applyFont="1" applyFill="1" applyBorder="1"/>
    <xf numFmtId="165" fontId="2" fillId="7" borderId="0" xfId="1" applyNumberFormat="1" applyFont="1" applyFill="1"/>
    <xf numFmtId="165" fontId="2" fillId="8" borderId="0" xfId="1" applyNumberFormat="1" applyFont="1" applyFill="1"/>
    <xf numFmtId="167" fontId="2" fillId="8" borderId="0" xfId="1" applyNumberFormat="1" applyFont="1" applyFill="1"/>
    <xf numFmtId="0" fontId="11" fillId="5" borderId="0" xfId="0" applyFont="1" applyFill="1"/>
    <xf numFmtId="165" fontId="8" fillId="5" borderId="0" xfId="1" applyNumberFormat="1" applyFont="1" applyFill="1"/>
    <xf numFmtId="0" fontId="14" fillId="0" borderId="0" xfId="0" applyFont="1"/>
    <xf numFmtId="9" fontId="0" fillId="0" borderId="0" xfId="0" applyNumberFormat="1"/>
    <xf numFmtId="165" fontId="2" fillId="0" borderId="0" xfId="1" applyNumberFormat="1" applyFont="1" applyFill="1"/>
    <xf numFmtId="169" fontId="4" fillId="0" borderId="0" xfId="1" applyNumberFormat="1" applyFont="1" applyAlignment="1">
      <alignment horizontal="right"/>
    </xf>
    <xf numFmtId="166" fontId="2" fillId="0" borderId="0" xfId="2" applyNumberFormat="1" applyFont="1" applyFill="1"/>
    <xf numFmtId="166" fontId="2" fillId="0" borderId="0" xfId="2" applyNumberFormat="1" applyFont="1" applyFill="1" applyBorder="1"/>
    <xf numFmtId="166" fontId="2" fillId="9" borderId="0" xfId="2" applyNumberFormat="1" applyFont="1" applyFill="1"/>
    <xf numFmtId="166" fontId="2" fillId="9" borderId="0" xfId="2" applyNumberFormat="1" applyFont="1" applyFill="1" applyBorder="1"/>
    <xf numFmtId="165" fontId="2" fillId="9" borderId="0" xfId="1" applyNumberFormat="1" applyFont="1" applyFill="1"/>
    <xf numFmtId="165" fontId="5" fillId="3" borderId="0" xfId="1" applyNumberFormat="1" applyFont="1" applyFill="1" applyAlignment="1">
      <alignment horizontal="center"/>
    </xf>
    <xf numFmtId="165" fontId="5" fillId="4" borderId="0" xfId="1" applyNumberFormat="1" applyFont="1" applyFill="1" applyAlignment="1">
      <alignment horizontal="center"/>
    </xf>
    <xf numFmtId="2" fontId="3" fillId="9" borderId="0" xfId="1" applyNumberFormat="1" applyFont="1" applyFill="1"/>
    <xf numFmtId="1" fontId="11" fillId="0" borderId="0" xfId="0" applyNumberFormat="1" applyFont="1"/>
    <xf numFmtId="165" fontId="0" fillId="0" borderId="0" xfId="0" applyNumberFormat="1"/>
  </cellXfs>
  <cellStyles count="8">
    <cellStyle name="Comma" xfId="1" builtinId="3"/>
    <cellStyle name="Hyperlink 2" xfId="5"/>
    <cellStyle name="Hyperlink 2 2" xfId="7"/>
    <cellStyle name="Hyperlink 3" xfId="3"/>
    <cellStyle name="Normal" xfId="0" builtinId="0"/>
    <cellStyle name="Normal 2" xfId="4"/>
    <cellStyle name="Normal 2 2 2" xfId="6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89999084444715716"/>
  </sheetPr>
  <dimension ref="B4:J21"/>
  <sheetViews>
    <sheetView topLeftCell="B10" zoomScale="145" zoomScaleNormal="145" workbookViewId="0">
      <selection activeCell="D24" sqref="D24"/>
    </sheetView>
  </sheetViews>
  <sheetFormatPr defaultColWidth="9.140625" defaultRowHeight="15.75" x14ac:dyDescent="0.25"/>
  <cols>
    <col min="1" max="1" width="9.140625" style="25"/>
    <col min="2" max="2" width="46.85546875" style="25" bestFit="1" customWidth="1"/>
    <col min="3" max="8" width="9.28515625" style="25" bestFit="1" customWidth="1"/>
    <col min="9" max="9" width="9.85546875" style="25" bestFit="1" customWidth="1"/>
    <col min="10" max="10" width="9.28515625" style="25" bestFit="1" customWidth="1"/>
    <col min="11" max="16384" width="9.140625" style="25"/>
  </cols>
  <sheetData>
    <row r="4" spans="2:10" x14ac:dyDescent="0.25">
      <c r="C4" s="51" t="s">
        <v>51</v>
      </c>
      <c r="D4" s="51"/>
      <c r="E4" s="51"/>
      <c r="F4" s="52" t="s">
        <v>40</v>
      </c>
      <c r="G4" s="52"/>
      <c r="H4" s="52"/>
      <c r="I4" s="52"/>
      <c r="J4" s="52"/>
    </row>
    <row r="5" spans="2:10" x14ac:dyDescent="0.25">
      <c r="C5" s="26">
        <v>2022</v>
      </c>
      <c r="D5" s="26">
        <f t="shared" ref="D5:J5" si="0">+C5+1</f>
        <v>2023</v>
      </c>
      <c r="E5" s="26">
        <f t="shared" si="0"/>
        <v>2024</v>
      </c>
      <c r="F5" s="27">
        <f t="shared" si="0"/>
        <v>2025</v>
      </c>
      <c r="G5" s="27">
        <f t="shared" si="0"/>
        <v>2026</v>
      </c>
      <c r="H5" s="27">
        <f t="shared" si="0"/>
        <v>2027</v>
      </c>
      <c r="I5" s="27">
        <f t="shared" si="0"/>
        <v>2028</v>
      </c>
      <c r="J5" s="27">
        <f t="shared" si="0"/>
        <v>2029</v>
      </c>
    </row>
    <row r="6" spans="2:10" x14ac:dyDescent="0.25">
      <c r="B6" s="28" t="s">
        <v>38</v>
      </c>
      <c r="C6" s="28"/>
      <c r="D6" s="28"/>
      <c r="E6" s="28"/>
      <c r="F6" s="28"/>
      <c r="G6" s="28"/>
      <c r="H6" s="28"/>
      <c r="I6" s="28"/>
      <c r="J6" s="28"/>
    </row>
    <row r="7" spans="2:10" x14ac:dyDescent="0.25">
      <c r="B7" s="3" t="s">
        <v>39</v>
      </c>
      <c r="C7" s="14"/>
      <c r="D7" s="14"/>
      <c r="E7" s="14"/>
      <c r="F7" s="14"/>
      <c r="G7" s="14"/>
      <c r="H7" s="14"/>
      <c r="I7" s="14"/>
      <c r="J7" s="14"/>
    </row>
    <row r="8" spans="2:10" x14ac:dyDescent="0.25">
      <c r="B8" s="1" t="s">
        <v>77</v>
      </c>
      <c r="C8" s="46"/>
      <c r="D8" s="46">
        <f>'Income statement'!D7/'Income statement'!C7-1</f>
        <v>0.12000000000000011</v>
      </c>
      <c r="E8" s="46">
        <f>'Income statement'!E7/'Income statement'!D7-1</f>
        <v>9.4999999999999973E-2</v>
      </c>
      <c r="F8" s="48">
        <v>6.5000000000000002E-2</v>
      </c>
      <c r="G8" s="48">
        <v>0.06</v>
      </c>
      <c r="H8" s="48">
        <v>5.5E-2</v>
      </c>
      <c r="I8" s="48">
        <v>5.5E-2</v>
      </c>
      <c r="J8" s="48">
        <v>0.04</v>
      </c>
    </row>
    <row r="9" spans="2:10" x14ac:dyDescent="0.25">
      <c r="B9" s="6" t="s">
        <v>54</v>
      </c>
      <c r="C9" s="47">
        <f>-'Income statement'!C8/'Income statement'!C7</f>
        <v>0.36</v>
      </c>
      <c r="D9" s="47">
        <f>-'Income statement'!D8/'Income statement'!D7</f>
        <v>0.38700000000000001</v>
      </c>
      <c r="E9" s="47">
        <f>-'Income statement'!E8/'Income statement'!E7</f>
        <v>0.40600000000000003</v>
      </c>
      <c r="F9" s="49">
        <f>+AVERAGE(C9:E9)</f>
        <v>0.38433333333333336</v>
      </c>
      <c r="G9" s="49">
        <f>+F9</f>
        <v>0.38433333333333336</v>
      </c>
      <c r="H9" s="49">
        <f t="shared" ref="H9:J9" si="1">+G9</f>
        <v>0.38433333333333336</v>
      </c>
      <c r="I9" s="49">
        <f t="shared" si="1"/>
        <v>0.38433333333333336</v>
      </c>
      <c r="J9" s="49">
        <f t="shared" si="1"/>
        <v>0.38433333333333336</v>
      </c>
    </row>
    <row r="10" spans="2:10" x14ac:dyDescent="0.25">
      <c r="B10" s="6" t="s">
        <v>61</v>
      </c>
      <c r="C10" s="47">
        <f>-'Income statement'!C11/'Income statement'!C7</f>
        <v>0.121</v>
      </c>
      <c r="D10" s="47">
        <f>-'Income statement'!D11/'Income statement'!D7</f>
        <v>0.125</v>
      </c>
      <c r="E10" s="47">
        <f>-'Income statement'!E11/'Income statement'!E7</f>
        <v>0.14000000000000001</v>
      </c>
      <c r="F10" s="49">
        <f t="shared" ref="F10:F11" si="2">+AVERAGE(C10:E10)</f>
        <v>0.12866666666666668</v>
      </c>
      <c r="G10" s="49">
        <f t="shared" ref="G10:G11" si="3">+F10</f>
        <v>0.12866666666666668</v>
      </c>
      <c r="H10" s="49">
        <f t="shared" ref="H10:H11" si="4">+G10</f>
        <v>0.12866666666666668</v>
      </c>
      <c r="I10" s="49">
        <f t="shared" ref="I10:I11" si="5">+H10</f>
        <v>0.12866666666666668</v>
      </c>
      <c r="J10" s="49">
        <f t="shared" ref="J10:J11" si="6">+I10</f>
        <v>0.12866666666666668</v>
      </c>
    </row>
    <row r="11" spans="2:10" x14ac:dyDescent="0.25">
      <c r="B11" s="6" t="s">
        <v>53</v>
      </c>
      <c r="C11" s="47">
        <f>-'Income statement'!C12/'Income statement'!C7</f>
        <v>0.06</v>
      </c>
      <c r="D11" s="47">
        <f>-'Income statement'!D12/'Income statement'!D7</f>
        <v>6.7000000000000004E-2</v>
      </c>
      <c r="E11" s="47">
        <f>-'Income statement'!E12/'Income statement'!E7</f>
        <v>7.4999999999999997E-2</v>
      </c>
      <c r="F11" s="49">
        <f t="shared" si="2"/>
        <v>6.7333333333333342E-2</v>
      </c>
      <c r="G11" s="49">
        <f t="shared" si="3"/>
        <v>6.7333333333333342E-2</v>
      </c>
      <c r="H11" s="49">
        <f t="shared" si="4"/>
        <v>6.7333333333333342E-2</v>
      </c>
      <c r="I11" s="49">
        <f t="shared" si="5"/>
        <v>6.7333333333333342E-2</v>
      </c>
      <c r="J11" s="49">
        <f t="shared" si="6"/>
        <v>6.7333333333333342E-2</v>
      </c>
    </row>
    <row r="12" spans="2:10" x14ac:dyDescent="0.25">
      <c r="B12" s="6" t="s">
        <v>69</v>
      </c>
      <c r="C12" s="47">
        <f>-'Income statement'!C16/'PP&amp;E schedule'!C8</f>
        <v>0.30199999999999999</v>
      </c>
      <c r="D12" s="47">
        <f>-'Income statement'!D16/'PP&amp;E schedule'!D8</f>
        <v>0.32400000000000001</v>
      </c>
      <c r="E12" s="47">
        <f>-'Income statement'!E16/'PP&amp;E schedule'!E8</f>
        <v>0.313</v>
      </c>
      <c r="F12" s="49">
        <v>0.3</v>
      </c>
      <c r="G12" s="49">
        <f>F12</f>
        <v>0.3</v>
      </c>
      <c r="H12" s="49">
        <f t="shared" ref="H12:J12" si="7">G12</f>
        <v>0.3</v>
      </c>
      <c r="I12" s="49">
        <f t="shared" si="7"/>
        <v>0.3</v>
      </c>
      <c r="J12" s="49">
        <f t="shared" si="7"/>
        <v>0.3</v>
      </c>
    </row>
    <row r="13" spans="2:10" x14ac:dyDescent="0.25">
      <c r="B13" s="6" t="s">
        <v>62</v>
      </c>
      <c r="C13" s="47">
        <f>-'Debt schedule'!C11/'Debt schedule'!C8</f>
        <v>3.1E-2</v>
      </c>
      <c r="D13" s="47">
        <f>-'Debt schedule'!D11/'Debt schedule'!D8</f>
        <v>0.03</v>
      </c>
      <c r="E13" s="47">
        <f>-'Debt schedule'!E11/'Debt schedule'!E8</f>
        <v>0.03</v>
      </c>
      <c r="F13" s="49">
        <v>0.03</v>
      </c>
      <c r="G13" s="49">
        <v>0.03</v>
      </c>
      <c r="H13" s="49">
        <v>0.03</v>
      </c>
      <c r="I13" s="49">
        <v>0.03</v>
      </c>
      <c r="J13" s="49">
        <v>0.03</v>
      </c>
    </row>
    <row r="14" spans="2:10" x14ac:dyDescent="0.25">
      <c r="B14" s="6" t="s">
        <v>78</v>
      </c>
      <c r="C14" s="47">
        <v>0.19500000000000001</v>
      </c>
      <c r="D14" s="47">
        <v>0.20100000000000001</v>
      </c>
      <c r="E14" s="47">
        <v>0.2</v>
      </c>
      <c r="F14" s="49">
        <v>0.23</v>
      </c>
      <c r="G14" s="49">
        <f>F14</f>
        <v>0.23</v>
      </c>
      <c r="H14" s="49">
        <f t="shared" ref="H14:J14" si="8">G14</f>
        <v>0.23</v>
      </c>
      <c r="I14" s="49">
        <f t="shared" si="8"/>
        <v>0.23</v>
      </c>
      <c r="J14" s="49">
        <f t="shared" si="8"/>
        <v>0.23</v>
      </c>
    </row>
    <row r="15" spans="2:10" x14ac:dyDescent="0.25">
      <c r="B15" s="3" t="s">
        <v>4</v>
      </c>
      <c r="C15" s="14"/>
      <c r="D15" s="14"/>
      <c r="E15" s="14"/>
      <c r="F15" s="14"/>
      <c r="G15" s="14"/>
      <c r="H15" s="14"/>
      <c r="I15" s="14"/>
      <c r="J15" s="14"/>
    </row>
    <row r="16" spans="2:10" x14ac:dyDescent="0.25">
      <c r="B16" s="1" t="s">
        <v>35</v>
      </c>
      <c r="C16" s="44">
        <f>'Balance sheet'!C8/'Income statement'!C7*365</f>
        <v>19.973627822647106</v>
      </c>
      <c r="D16" s="44">
        <f>'Balance sheet'!D8/'Income statement'!D7*365</f>
        <v>19.391350161294117</v>
      </c>
      <c r="E16" s="44">
        <f>'Balance sheet'!E8/'Income statement'!E7*365</f>
        <v>20.45609738868351</v>
      </c>
      <c r="F16" s="50">
        <f>+E16</f>
        <v>20.45609738868351</v>
      </c>
      <c r="G16" s="50">
        <f>F16</f>
        <v>20.45609738868351</v>
      </c>
      <c r="H16" s="50">
        <f t="shared" ref="H16:J18" si="9">G16</f>
        <v>20.45609738868351</v>
      </c>
      <c r="I16" s="50">
        <f t="shared" si="9"/>
        <v>20.45609738868351</v>
      </c>
      <c r="J16" s="50">
        <f t="shared" si="9"/>
        <v>20.45609738868351</v>
      </c>
    </row>
    <row r="17" spans="2:10" x14ac:dyDescent="0.25">
      <c r="B17" s="1" t="s">
        <v>36</v>
      </c>
      <c r="C17" s="44">
        <f>-'Balance sheet'!C9/'Income statement'!C8*365</f>
        <v>69.51998974415325</v>
      </c>
      <c r="D17" s="44">
        <f>-'Balance sheet'!D9/'Income statement'!D8*365</f>
        <v>62.251859587138881</v>
      </c>
      <c r="E17" s="44">
        <f>-'Balance sheet'!E9/'Income statement'!E8*365</f>
        <v>63.675345381839605</v>
      </c>
      <c r="F17" s="50">
        <f>+E17</f>
        <v>63.675345381839605</v>
      </c>
      <c r="G17" s="50">
        <f>F17</f>
        <v>63.675345381839605</v>
      </c>
      <c r="H17" s="50">
        <f t="shared" si="9"/>
        <v>63.675345381839605</v>
      </c>
      <c r="I17" s="50">
        <f t="shared" si="9"/>
        <v>63.675345381839605</v>
      </c>
      <c r="J17" s="50">
        <f t="shared" si="9"/>
        <v>63.675345381839605</v>
      </c>
    </row>
    <row r="18" spans="2:10" x14ac:dyDescent="0.25">
      <c r="B18" s="1" t="s">
        <v>37</v>
      </c>
      <c r="C18" s="44">
        <f>-'Balance sheet'!C13/'Income statement'!C8*365</f>
        <v>33.423071992381374</v>
      </c>
      <c r="D18" s="44">
        <f>-'Balance sheet'!D13/'Income statement'!D8*365</f>
        <v>32.271030889653936</v>
      </c>
      <c r="E18" s="44">
        <f>-'Balance sheet'!E13/'Income statement'!E8*365</f>
        <v>31.656433567442079</v>
      </c>
      <c r="F18" s="50">
        <f>+E18</f>
        <v>31.656433567442079</v>
      </c>
      <c r="G18" s="50">
        <f>F18</f>
        <v>31.656433567442079</v>
      </c>
      <c r="H18" s="50">
        <f t="shared" si="9"/>
        <v>31.656433567442079</v>
      </c>
      <c r="I18" s="50">
        <f t="shared" si="9"/>
        <v>31.656433567442079</v>
      </c>
      <c r="J18" s="50">
        <f t="shared" si="9"/>
        <v>31.656433567442079</v>
      </c>
    </row>
    <row r="19" spans="2:10" x14ac:dyDescent="0.25">
      <c r="B19" s="1" t="s">
        <v>65</v>
      </c>
      <c r="C19" s="44">
        <v>-3500</v>
      </c>
      <c r="D19" s="44">
        <v>-3250</v>
      </c>
      <c r="E19" s="44">
        <v>-3000</v>
      </c>
      <c r="F19" s="50">
        <v>-4000</v>
      </c>
      <c r="G19" s="50">
        <v>-3750</v>
      </c>
      <c r="H19" s="50">
        <v>-3750</v>
      </c>
      <c r="I19" s="50">
        <v>-3500</v>
      </c>
      <c r="J19" s="50">
        <v>-3500</v>
      </c>
    </row>
    <row r="20" spans="2:10" x14ac:dyDescent="0.25">
      <c r="B20" s="1" t="s">
        <v>66</v>
      </c>
      <c r="C20" s="44">
        <f>'Debt schedule'!C9</f>
        <v>200</v>
      </c>
      <c r="D20" s="44">
        <f>'Debt schedule'!D9</f>
        <v>0</v>
      </c>
      <c r="E20" s="44">
        <f>'Debt schedule'!E9</f>
        <v>0</v>
      </c>
      <c r="F20" s="50">
        <v>250</v>
      </c>
      <c r="G20" s="50">
        <v>250</v>
      </c>
      <c r="H20" s="50">
        <v>-750</v>
      </c>
      <c r="I20" s="50">
        <v>-500</v>
      </c>
      <c r="J20" s="50">
        <v>0</v>
      </c>
    </row>
    <row r="21" spans="2:10" x14ac:dyDescent="0.25">
      <c r="B21" s="1" t="s">
        <v>67</v>
      </c>
      <c r="C21" s="44">
        <f>'Cash flow statement'!C19</f>
        <v>0</v>
      </c>
      <c r="D21" s="44">
        <f>'Cash flow statement'!D19</f>
        <v>0</v>
      </c>
      <c r="E21" s="44">
        <f>'Cash flow statement'!E19</f>
        <v>0</v>
      </c>
      <c r="F21" s="50">
        <v>0</v>
      </c>
      <c r="G21" s="50">
        <v>0</v>
      </c>
      <c r="H21" s="50">
        <v>0</v>
      </c>
      <c r="I21" s="50">
        <v>-1250</v>
      </c>
      <c r="J21" s="50">
        <v>0</v>
      </c>
    </row>
  </sheetData>
  <mergeCells count="2">
    <mergeCell ref="C4:E4"/>
    <mergeCell ref="F4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8"/>
  <sheetViews>
    <sheetView topLeftCell="A14" zoomScale="130" zoomScaleNormal="130" workbookViewId="0">
      <selection activeCell="F25" sqref="F25:J25"/>
    </sheetView>
  </sheetViews>
  <sheetFormatPr defaultColWidth="9.140625" defaultRowHeight="15.75" x14ac:dyDescent="0.25"/>
  <cols>
    <col min="1" max="1" width="9.140625" style="25"/>
    <col min="2" max="2" width="26.85546875" style="25" bestFit="1" customWidth="1"/>
    <col min="3" max="10" width="10" style="25" bestFit="1" customWidth="1"/>
    <col min="11" max="16384" width="9.140625" style="25"/>
  </cols>
  <sheetData>
    <row r="3" spans="2:13" x14ac:dyDescent="0.25">
      <c r="K3" s="24"/>
    </row>
    <row r="4" spans="2:13" x14ac:dyDescent="0.25">
      <c r="C4" s="51" t="s">
        <v>51</v>
      </c>
      <c r="D4" s="51"/>
      <c r="E4" s="51"/>
      <c r="F4" s="52" t="s">
        <v>40</v>
      </c>
      <c r="G4" s="52"/>
      <c r="H4" s="52"/>
      <c r="I4" s="52"/>
      <c r="J4" s="52"/>
      <c r="M4" s="40"/>
    </row>
    <row r="5" spans="2:13" x14ac:dyDescent="0.25">
      <c r="B5" s="42" t="s">
        <v>52</v>
      </c>
      <c r="C5" s="26">
        <v>2022</v>
      </c>
      <c r="D5" s="26">
        <f t="shared" ref="D5:J5" si="0">+C5+1</f>
        <v>2023</v>
      </c>
      <c r="E5" s="26">
        <f t="shared" si="0"/>
        <v>2024</v>
      </c>
      <c r="F5" s="27">
        <f t="shared" si="0"/>
        <v>2025</v>
      </c>
      <c r="G5" s="27">
        <f t="shared" si="0"/>
        <v>2026</v>
      </c>
      <c r="H5" s="27">
        <f t="shared" si="0"/>
        <v>2027</v>
      </c>
      <c r="I5" s="27">
        <f t="shared" si="0"/>
        <v>2028</v>
      </c>
      <c r="J5" s="27">
        <f t="shared" si="0"/>
        <v>2029</v>
      </c>
      <c r="M5" s="35"/>
    </row>
    <row r="6" spans="2:13" x14ac:dyDescent="0.25">
      <c r="B6" s="28" t="s">
        <v>0</v>
      </c>
      <c r="C6" s="28"/>
      <c r="D6" s="28"/>
      <c r="E6" s="28"/>
      <c r="F6" s="28"/>
      <c r="G6" s="28"/>
      <c r="H6" s="28"/>
      <c r="I6" s="28"/>
      <c r="J6" s="28"/>
      <c r="M6" s="37"/>
    </row>
    <row r="7" spans="2:13" x14ac:dyDescent="0.25">
      <c r="B7" s="3" t="s">
        <v>50</v>
      </c>
      <c r="C7" s="10">
        <v>12134</v>
      </c>
      <c r="D7" s="10">
        <f>C7*1.12</f>
        <v>13590.080000000002</v>
      </c>
      <c r="E7" s="10">
        <f>D7*1.095</f>
        <v>14881.137600000002</v>
      </c>
      <c r="F7" s="53">
        <f>E7*(1+'Key assumptions'!F8)</f>
        <v>15848.411544000001</v>
      </c>
      <c r="G7" s="53">
        <f>F7*(1+'Key assumptions'!G8)</f>
        <v>16799.316236640003</v>
      </c>
      <c r="H7" s="53">
        <f>G7*(1+'Key assumptions'!H8)</f>
        <v>17723.2786296552</v>
      </c>
      <c r="I7" s="53">
        <f>H7*(1+'Key assumptions'!I8)</f>
        <v>18698.058954286236</v>
      </c>
      <c r="J7" s="53">
        <f>I7*(1+'Key assumptions'!J8)</f>
        <v>19445.981312457687</v>
      </c>
      <c r="M7" s="39"/>
    </row>
    <row r="8" spans="2:13" x14ac:dyDescent="0.25">
      <c r="B8" s="6" t="s">
        <v>34</v>
      </c>
      <c r="C8" s="12">
        <f>-C7*0.36</f>
        <v>-4368.24</v>
      </c>
      <c r="D8" s="12">
        <f>-D7*0.387</f>
        <v>-5259.3609600000009</v>
      </c>
      <c r="E8" s="12">
        <f>E7*-0.406</f>
        <v>-6041.7418656000009</v>
      </c>
      <c r="F8" s="31">
        <f>-F7*'Key assumptions'!F9</f>
        <v>-6091.0728367440006</v>
      </c>
      <c r="G8" s="31">
        <f>-G7*'Key assumptions'!G9</f>
        <v>-6456.5372069486411</v>
      </c>
      <c r="H8" s="31">
        <f>-H7*'Key assumptions'!H9</f>
        <v>-6811.646753330816</v>
      </c>
      <c r="I8" s="31">
        <f>-I7*'Key assumptions'!I9</f>
        <v>-7186.2873247640109</v>
      </c>
      <c r="J8" s="31">
        <f>-J7*'Key assumptions'!J9</f>
        <v>-7473.7388177545718</v>
      </c>
    </row>
    <row r="9" spans="2:13" x14ac:dyDescent="0.25">
      <c r="B9" s="4" t="s">
        <v>1</v>
      </c>
      <c r="C9" s="13">
        <f>SUM(C7:C8)</f>
        <v>7765.76</v>
      </c>
      <c r="D9" s="13">
        <f t="shared" ref="D9:J9" si="1">SUM(D7:D8)</f>
        <v>8330.7190399999999</v>
      </c>
      <c r="E9" s="13">
        <f t="shared" si="1"/>
        <v>8839.3957344000009</v>
      </c>
      <c r="F9" s="13">
        <f t="shared" si="1"/>
        <v>9757.3387072559999</v>
      </c>
      <c r="G9" s="13">
        <f t="shared" si="1"/>
        <v>10342.779029691363</v>
      </c>
      <c r="H9" s="13">
        <f t="shared" si="1"/>
        <v>10911.631876324383</v>
      </c>
      <c r="I9" s="13">
        <f t="shared" si="1"/>
        <v>11511.771629522225</v>
      </c>
      <c r="J9" s="13">
        <f t="shared" si="1"/>
        <v>11972.242494703114</v>
      </c>
    </row>
    <row r="10" spans="2:13" x14ac:dyDescent="0.25">
      <c r="B10" s="7"/>
      <c r="C10" s="18"/>
      <c r="D10" s="18"/>
      <c r="E10" s="18"/>
      <c r="F10" s="20"/>
      <c r="G10" s="20"/>
      <c r="H10" s="20"/>
      <c r="I10" s="20"/>
      <c r="J10" s="20"/>
    </row>
    <row r="11" spans="2:13" x14ac:dyDescent="0.25">
      <c r="B11" s="1" t="s">
        <v>60</v>
      </c>
      <c r="C11" s="11">
        <f>-C7*0.121</f>
        <v>-1468.2139999999999</v>
      </c>
      <c r="D11" s="11">
        <f>-D7*0.125</f>
        <v>-1698.7600000000002</v>
      </c>
      <c r="E11" s="11">
        <f>-E7*0.14</f>
        <v>-2083.3592640000006</v>
      </c>
      <c r="F11" s="32">
        <f>-'Key assumptions'!F10*'Income statement'!F7</f>
        <v>-2039.1622853280003</v>
      </c>
      <c r="G11" s="32">
        <f>-'Key assumptions'!G10*'Income statement'!G7</f>
        <v>-2161.5120224476805</v>
      </c>
      <c r="H11" s="32">
        <f>-'Key assumptions'!H10*'Income statement'!H7</f>
        <v>-2280.3951836823026</v>
      </c>
      <c r="I11" s="32">
        <f>-'Key assumptions'!I10*'Income statement'!I7</f>
        <v>-2405.8169187848293</v>
      </c>
      <c r="J11" s="32">
        <f>-'Key assumptions'!J10*'Income statement'!J7</f>
        <v>-2502.0495955362226</v>
      </c>
    </row>
    <row r="12" spans="2:13" x14ac:dyDescent="0.25">
      <c r="B12" s="1" t="s">
        <v>59</v>
      </c>
      <c r="C12" s="11">
        <f>-C7*0.06</f>
        <v>-728.04</v>
      </c>
      <c r="D12" s="11">
        <f>-D7*0.067</f>
        <v>-910.5353600000002</v>
      </c>
      <c r="E12" s="11">
        <f>-E7*0.075</f>
        <v>-1116.0853200000001</v>
      </c>
      <c r="F12" s="32">
        <f>-'Key assumptions'!F11*'Income statement'!F7</f>
        <v>-1067.1263772960001</v>
      </c>
      <c r="G12" s="32">
        <f>-'Key assumptions'!G11*'Income statement'!G7</f>
        <v>-1131.1539599337602</v>
      </c>
      <c r="H12" s="32">
        <f>-'Key assumptions'!H11*'Income statement'!H7</f>
        <v>-1193.367427730117</v>
      </c>
      <c r="I12" s="32">
        <f>-'Key assumptions'!I11*'Income statement'!I7</f>
        <v>-1259.0026362552735</v>
      </c>
      <c r="J12" s="32">
        <f>-'Key assumptions'!J11*'Income statement'!J7</f>
        <v>-1309.3627417054845</v>
      </c>
    </row>
    <row r="13" spans="2:13" x14ac:dyDescent="0.25">
      <c r="B13" s="1"/>
      <c r="C13" s="11"/>
      <c r="D13" s="11"/>
      <c r="E13" s="11"/>
      <c r="F13" s="44"/>
      <c r="G13" s="44"/>
      <c r="H13" s="44"/>
      <c r="I13" s="44"/>
      <c r="J13" s="44"/>
    </row>
    <row r="14" spans="2:13" x14ac:dyDescent="0.25">
      <c r="B14" s="3" t="s">
        <v>64</v>
      </c>
      <c r="C14" s="3">
        <f>C9+C11+C12</f>
        <v>5569.5060000000003</v>
      </c>
      <c r="D14" s="3">
        <f t="shared" ref="D14:J14" si="2">D9+D11+D12</f>
        <v>5721.4236799999999</v>
      </c>
      <c r="E14" s="3">
        <f t="shared" si="2"/>
        <v>5639.9511504000002</v>
      </c>
      <c r="F14" s="3">
        <f t="shared" si="2"/>
        <v>6651.0500446319993</v>
      </c>
      <c r="G14" s="3">
        <f t="shared" si="2"/>
        <v>7050.113047309922</v>
      </c>
      <c r="H14" s="3">
        <f t="shared" si="2"/>
        <v>7437.869264911963</v>
      </c>
      <c r="I14" s="3">
        <f t="shared" si="2"/>
        <v>7846.952074482123</v>
      </c>
      <c r="J14" s="3">
        <f t="shared" si="2"/>
        <v>8160.830157461407</v>
      </c>
    </row>
    <row r="15" spans="2:13" x14ac:dyDescent="0.25">
      <c r="B15" s="1"/>
      <c r="C15" s="11"/>
      <c r="D15" s="11"/>
      <c r="E15" s="11"/>
      <c r="F15" s="44"/>
      <c r="G15" s="44"/>
      <c r="H15" s="44"/>
      <c r="I15" s="44"/>
      <c r="J15" s="44"/>
    </row>
    <row r="16" spans="2:13" x14ac:dyDescent="0.25">
      <c r="B16" s="1" t="s">
        <v>2</v>
      </c>
      <c r="C16" s="11">
        <f>'PP&amp;E schedule'!C10</f>
        <v>-1510</v>
      </c>
      <c r="D16" s="11">
        <f>'PP&amp;E schedule'!D10</f>
        <v>-2264.7600000000002</v>
      </c>
      <c r="E16" s="11">
        <f>'PP&amp;E schedule'!E10</f>
        <v>-2496.2501200000002</v>
      </c>
      <c r="F16" s="32">
        <f>'PP&amp;E schedule'!F10</f>
        <v>-2543.6969639999998</v>
      </c>
      <c r="G16" s="32">
        <f>'PP&amp;E schedule'!G10</f>
        <v>-2980.5878747999996</v>
      </c>
      <c r="H16" s="32">
        <f>'PP&amp;E schedule'!H10</f>
        <v>-3211.4115123599995</v>
      </c>
      <c r="I16" s="32">
        <f>'PP&amp;E schedule'!I10</f>
        <v>-3372.9880586519998</v>
      </c>
      <c r="J16" s="32">
        <f>'PP&amp;E schedule'!J10</f>
        <v>-3411.0916410564</v>
      </c>
    </row>
    <row r="17" spans="2:13" x14ac:dyDescent="0.25">
      <c r="B17" s="1"/>
      <c r="C17" s="11"/>
      <c r="D17" s="11"/>
      <c r="E17" s="11"/>
      <c r="F17" s="44"/>
      <c r="G17" s="44"/>
      <c r="H17" s="44"/>
      <c r="I17" s="44"/>
      <c r="J17" s="44"/>
    </row>
    <row r="18" spans="2:13" x14ac:dyDescent="0.25">
      <c r="B18" s="3" t="s">
        <v>63</v>
      </c>
      <c r="C18" s="3">
        <f>C14+C16</f>
        <v>4059.5060000000003</v>
      </c>
      <c r="D18" s="3">
        <f>D14+D16</f>
        <v>3456.6636799999997</v>
      </c>
      <c r="E18" s="3">
        <f>E14+E16</f>
        <v>3143.7010304</v>
      </c>
      <c r="F18" s="3">
        <f t="shared" ref="F18:J18" si="3">F14+F16</f>
        <v>4107.3530806319995</v>
      </c>
      <c r="G18" s="3">
        <f t="shared" si="3"/>
        <v>4069.5251725099224</v>
      </c>
      <c r="H18" s="3">
        <f t="shared" si="3"/>
        <v>4226.4577525519635</v>
      </c>
      <c r="I18" s="3">
        <f t="shared" si="3"/>
        <v>4473.9640158301227</v>
      </c>
      <c r="J18" s="3">
        <f t="shared" si="3"/>
        <v>4749.7385164050065</v>
      </c>
    </row>
    <row r="19" spans="2:13" x14ac:dyDescent="0.25">
      <c r="B19" s="1"/>
      <c r="C19" s="11"/>
      <c r="D19" s="11"/>
      <c r="E19" s="11"/>
      <c r="F19" s="44"/>
      <c r="G19" s="44"/>
      <c r="H19" s="44"/>
      <c r="I19" s="44"/>
      <c r="J19" s="44"/>
    </row>
    <row r="20" spans="2:13" x14ac:dyDescent="0.25">
      <c r="B20" s="2" t="s">
        <v>58</v>
      </c>
      <c r="C20" s="17">
        <f>'Debt schedule'!C11</f>
        <v>-93</v>
      </c>
      <c r="D20" s="17">
        <f>'Debt schedule'!D11</f>
        <v>-96</v>
      </c>
      <c r="E20" s="17">
        <f>'Debt schedule'!E11</f>
        <v>-96</v>
      </c>
      <c r="F20" s="33">
        <f>'Debt schedule'!F11</f>
        <v>-99.75</v>
      </c>
      <c r="G20" s="33">
        <f>'Debt schedule'!G11</f>
        <v>-107.25</v>
      </c>
      <c r="H20" s="33">
        <f>'Debt schedule'!H11</f>
        <v>-99.75</v>
      </c>
      <c r="I20" s="33">
        <f>'Debt schedule'!I11</f>
        <v>-81</v>
      </c>
      <c r="J20" s="33">
        <f>'Debt schedule'!J11</f>
        <v>-73.5</v>
      </c>
    </row>
    <row r="21" spans="2:13" x14ac:dyDescent="0.25">
      <c r="B21" s="4" t="s">
        <v>41</v>
      </c>
      <c r="C21" s="13">
        <f>C18+C20</f>
        <v>3966.5060000000003</v>
      </c>
      <c r="D21" s="13">
        <f t="shared" ref="D21:J21" si="4">D18+D20</f>
        <v>3360.6636799999997</v>
      </c>
      <c r="E21" s="13">
        <f t="shared" si="4"/>
        <v>3047.7010304</v>
      </c>
      <c r="F21" s="13">
        <f t="shared" si="4"/>
        <v>4007.6030806319995</v>
      </c>
      <c r="G21" s="13">
        <f t="shared" si="4"/>
        <v>3962.2751725099224</v>
      </c>
      <c r="H21" s="13">
        <f t="shared" si="4"/>
        <v>4126.7077525519635</v>
      </c>
      <c r="I21" s="13">
        <f t="shared" si="4"/>
        <v>4392.9640158301227</v>
      </c>
      <c r="J21" s="13">
        <f t="shared" si="4"/>
        <v>4676.2385164050065</v>
      </c>
      <c r="K21" s="29"/>
      <c r="M21" s="29"/>
    </row>
    <row r="22" spans="2:13" x14ac:dyDescent="0.25">
      <c r="B22" s="6" t="s">
        <v>3</v>
      </c>
      <c r="C22" s="11">
        <v>-773.46867000000009</v>
      </c>
      <c r="D22" s="11">
        <v>-675.49339967999992</v>
      </c>
      <c r="E22" s="11">
        <v>-609.54020607999996</v>
      </c>
      <c r="F22" s="34">
        <f>-F21*'Key assumptions'!F14</f>
        <v>-921.74870854535993</v>
      </c>
      <c r="G22" s="34">
        <f>-G21*'Key assumptions'!G14</f>
        <v>-911.32328967728222</v>
      </c>
      <c r="H22" s="34">
        <f>-H21*'Key assumptions'!H14</f>
        <v>-949.14278308695168</v>
      </c>
      <c r="I22" s="34">
        <f>-I21*'Key assumptions'!I14</f>
        <v>-1010.3817236409283</v>
      </c>
      <c r="J22" s="34">
        <f>-J21*'Key assumptions'!J14</f>
        <v>-1075.5348587731517</v>
      </c>
    </row>
    <row r="23" spans="2:13" ht="16.5" thickBot="1" x14ac:dyDescent="0.3">
      <c r="B23" s="15" t="s">
        <v>42</v>
      </c>
      <c r="C23" s="16">
        <f t="shared" ref="C23:J23" si="5">C21+C22</f>
        <v>3193.0373300000001</v>
      </c>
      <c r="D23" s="16">
        <f t="shared" si="5"/>
        <v>2685.1702803199996</v>
      </c>
      <c r="E23" s="16">
        <f t="shared" si="5"/>
        <v>2438.1608243199998</v>
      </c>
      <c r="F23" s="16">
        <f t="shared" si="5"/>
        <v>3085.8543720866396</v>
      </c>
      <c r="G23" s="16">
        <f t="shared" si="5"/>
        <v>3050.95188283264</v>
      </c>
      <c r="H23" s="16">
        <f t="shared" si="5"/>
        <v>3177.5649694650119</v>
      </c>
      <c r="I23" s="16">
        <f t="shared" si="5"/>
        <v>3382.5822921891945</v>
      </c>
      <c r="J23" s="16">
        <f t="shared" si="5"/>
        <v>3600.7036576318551</v>
      </c>
      <c r="K23" s="29"/>
    </row>
    <row r="24" spans="2:13" ht="16.5" thickTop="1" x14ac:dyDescent="0.25">
      <c r="K24" s="29"/>
    </row>
    <row r="25" spans="2:13" x14ac:dyDescent="0.25">
      <c r="B25" s="25" t="s">
        <v>47</v>
      </c>
      <c r="C25" s="25">
        <v>0</v>
      </c>
      <c r="D25" s="25">
        <v>0</v>
      </c>
      <c r="E25" s="25">
        <v>0</v>
      </c>
      <c r="F25" s="34">
        <f>-F23*0.1</f>
        <v>-308.58543720866396</v>
      </c>
      <c r="G25" s="34">
        <f t="shared" ref="G25:J25" si="6">-G23*0.1</f>
        <v>-305.09518828326401</v>
      </c>
      <c r="H25" s="34">
        <f t="shared" si="6"/>
        <v>-317.75649694650122</v>
      </c>
      <c r="I25" s="34">
        <f t="shared" si="6"/>
        <v>-338.2582292189195</v>
      </c>
      <c r="J25" s="34">
        <f t="shared" si="6"/>
        <v>-360.07036576318552</v>
      </c>
      <c r="K25" s="29"/>
    </row>
    <row r="27" spans="2:13" ht="16.5" thickBot="1" x14ac:dyDescent="0.3">
      <c r="B27" s="15" t="s">
        <v>48</v>
      </c>
      <c r="C27" s="16">
        <f>C23+C25</f>
        <v>3193.0373300000001</v>
      </c>
      <c r="D27" s="16">
        <f>D23+D25</f>
        <v>2685.1702803199996</v>
      </c>
      <c r="E27" s="16">
        <f>E23+E25</f>
        <v>2438.1608243199998</v>
      </c>
      <c r="F27" s="16">
        <f t="shared" ref="F27:J27" si="7">F23+F25</f>
        <v>2777.2689348779759</v>
      </c>
      <c r="G27" s="16">
        <f t="shared" si="7"/>
        <v>2745.8566945493758</v>
      </c>
      <c r="H27" s="16">
        <f t="shared" si="7"/>
        <v>2859.8084725185108</v>
      </c>
      <c r="I27" s="16">
        <f t="shared" si="7"/>
        <v>3044.324062970275</v>
      </c>
      <c r="J27" s="16">
        <f t="shared" si="7"/>
        <v>3240.6332918686694</v>
      </c>
    </row>
    <row r="28" spans="2:13" ht="16.5" thickTop="1" x14ac:dyDescent="0.25"/>
  </sheetData>
  <mergeCells count="2">
    <mergeCell ref="C4:E4"/>
    <mergeCell ref="F4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FD28"/>
  <sheetViews>
    <sheetView tabSelected="1" topLeftCell="A9" zoomScale="125" workbookViewId="0">
      <selection activeCell="F25" sqref="F25"/>
    </sheetView>
  </sheetViews>
  <sheetFormatPr defaultColWidth="9.140625" defaultRowHeight="15.75" x14ac:dyDescent="0.25"/>
  <cols>
    <col min="1" max="1" width="9.140625" style="25"/>
    <col min="2" max="2" width="37.7109375" style="25" bestFit="1" customWidth="1"/>
    <col min="3" max="5" width="9.140625" style="25"/>
    <col min="6" max="10" width="10.42578125" style="25" bestFit="1" customWidth="1"/>
    <col min="11" max="16384" width="9.140625" style="25"/>
  </cols>
  <sheetData>
    <row r="4" spans="2:10" x14ac:dyDescent="0.25">
      <c r="C4" s="51" t="s">
        <v>51</v>
      </c>
      <c r="D4" s="51"/>
      <c r="E4" s="51"/>
      <c r="F4" s="52" t="s">
        <v>40</v>
      </c>
      <c r="G4" s="52"/>
      <c r="H4" s="52"/>
      <c r="I4" s="52"/>
      <c r="J4" s="52"/>
    </row>
    <row r="5" spans="2:10" x14ac:dyDescent="0.25">
      <c r="B5" s="42" t="s">
        <v>52</v>
      </c>
      <c r="C5" s="26">
        <v>2022</v>
      </c>
      <c r="D5" s="26">
        <f t="shared" ref="D5:J5" si="0">+C5+1</f>
        <v>2023</v>
      </c>
      <c r="E5" s="26">
        <f t="shared" si="0"/>
        <v>2024</v>
      </c>
      <c r="F5" s="27">
        <f t="shared" si="0"/>
        <v>2025</v>
      </c>
      <c r="G5" s="27">
        <f t="shared" si="0"/>
        <v>2026</v>
      </c>
      <c r="H5" s="27">
        <f t="shared" si="0"/>
        <v>2027</v>
      </c>
      <c r="I5" s="27">
        <f t="shared" si="0"/>
        <v>2028</v>
      </c>
      <c r="J5" s="27">
        <f t="shared" si="0"/>
        <v>2029</v>
      </c>
    </row>
    <row r="6" spans="2:10" x14ac:dyDescent="0.25">
      <c r="B6" s="28" t="s">
        <v>4</v>
      </c>
      <c r="C6" s="28"/>
      <c r="D6" s="28"/>
      <c r="E6" s="28"/>
      <c r="F6" s="28"/>
      <c r="G6" s="28"/>
      <c r="H6" s="28"/>
      <c r="I6" s="28"/>
      <c r="J6" s="28"/>
    </row>
    <row r="7" spans="2:10" x14ac:dyDescent="0.25">
      <c r="B7" s="1" t="s">
        <v>5</v>
      </c>
      <c r="C7" s="11">
        <v>15124</v>
      </c>
      <c r="D7" s="11">
        <v>16765.930280320001</v>
      </c>
      <c r="E7" s="11">
        <v>18490.34122464</v>
      </c>
      <c r="F7" s="38">
        <f>'Cash flow statement'!F26</f>
        <v>20002.769660463789</v>
      </c>
      <c r="G7" s="38">
        <f>'Cash flow statement'!G26</f>
        <v>22143.861982029914</v>
      </c>
      <c r="H7" s="38">
        <f>'Cash flow statement'!H26</f>
        <v>23632.148032812365</v>
      </c>
      <c r="I7" s="38">
        <f>'Cash flow statement'!I26</f>
        <v>24711.964853963298</v>
      </c>
      <c r="J7" s="38">
        <f>'Cash flow statement'!J26</f>
        <v>27796.557029072173</v>
      </c>
    </row>
    <row r="8" spans="2:10" x14ac:dyDescent="0.25">
      <c r="B8" s="1" t="s">
        <v>6</v>
      </c>
      <c r="C8" s="11">
        <v>664</v>
      </c>
      <c r="D8" s="11">
        <v>722</v>
      </c>
      <c r="E8" s="11">
        <v>834</v>
      </c>
      <c r="F8" s="39">
        <f>'Working capital'!F8</f>
        <v>888.21</v>
      </c>
      <c r="G8" s="39">
        <f>'Working capital'!G8</f>
        <v>941.50260000000026</v>
      </c>
      <c r="H8" s="39">
        <f>'Working capital'!H8</f>
        <v>993.28524300000004</v>
      </c>
      <c r="I8" s="39">
        <f>'Working capital'!I8</f>
        <v>1047.915931365</v>
      </c>
      <c r="J8" s="39">
        <f>'Working capital'!J8</f>
        <v>1089.8325686196001</v>
      </c>
    </row>
    <row r="9" spans="2:10" x14ac:dyDescent="0.25">
      <c r="B9" s="1" t="s">
        <v>10</v>
      </c>
      <c r="C9" s="11">
        <v>832</v>
      </c>
      <c r="D9" s="11">
        <v>897</v>
      </c>
      <c r="E9" s="11">
        <v>1054</v>
      </c>
      <c r="F9" s="39">
        <f>'Working capital'!F9</f>
        <v>1062.6059359605913</v>
      </c>
      <c r="G9" s="39">
        <f>'Working capital'!G9</f>
        <v>1126.3622921182266</v>
      </c>
      <c r="H9" s="39">
        <f>'Working capital'!H9</f>
        <v>1188.3122181847291</v>
      </c>
      <c r="I9" s="39">
        <f>'Working capital'!I9</f>
        <v>1253.6693901848892</v>
      </c>
      <c r="J9" s="39">
        <f>'Working capital'!J9</f>
        <v>1303.8161657922849</v>
      </c>
    </row>
    <row r="10" spans="2:10" x14ac:dyDescent="0.25">
      <c r="B10" s="1" t="s">
        <v>7</v>
      </c>
      <c r="C10" s="11">
        <f>'PP&amp;E schedule'!C11</f>
        <v>6990</v>
      </c>
      <c r="D10" s="11">
        <f>'PP&amp;E schedule'!D11</f>
        <v>7975.24</v>
      </c>
      <c r="E10" s="11">
        <f>'PP&amp;E schedule'!E11</f>
        <v>8478.9898799999992</v>
      </c>
      <c r="F10" s="38">
        <f>'PP&amp;E schedule'!F11</f>
        <v>9935.2929159999985</v>
      </c>
      <c r="G10" s="38">
        <f>'PP&amp;E schedule'!G11</f>
        <v>10704.705041199999</v>
      </c>
      <c r="H10" s="38">
        <f>'PP&amp;E schedule'!H11</f>
        <v>11243.29352884</v>
      </c>
      <c r="I10" s="38">
        <f>'PP&amp;E schedule'!I11</f>
        <v>11370.305470188001</v>
      </c>
      <c r="J10" s="38">
        <f>'PP&amp;E schedule'!J11</f>
        <v>11459.213829131601</v>
      </c>
    </row>
    <row r="11" spans="2:10" ht="16.5" thickBot="1" x14ac:dyDescent="0.3">
      <c r="B11" s="15" t="s">
        <v>11</v>
      </c>
      <c r="C11" s="16">
        <f t="shared" ref="C11:J11" si="1">SUM(C7:C10)</f>
        <v>23610</v>
      </c>
      <c r="D11" s="16">
        <f t="shared" si="1"/>
        <v>26360.170280320002</v>
      </c>
      <c r="E11" s="16">
        <f t="shared" si="1"/>
        <v>28857.331104639998</v>
      </c>
      <c r="F11" s="16">
        <f t="shared" si="1"/>
        <v>31888.878512424377</v>
      </c>
      <c r="G11" s="16">
        <f t="shared" si="1"/>
        <v>34916.431915348134</v>
      </c>
      <c r="H11" s="16">
        <f t="shared" si="1"/>
        <v>37057.039022837096</v>
      </c>
      <c r="I11" s="16">
        <f t="shared" si="1"/>
        <v>38383.855645701187</v>
      </c>
      <c r="J11" s="16">
        <f t="shared" si="1"/>
        <v>41649.419592615661</v>
      </c>
    </row>
    <row r="12" spans="2:10" ht="16.5" thickTop="1" x14ac:dyDescent="0.25">
      <c r="B12" s="7"/>
      <c r="C12" s="18"/>
      <c r="D12" s="18"/>
      <c r="E12" s="18"/>
      <c r="F12" s="7"/>
      <c r="G12" s="7"/>
      <c r="H12" s="7"/>
      <c r="I12" s="7"/>
      <c r="J12" s="7"/>
    </row>
    <row r="13" spans="2:10" x14ac:dyDescent="0.25">
      <c r="B13" s="1" t="s">
        <v>12</v>
      </c>
      <c r="C13" s="11">
        <v>400</v>
      </c>
      <c r="D13" s="11">
        <v>465</v>
      </c>
      <c r="E13" s="11">
        <v>524</v>
      </c>
      <c r="F13" s="38">
        <f>'Working capital'!F10</f>
        <v>528.27847290640386</v>
      </c>
      <c r="G13" s="38">
        <f>'Working capital'!G10</f>
        <v>559.97518128078821</v>
      </c>
      <c r="H13" s="38">
        <f>'Working capital'!H10</f>
        <v>590.77381625123155</v>
      </c>
      <c r="I13" s="38">
        <f>'Working capital'!I10</f>
        <v>623.26637614504921</v>
      </c>
      <c r="J13" s="38">
        <f>'Working capital'!J10</f>
        <v>648.19703119085125</v>
      </c>
    </row>
    <row r="14" spans="2:10" x14ac:dyDescent="0.25">
      <c r="B14" s="1" t="s">
        <v>13</v>
      </c>
      <c r="C14" s="11">
        <f>'Debt schedule'!C10</f>
        <v>3200</v>
      </c>
      <c r="D14" s="11">
        <f>'Debt schedule'!D10</f>
        <v>3200</v>
      </c>
      <c r="E14" s="11">
        <f>'Debt schedule'!E10</f>
        <v>3200</v>
      </c>
      <c r="F14" s="38">
        <f>'Debt schedule'!F10</f>
        <v>3450</v>
      </c>
      <c r="G14" s="38">
        <f>'Debt schedule'!G10</f>
        <v>3700</v>
      </c>
      <c r="H14" s="38">
        <f>'Debt schedule'!H10</f>
        <v>2950</v>
      </c>
      <c r="I14" s="38">
        <f>'Debt schedule'!I10</f>
        <v>2450</v>
      </c>
      <c r="J14" s="38">
        <f>'Debt schedule'!J10</f>
        <v>2450</v>
      </c>
    </row>
    <row r="15" spans="2:10" x14ac:dyDescent="0.25">
      <c r="B15" s="4" t="s">
        <v>18</v>
      </c>
      <c r="C15" s="13">
        <f t="shared" ref="C15:J15" si="2">SUM(C13:C14)</f>
        <v>3600</v>
      </c>
      <c r="D15" s="13">
        <f t="shared" si="2"/>
        <v>3665</v>
      </c>
      <c r="E15" s="13">
        <f t="shared" si="2"/>
        <v>3724</v>
      </c>
      <c r="F15" s="13">
        <f t="shared" si="2"/>
        <v>3978.2784729064037</v>
      </c>
      <c r="G15" s="13">
        <f t="shared" si="2"/>
        <v>4259.9751812807881</v>
      </c>
      <c r="H15" s="13">
        <f t="shared" si="2"/>
        <v>3540.7738162512314</v>
      </c>
      <c r="I15" s="13">
        <f t="shared" si="2"/>
        <v>3073.2663761450494</v>
      </c>
      <c r="J15" s="13">
        <f t="shared" si="2"/>
        <v>3098.1970311908512</v>
      </c>
    </row>
    <row r="16" spans="2:10" x14ac:dyDescent="0.25">
      <c r="B16" s="3"/>
      <c r="C16" s="11"/>
      <c r="D16" s="11"/>
      <c r="E16" s="11"/>
      <c r="F16" s="1"/>
      <c r="G16" s="1"/>
      <c r="H16" s="1"/>
      <c r="I16" s="1"/>
      <c r="J16" s="1"/>
    </row>
    <row r="17" spans="2:10 16384:16384" x14ac:dyDescent="0.25">
      <c r="B17" s="1" t="s">
        <v>20</v>
      </c>
      <c r="C17" s="11">
        <v>10000</v>
      </c>
      <c r="D17" s="11">
        <v>10000</v>
      </c>
      <c r="E17" s="11">
        <v>10000</v>
      </c>
      <c r="F17" s="38">
        <f>E17+'Key assumptions'!F21</f>
        <v>10000</v>
      </c>
      <c r="G17" s="38">
        <f>F17+'Key assumptions'!G21</f>
        <v>10000</v>
      </c>
      <c r="H17" s="38">
        <f>G17+'Key assumptions'!H21</f>
        <v>10000</v>
      </c>
      <c r="I17" s="38">
        <f>H17+'Key assumptions'!I21</f>
        <v>8750</v>
      </c>
      <c r="J17" s="38">
        <f>I17+'Key assumptions'!J21</f>
        <v>8750</v>
      </c>
    </row>
    <row r="18" spans="2:10 16384:16384" x14ac:dyDescent="0.25">
      <c r="B18" s="1" t="s">
        <v>21</v>
      </c>
      <c r="C18" s="11">
        <v>10010</v>
      </c>
      <c r="D18" s="11">
        <v>12695.170280320002</v>
      </c>
      <c r="E18" s="11">
        <v>15133.331104639998</v>
      </c>
      <c r="F18" s="38">
        <f>E18+'Income statement'!F23+'Income statement'!F25</f>
        <v>17910.600039517973</v>
      </c>
      <c r="G18" s="38">
        <f>F18+'Income statement'!G23+'Income statement'!G25</f>
        <v>20656.456734067349</v>
      </c>
      <c r="H18" s="38">
        <f>G18+'Income statement'!H23+'Income statement'!H25</f>
        <v>23516.26520658586</v>
      </c>
      <c r="I18" s="38">
        <f>H18+'Income statement'!I23+'Income statement'!I25</f>
        <v>26560.589269556138</v>
      </c>
      <c r="J18" s="38">
        <f>I18+'Income statement'!J23+'Income statement'!J25</f>
        <v>29801.222561424805</v>
      </c>
    </row>
    <row r="19" spans="2:10 16384:16384" x14ac:dyDescent="0.25">
      <c r="B19" s="8" t="s">
        <v>19</v>
      </c>
      <c r="C19" s="21">
        <f t="shared" ref="C19:J19" si="3">SUM(C17:C18)</f>
        <v>20010</v>
      </c>
      <c r="D19" s="21">
        <f t="shared" si="3"/>
        <v>22695.170280320002</v>
      </c>
      <c r="E19" s="21">
        <f t="shared" si="3"/>
        <v>25133.331104639998</v>
      </c>
      <c r="F19" s="21">
        <f t="shared" si="3"/>
        <v>27910.600039517973</v>
      </c>
      <c r="G19" s="21">
        <f t="shared" si="3"/>
        <v>30656.456734067349</v>
      </c>
      <c r="H19" s="21">
        <f t="shared" si="3"/>
        <v>33516.265206585857</v>
      </c>
      <c r="I19" s="21">
        <f t="shared" si="3"/>
        <v>35310.589269556134</v>
      </c>
      <c r="J19" s="21">
        <f t="shared" si="3"/>
        <v>38551.222561424802</v>
      </c>
    </row>
    <row r="20" spans="2:10 16384:16384" ht="16.5" thickBot="1" x14ac:dyDescent="0.3">
      <c r="B20" s="15" t="s">
        <v>76</v>
      </c>
      <c r="C20" s="16">
        <f t="shared" ref="C20:J20" si="4">C15+C19</f>
        <v>23610</v>
      </c>
      <c r="D20" s="16">
        <f t="shared" si="4"/>
        <v>26360.170280320002</v>
      </c>
      <c r="E20" s="16">
        <f t="shared" si="4"/>
        <v>28857.331104639998</v>
      </c>
      <c r="F20" s="16">
        <f t="shared" si="4"/>
        <v>31888.878512424377</v>
      </c>
      <c r="G20" s="16">
        <f t="shared" si="4"/>
        <v>34916.431915348134</v>
      </c>
      <c r="H20" s="16">
        <f t="shared" si="4"/>
        <v>37057.039022837089</v>
      </c>
      <c r="I20" s="16">
        <f t="shared" si="4"/>
        <v>38383.855645701187</v>
      </c>
      <c r="J20" s="16">
        <f t="shared" si="4"/>
        <v>41649.419592615654</v>
      </c>
    </row>
    <row r="21" spans="2:10 16384:16384" ht="16.5" thickTop="1" x14ac:dyDescent="0.25">
      <c r="B21" s="1"/>
      <c r="C21" s="11"/>
      <c r="D21" s="11"/>
      <c r="E21" s="11"/>
      <c r="F21" s="11"/>
      <c r="G21" s="11"/>
      <c r="H21" s="11"/>
      <c r="I21" s="11"/>
      <c r="J21" s="11"/>
    </row>
    <row r="22" spans="2:10 16384:16384" x14ac:dyDescent="0.25">
      <c r="B22" s="9" t="s">
        <v>30</v>
      </c>
      <c r="C22" s="45" t="str">
        <f>IF(C11=C20,"OK","ERROR")</f>
        <v>OK</v>
      </c>
      <c r="D22" s="45" t="str">
        <f>IF(D11=D20,"OK","ERROR")</f>
        <v>OK</v>
      </c>
      <c r="E22" s="45" t="str">
        <f>IF(E11=E20,"OK","ERROR")</f>
        <v>OK</v>
      </c>
      <c r="F22" s="45" t="str">
        <f>IF(F11=F20,"OK","ERROR")</f>
        <v>OK</v>
      </c>
      <c r="G22" s="45" t="str">
        <f>IF(G11=G20,"OK","ERROR")</f>
        <v>OK</v>
      </c>
      <c r="H22" s="45" t="str">
        <f>IF(H11=H20,"OK","ERROR")</f>
        <v>OK</v>
      </c>
      <c r="I22" s="45" t="str">
        <f>IF(I11=I20,"OK","ERROR")</f>
        <v>OK</v>
      </c>
      <c r="J22" s="45" t="str">
        <f>IF(J11=J20,"OK","ERROR")</f>
        <v>OK</v>
      </c>
    </row>
    <row r="23" spans="2:10 16384:16384" x14ac:dyDescent="0.25">
      <c r="C23" s="30">
        <f>C11-C20</f>
        <v>0</v>
      </c>
      <c r="D23" s="30">
        <f>D11-D20</f>
        <v>0</v>
      </c>
      <c r="E23" s="30">
        <f>E11-E20</f>
        <v>0</v>
      </c>
      <c r="F23" s="30">
        <f>F11-F20</f>
        <v>0</v>
      </c>
      <c r="G23" s="30">
        <f>G11-G20</f>
        <v>0</v>
      </c>
      <c r="H23" s="30">
        <f>H11-H20</f>
        <v>0</v>
      </c>
      <c r="I23" s="30">
        <f>I11-I20</f>
        <v>0</v>
      </c>
      <c r="J23" s="30">
        <f>J11-J20</f>
        <v>0</v>
      </c>
    </row>
    <row r="24" spans="2:10 16384:16384" x14ac:dyDescent="0.25">
      <c r="C24" s="30"/>
      <c r="D24" s="30"/>
      <c r="E24" s="30"/>
    </row>
    <row r="26" spans="2:10 16384:16384" x14ac:dyDescent="0.25">
      <c r="XFD26" s="25">
        <f>XFC26</f>
        <v>0</v>
      </c>
    </row>
    <row r="28" spans="2:10 16384:16384" x14ac:dyDescent="0.25">
      <c r="D28" s="30"/>
      <c r="E28" s="30"/>
    </row>
  </sheetData>
  <mergeCells count="2">
    <mergeCell ref="C4:E4"/>
    <mergeCell ref="F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27"/>
  <sheetViews>
    <sheetView topLeftCell="B14" zoomScale="130" zoomScaleNormal="130" workbookViewId="0">
      <selection activeCell="F26" sqref="F26"/>
    </sheetView>
  </sheetViews>
  <sheetFormatPr defaultColWidth="9.140625" defaultRowHeight="15.75" x14ac:dyDescent="0.25"/>
  <cols>
    <col min="1" max="1" width="9.140625" style="25"/>
    <col min="2" max="2" width="34.85546875" style="25" bestFit="1" customWidth="1"/>
    <col min="3" max="4" width="10" style="25" bestFit="1" customWidth="1"/>
    <col min="5" max="5" width="10.85546875" style="25" bestFit="1" customWidth="1"/>
    <col min="6" max="10" width="12.28515625" style="25" bestFit="1" customWidth="1"/>
    <col min="11" max="16384" width="9.140625" style="25"/>
  </cols>
  <sheetData>
    <row r="4" spans="2:17" x14ac:dyDescent="0.25">
      <c r="C4" s="51" t="s">
        <v>51</v>
      </c>
      <c r="D4" s="51"/>
      <c r="E4" s="51"/>
      <c r="F4" s="52" t="s">
        <v>40</v>
      </c>
      <c r="G4" s="52"/>
      <c r="H4" s="52"/>
      <c r="I4" s="52"/>
      <c r="J4" s="52"/>
    </row>
    <row r="5" spans="2:17" x14ac:dyDescent="0.25">
      <c r="B5" s="42" t="s">
        <v>52</v>
      </c>
      <c r="C5" s="26">
        <v>2022</v>
      </c>
      <c r="D5" s="26">
        <f t="shared" ref="D5:J5" si="0">+C5+1</f>
        <v>2023</v>
      </c>
      <c r="E5" s="26">
        <f t="shared" si="0"/>
        <v>2024</v>
      </c>
      <c r="F5" s="27">
        <f t="shared" si="0"/>
        <v>2025</v>
      </c>
      <c r="G5" s="27">
        <f t="shared" si="0"/>
        <v>2026</v>
      </c>
      <c r="H5" s="27">
        <f t="shared" si="0"/>
        <v>2027</v>
      </c>
      <c r="I5" s="27">
        <f t="shared" si="0"/>
        <v>2028</v>
      </c>
      <c r="J5" s="27">
        <f t="shared" si="0"/>
        <v>2029</v>
      </c>
    </row>
    <row r="6" spans="2:17" s="1" customFormat="1" x14ac:dyDescent="0.25">
      <c r="B6" s="28" t="s">
        <v>29</v>
      </c>
      <c r="C6" s="28"/>
      <c r="D6" s="28"/>
      <c r="E6" s="28"/>
      <c r="F6" s="28"/>
      <c r="G6" s="28"/>
      <c r="H6" s="28"/>
      <c r="I6" s="28"/>
      <c r="J6" s="28"/>
      <c r="K6" s="25"/>
      <c r="L6" s="25"/>
      <c r="M6" s="25"/>
      <c r="N6" s="25"/>
      <c r="O6" s="25"/>
      <c r="P6" s="25"/>
      <c r="Q6" s="25"/>
    </row>
    <row r="7" spans="2:17" s="1" customFormat="1" x14ac:dyDescent="0.25">
      <c r="B7" s="1" t="s">
        <v>42</v>
      </c>
      <c r="C7" s="1">
        <f>'Income statement'!C23</f>
        <v>3193.0373300000001</v>
      </c>
      <c r="D7" s="1">
        <f>'Income statement'!D23</f>
        <v>2685.1702803199996</v>
      </c>
      <c r="E7" s="1">
        <f>'Income statement'!E23</f>
        <v>2438.1608243199998</v>
      </c>
      <c r="F7" s="35">
        <f>'Income statement'!F23</f>
        <v>3085.8543720866396</v>
      </c>
      <c r="G7" s="35">
        <f>'Income statement'!G23</f>
        <v>3050.95188283264</v>
      </c>
      <c r="H7" s="35">
        <f>'Income statement'!H23</f>
        <v>3177.5649694650119</v>
      </c>
      <c r="I7" s="35">
        <f>'Income statement'!I23</f>
        <v>3382.5822921891945</v>
      </c>
      <c r="J7" s="35">
        <f>'Income statement'!J23</f>
        <v>3600.7036576318551</v>
      </c>
    </row>
    <row r="8" spans="2:17" s="1" customFormat="1" x14ac:dyDescent="0.25">
      <c r="B8" s="1" t="s">
        <v>70</v>
      </c>
      <c r="C8" s="1">
        <f>-'Income statement'!C16</f>
        <v>1510</v>
      </c>
      <c r="D8" s="1">
        <f>-'Income statement'!D16</f>
        <v>2264.7600000000002</v>
      </c>
      <c r="E8" s="1">
        <f>-'Income statement'!E16</f>
        <v>2496.2501200000002</v>
      </c>
      <c r="F8" s="35">
        <f>-'Income statement'!F16</f>
        <v>2543.6969639999998</v>
      </c>
      <c r="G8" s="35">
        <f>-'Income statement'!G16</f>
        <v>2980.5878747999996</v>
      </c>
      <c r="H8" s="35">
        <f>-'Income statement'!H16</f>
        <v>3211.4115123599995</v>
      </c>
      <c r="I8" s="35">
        <f>-'Income statement'!I16</f>
        <v>3372.9880586519998</v>
      </c>
      <c r="J8" s="35">
        <f>-'Income statement'!J16</f>
        <v>3411.0916410564</v>
      </c>
    </row>
    <row r="9" spans="2:17" s="1" customFormat="1" x14ac:dyDescent="0.25">
      <c r="B9" s="1" t="s">
        <v>71</v>
      </c>
      <c r="C9" s="11">
        <v>-134</v>
      </c>
      <c r="D9" s="11">
        <f>'Working capital'!D12</f>
        <v>-58</v>
      </c>
      <c r="E9" s="11">
        <f>'Working capital'!E12</f>
        <v>-210</v>
      </c>
      <c r="F9" s="37">
        <f>'Working capital'!F12</f>
        <v>-58.537463054187356</v>
      </c>
      <c r="G9" s="37">
        <f>'Working capital'!G12</f>
        <v>-85.352247783251187</v>
      </c>
      <c r="H9" s="37">
        <f>'Working capital'!H12</f>
        <v>-82.933934096059147</v>
      </c>
      <c r="I9" s="37">
        <f>'Working capital'!I12</f>
        <v>-87.495300471342262</v>
      </c>
      <c r="J9" s="37">
        <f>'Working capital'!J12</f>
        <v>-67.132757816193816</v>
      </c>
    </row>
    <row r="10" spans="2:17" s="1" customFormat="1" x14ac:dyDescent="0.25">
      <c r="B10" s="4" t="s">
        <v>73</v>
      </c>
      <c r="C10" s="13">
        <f>+SUM(C7:C9)</f>
        <v>4569.0373300000001</v>
      </c>
      <c r="D10" s="13">
        <f t="shared" ref="D10:F10" si="1">+SUM(D7:D9)</f>
        <v>4891.9302803199998</v>
      </c>
      <c r="E10" s="13">
        <f t="shared" si="1"/>
        <v>4724.4109443199995</v>
      </c>
      <c r="F10" s="13">
        <f t="shared" si="1"/>
        <v>5571.0138730324516</v>
      </c>
      <c r="G10" s="13">
        <f t="shared" ref="G10:J10" si="2">+SUM(G7:G9)</f>
        <v>5946.1875098493883</v>
      </c>
      <c r="H10" s="13">
        <f t="shared" si="2"/>
        <v>6306.0425477289518</v>
      </c>
      <c r="I10" s="13">
        <f t="shared" si="2"/>
        <v>6668.0750503698519</v>
      </c>
      <c r="J10" s="13">
        <f t="shared" si="2"/>
        <v>6944.662540872062</v>
      </c>
    </row>
    <row r="11" spans="2:17" s="1" customFormat="1" x14ac:dyDescent="0.25">
      <c r="B11" s="7"/>
      <c r="C11" s="18"/>
      <c r="D11" s="18"/>
      <c r="E11" s="18"/>
      <c r="F11" s="7"/>
      <c r="G11" s="7"/>
      <c r="H11" s="7"/>
      <c r="I11" s="7"/>
      <c r="J11" s="7"/>
    </row>
    <row r="12" spans="2:17" s="1" customFormat="1" x14ac:dyDescent="0.25">
      <c r="B12" s="3"/>
      <c r="C12" s="12"/>
      <c r="D12" s="12"/>
      <c r="E12" s="12"/>
      <c r="F12" s="6"/>
      <c r="G12" s="6"/>
      <c r="H12" s="6"/>
      <c r="I12" s="6"/>
      <c r="J12" s="6"/>
    </row>
    <row r="13" spans="2:17" s="1" customFormat="1" x14ac:dyDescent="0.25">
      <c r="B13" s="1" t="s">
        <v>72</v>
      </c>
      <c r="C13" s="12">
        <f>'Key assumptions'!C19</f>
        <v>-3500</v>
      </c>
      <c r="D13" s="12">
        <f>'Key assumptions'!D19</f>
        <v>-3250</v>
      </c>
      <c r="E13" s="12">
        <f>'Key assumptions'!E19</f>
        <v>-3000</v>
      </c>
      <c r="F13" s="36">
        <f>-'PP&amp;E schedule'!F9</f>
        <v>-4000</v>
      </c>
      <c r="G13" s="36">
        <f>-'PP&amp;E schedule'!G9</f>
        <v>-3750</v>
      </c>
      <c r="H13" s="36">
        <f>-'PP&amp;E schedule'!H9</f>
        <v>-3750</v>
      </c>
      <c r="I13" s="36">
        <f>-'PP&amp;E schedule'!I9</f>
        <v>-3500</v>
      </c>
      <c r="J13" s="36">
        <f>-'PP&amp;E schedule'!J9</f>
        <v>-3500</v>
      </c>
    </row>
    <row r="14" spans="2:17" s="1" customFormat="1" x14ac:dyDescent="0.25">
      <c r="B14" s="4" t="s">
        <v>74</v>
      </c>
      <c r="C14" s="13">
        <f t="shared" ref="C14:F14" si="3">SUM(C13)</f>
        <v>-3500</v>
      </c>
      <c r="D14" s="13">
        <f t="shared" si="3"/>
        <v>-3250</v>
      </c>
      <c r="E14" s="13">
        <f t="shared" si="3"/>
        <v>-3000</v>
      </c>
      <c r="F14" s="13">
        <f t="shared" si="3"/>
        <v>-4000</v>
      </c>
      <c r="G14" s="13">
        <f t="shared" ref="G14:J14" si="4">SUM(G13)</f>
        <v>-3750</v>
      </c>
      <c r="H14" s="13">
        <f t="shared" si="4"/>
        <v>-3750</v>
      </c>
      <c r="I14" s="13">
        <f t="shared" si="4"/>
        <v>-3500</v>
      </c>
      <c r="J14" s="13">
        <f t="shared" si="4"/>
        <v>-3500</v>
      </c>
    </row>
    <row r="15" spans="2:17" s="1" customFormat="1" x14ac:dyDescent="0.25">
      <c r="B15" s="7"/>
      <c r="C15" s="18"/>
      <c r="D15" s="18"/>
      <c r="E15" s="18"/>
      <c r="F15" s="7"/>
      <c r="G15" s="7"/>
      <c r="H15" s="7"/>
      <c r="I15" s="7"/>
      <c r="J15" s="7"/>
    </row>
    <row r="16" spans="2:17" s="1" customFormat="1" x14ac:dyDescent="0.25">
      <c r="B16" s="3"/>
      <c r="C16" s="12"/>
      <c r="D16" s="12"/>
      <c r="E16" s="12"/>
      <c r="F16" s="6"/>
      <c r="G16" s="6"/>
      <c r="H16" s="6"/>
      <c r="I16" s="6"/>
      <c r="J16" s="6"/>
    </row>
    <row r="17" spans="2:10" s="1" customFormat="1" x14ac:dyDescent="0.25">
      <c r="B17" s="1" t="s">
        <v>49</v>
      </c>
      <c r="C17" s="12"/>
      <c r="D17" s="12"/>
      <c r="E17" s="12"/>
      <c r="F17" s="36">
        <f>'Income statement'!F25</f>
        <v>-308.58543720866396</v>
      </c>
      <c r="G17" s="36">
        <f>'Income statement'!G25</f>
        <v>-305.09518828326401</v>
      </c>
      <c r="H17" s="36">
        <f>'Income statement'!H25</f>
        <v>-317.75649694650122</v>
      </c>
      <c r="I17" s="36">
        <f>'Income statement'!I25</f>
        <v>-338.2582292189195</v>
      </c>
      <c r="J17" s="36">
        <f>'Income statement'!J25</f>
        <v>-360.07036576318552</v>
      </c>
    </row>
    <row r="18" spans="2:10" s="1" customFormat="1" x14ac:dyDescent="0.25">
      <c r="B18" s="1" t="s">
        <v>24</v>
      </c>
      <c r="C18" s="12">
        <f>+'Key assumptions'!C20</f>
        <v>200</v>
      </c>
      <c r="D18" s="12">
        <f>+'Key assumptions'!D20</f>
        <v>0</v>
      </c>
      <c r="E18" s="12">
        <f>+'Key assumptions'!E20</f>
        <v>0</v>
      </c>
      <c r="F18" s="36">
        <f>'Key assumptions'!F20</f>
        <v>250</v>
      </c>
      <c r="G18" s="36">
        <f>'Key assumptions'!G20</f>
        <v>250</v>
      </c>
      <c r="H18" s="36">
        <f>'Key assumptions'!H20</f>
        <v>-750</v>
      </c>
      <c r="I18" s="36">
        <f>'Key assumptions'!I20</f>
        <v>-500</v>
      </c>
      <c r="J18" s="36">
        <f>'Key assumptions'!J20</f>
        <v>0</v>
      </c>
    </row>
    <row r="19" spans="2:10" s="1" customFormat="1" x14ac:dyDescent="0.25">
      <c r="B19" s="1" t="s">
        <v>25</v>
      </c>
      <c r="C19" s="12">
        <v>0</v>
      </c>
      <c r="D19" s="12">
        <v>0</v>
      </c>
      <c r="E19" s="12">
        <v>0</v>
      </c>
      <c r="F19" s="36">
        <f>'Key assumptions'!F21</f>
        <v>0</v>
      </c>
      <c r="G19" s="36">
        <f>'Key assumptions'!G21</f>
        <v>0</v>
      </c>
      <c r="H19" s="36">
        <f>'Key assumptions'!H21</f>
        <v>0</v>
      </c>
      <c r="I19" s="36">
        <f>'Key assumptions'!I21</f>
        <v>-1250</v>
      </c>
      <c r="J19" s="36">
        <f>'Key assumptions'!J21</f>
        <v>0</v>
      </c>
    </row>
    <row r="20" spans="2:10" s="1" customFormat="1" x14ac:dyDescent="0.25">
      <c r="B20" s="4" t="s">
        <v>75</v>
      </c>
      <c r="C20" s="13">
        <f t="shared" ref="C20:J20" si="5">SUM(C18:C19)</f>
        <v>200</v>
      </c>
      <c r="D20" s="13">
        <f t="shared" si="5"/>
        <v>0</v>
      </c>
      <c r="E20" s="13">
        <f t="shared" si="5"/>
        <v>0</v>
      </c>
      <c r="F20" s="13">
        <f>SUM(F17:F19)</f>
        <v>-58.585437208663961</v>
      </c>
      <c r="G20" s="13">
        <f t="shared" ref="G20:J20" si="6">SUM(G17:G19)</f>
        <v>-55.095188283264008</v>
      </c>
      <c r="H20" s="13">
        <f t="shared" si="6"/>
        <v>-1067.7564969465011</v>
      </c>
      <c r="I20" s="13">
        <f t="shared" si="6"/>
        <v>-2088.2582292189195</v>
      </c>
      <c r="J20" s="13">
        <f t="shared" si="6"/>
        <v>-360.07036576318552</v>
      </c>
    </row>
    <row r="21" spans="2:10" s="1" customFormat="1" x14ac:dyDescent="0.25">
      <c r="B21" s="7"/>
      <c r="C21" s="18"/>
      <c r="D21" s="18"/>
      <c r="E21" s="18"/>
      <c r="F21" s="7"/>
      <c r="G21" s="7"/>
      <c r="H21" s="7"/>
      <c r="I21" s="7"/>
      <c r="J21" s="7"/>
    </row>
    <row r="22" spans="2:10" s="1" customFormat="1" x14ac:dyDescent="0.25">
      <c r="B22" s="1" t="s">
        <v>26</v>
      </c>
      <c r="C22" s="6">
        <f>C20+C14+C10</f>
        <v>1269.0373300000001</v>
      </c>
      <c r="D22" s="6">
        <f t="shared" ref="D22:J22" si="7">D20+D14+D10</f>
        <v>1641.9302803199998</v>
      </c>
      <c r="E22" s="6">
        <f t="shared" si="7"/>
        <v>1724.4109443199995</v>
      </c>
      <c r="F22" s="6">
        <f t="shared" si="7"/>
        <v>1512.4284358237874</v>
      </c>
      <c r="G22" s="6">
        <f t="shared" si="7"/>
        <v>2141.0923215661242</v>
      </c>
      <c r="H22" s="6">
        <f t="shared" si="7"/>
        <v>1488.2860507824507</v>
      </c>
      <c r="I22" s="6">
        <f t="shared" si="7"/>
        <v>1079.8168211509319</v>
      </c>
      <c r="J22" s="6">
        <f t="shared" si="7"/>
        <v>3084.5921751088763</v>
      </c>
    </row>
    <row r="23" spans="2:10" s="1" customFormat="1" x14ac:dyDescent="0.25">
      <c r="B23" s="7"/>
      <c r="C23" s="18"/>
      <c r="D23" s="18"/>
      <c r="E23" s="18"/>
      <c r="F23" s="7"/>
      <c r="G23" s="7"/>
      <c r="H23" s="7"/>
      <c r="I23" s="7"/>
      <c r="J23" s="7"/>
    </row>
    <row r="24" spans="2:10" s="1" customFormat="1" x14ac:dyDescent="0.25">
      <c r="B24" s="1" t="s">
        <v>27</v>
      </c>
      <c r="C24" s="12">
        <v>13854.962670000001</v>
      </c>
      <c r="D24" s="6">
        <f>C26</f>
        <v>15124</v>
      </c>
      <c r="E24" s="6">
        <f>D26</f>
        <v>16765.930280320001</v>
      </c>
      <c r="F24" s="6">
        <f>+E26</f>
        <v>18490.34122464</v>
      </c>
      <c r="G24" s="6">
        <f>+F26</f>
        <v>20002.769660463789</v>
      </c>
      <c r="H24" s="6">
        <f>+G26</f>
        <v>22143.861982029914</v>
      </c>
      <c r="I24" s="6">
        <f>+H26</f>
        <v>23632.148032812365</v>
      </c>
      <c r="J24" s="6">
        <f>+I26</f>
        <v>24711.964853963298</v>
      </c>
    </row>
    <row r="25" spans="2:10" s="1" customFormat="1" x14ac:dyDescent="0.25">
      <c r="B25" s="1" t="s">
        <v>26</v>
      </c>
      <c r="C25" s="19">
        <f>C22</f>
        <v>1269.0373300000001</v>
      </c>
      <c r="D25" s="19">
        <f t="shared" ref="D25:J25" si="8">D22</f>
        <v>1641.9302803199998</v>
      </c>
      <c r="E25" s="19">
        <f t="shared" si="8"/>
        <v>1724.4109443199995</v>
      </c>
      <c r="F25" s="19">
        <f t="shared" si="8"/>
        <v>1512.4284358237874</v>
      </c>
      <c r="G25" s="19">
        <f t="shared" si="8"/>
        <v>2141.0923215661242</v>
      </c>
      <c r="H25" s="19">
        <f t="shared" si="8"/>
        <v>1488.2860507824507</v>
      </c>
      <c r="I25" s="19">
        <f t="shared" si="8"/>
        <v>1079.8168211509319</v>
      </c>
      <c r="J25" s="19">
        <f t="shared" si="8"/>
        <v>3084.5921751088763</v>
      </c>
    </row>
    <row r="26" spans="2:10" s="1" customFormat="1" x14ac:dyDescent="0.25">
      <c r="B26" s="4" t="s">
        <v>28</v>
      </c>
      <c r="C26" s="13">
        <f>+SUM(C24:C25)</f>
        <v>15124</v>
      </c>
      <c r="D26" s="13">
        <f t="shared" ref="D26:E26" si="9">+SUM(D24:D25)</f>
        <v>16765.930280320001</v>
      </c>
      <c r="E26" s="13">
        <f t="shared" si="9"/>
        <v>18490.34122464</v>
      </c>
      <c r="F26" s="13">
        <f t="shared" ref="F26" si="10">+SUM(F24:F25)</f>
        <v>20002.769660463789</v>
      </c>
      <c r="G26" s="13">
        <f t="shared" ref="G26" si="11">+SUM(G24:G25)</f>
        <v>22143.861982029914</v>
      </c>
      <c r="H26" s="13">
        <f t="shared" ref="H26" si="12">+SUM(H24:H25)</f>
        <v>23632.148032812365</v>
      </c>
      <c r="I26" s="13">
        <f t="shared" ref="I26" si="13">+SUM(I24:I25)</f>
        <v>24711.964853963298</v>
      </c>
      <c r="J26" s="13">
        <f t="shared" ref="J26" si="14">+SUM(J24:J25)</f>
        <v>27796.557029072173</v>
      </c>
    </row>
    <row r="27" spans="2:10" s="1" customFormat="1" x14ac:dyDescent="0.25">
      <c r="B27" s="3"/>
      <c r="C27" s="11"/>
      <c r="D27" s="11"/>
      <c r="E27" s="11"/>
    </row>
  </sheetData>
  <mergeCells count="2">
    <mergeCell ref="C4:E4"/>
    <mergeCell ref="F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"/>
  <sheetViews>
    <sheetView workbookViewId="0">
      <selection activeCell="D13" sqref="D13"/>
    </sheetView>
  </sheetViews>
  <sheetFormatPr defaultColWidth="11.42578125" defaultRowHeight="15" x14ac:dyDescent="0.25"/>
  <cols>
    <col min="2" max="2" width="26" customWidth="1"/>
  </cols>
  <sheetData>
    <row r="3" spans="2:10" ht="15.75" x14ac:dyDescent="0.25">
      <c r="B3" s="25"/>
      <c r="C3" s="51" t="s">
        <v>51</v>
      </c>
      <c r="D3" s="51"/>
      <c r="E3" s="51"/>
      <c r="F3" s="52" t="s">
        <v>40</v>
      </c>
      <c r="G3" s="52"/>
      <c r="H3" s="52"/>
      <c r="I3" s="52"/>
      <c r="J3" s="52"/>
    </row>
    <row r="4" spans="2:10" ht="15.75" x14ac:dyDescent="0.25">
      <c r="B4" s="42" t="s">
        <v>52</v>
      </c>
      <c r="C4" s="26">
        <v>2022</v>
      </c>
      <c r="D4" s="26">
        <f t="shared" ref="D4:J4" si="0">+C4+1</f>
        <v>2023</v>
      </c>
      <c r="E4" s="26">
        <f t="shared" si="0"/>
        <v>2024</v>
      </c>
      <c r="F4" s="27">
        <f t="shared" si="0"/>
        <v>2025</v>
      </c>
      <c r="G4" s="27">
        <f t="shared" si="0"/>
        <v>2026</v>
      </c>
      <c r="H4" s="27">
        <f t="shared" si="0"/>
        <v>2027</v>
      </c>
      <c r="I4" s="27">
        <f t="shared" si="0"/>
        <v>2028</v>
      </c>
      <c r="J4" s="27">
        <f t="shared" si="0"/>
        <v>2029</v>
      </c>
    </row>
    <row r="5" spans="2:10" ht="15.75" x14ac:dyDescent="0.25">
      <c r="B5" s="28" t="s">
        <v>55</v>
      </c>
      <c r="C5" s="28"/>
      <c r="D5" s="28"/>
      <c r="E5" s="28"/>
      <c r="F5" s="28"/>
      <c r="G5" s="28"/>
      <c r="H5" s="28"/>
      <c r="I5" s="28"/>
      <c r="J5" s="28"/>
    </row>
    <row r="7" spans="2:10" ht="15.75" x14ac:dyDescent="0.25">
      <c r="B7" s="3" t="s">
        <v>33</v>
      </c>
      <c r="C7" s="11"/>
      <c r="D7" s="11"/>
      <c r="E7" s="11"/>
      <c r="F7" s="1"/>
      <c r="G7" s="1"/>
      <c r="H7" s="1"/>
      <c r="I7" s="1"/>
      <c r="J7" s="1"/>
    </row>
    <row r="8" spans="2:10" ht="15.75" x14ac:dyDescent="0.25">
      <c r="B8" s="1" t="s">
        <v>14</v>
      </c>
      <c r="C8" s="11">
        <v>3000</v>
      </c>
      <c r="D8" s="11">
        <f>C10</f>
        <v>3200</v>
      </c>
      <c r="E8" s="11">
        <f>D10</f>
        <v>3200</v>
      </c>
      <c r="F8" s="32">
        <f>E10</f>
        <v>3200</v>
      </c>
      <c r="G8" s="32">
        <f t="shared" ref="G8:J8" si="1">F10</f>
        <v>3450</v>
      </c>
      <c r="H8" s="32">
        <f t="shared" si="1"/>
        <v>3700</v>
      </c>
      <c r="I8" s="32">
        <f t="shared" si="1"/>
        <v>2950</v>
      </c>
      <c r="J8" s="32">
        <f t="shared" si="1"/>
        <v>2450</v>
      </c>
    </row>
    <row r="9" spans="2:10" ht="15.75" x14ac:dyDescent="0.25">
      <c r="B9" s="1" t="s">
        <v>15</v>
      </c>
      <c r="C9" s="11">
        <v>200</v>
      </c>
      <c r="D9" s="11">
        <v>0</v>
      </c>
      <c r="E9" s="11">
        <v>0</v>
      </c>
      <c r="F9" s="41">
        <f>'Key assumptions'!F20</f>
        <v>250</v>
      </c>
      <c r="G9" s="41">
        <f>'Key assumptions'!G20</f>
        <v>250</v>
      </c>
      <c r="H9" s="41">
        <f>'Key assumptions'!H20</f>
        <v>-750</v>
      </c>
      <c r="I9" s="41">
        <f>'Key assumptions'!I20</f>
        <v>-500</v>
      </c>
      <c r="J9" s="41">
        <f>'Key assumptions'!J20</f>
        <v>0</v>
      </c>
    </row>
    <row r="10" spans="2:10" ht="15.75" x14ac:dyDescent="0.25">
      <c r="B10" s="5" t="s">
        <v>16</v>
      </c>
      <c r="C10" s="22">
        <f t="shared" ref="C10:J10" si="2">SUM(C8:C9)</f>
        <v>3200</v>
      </c>
      <c r="D10" s="22">
        <f t="shared" si="2"/>
        <v>3200</v>
      </c>
      <c r="E10" s="22">
        <f t="shared" si="2"/>
        <v>3200</v>
      </c>
      <c r="F10" s="22">
        <f t="shared" si="2"/>
        <v>3450</v>
      </c>
      <c r="G10" s="22">
        <f t="shared" si="2"/>
        <v>3700</v>
      </c>
      <c r="H10" s="22">
        <f t="shared" si="2"/>
        <v>2950</v>
      </c>
      <c r="I10" s="22">
        <f t="shared" si="2"/>
        <v>2450</v>
      </c>
      <c r="J10" s="22">
        <f t="shared" si="2"/>
        <v>2450</v>
      </c>
    </row>
    <row r="11" spans="2:10" ht="15.75" x14ac:dyDescent="0.25">
      <c r="B11" s="1" t="s">
        <v>17</v>
      </c>
      <c r="C11" s="11">
        <v>-93</v>
      </c>
      <c r="D11" s="11">
        <v>-96</v>
      </c>
      <c r="E11" s="11">
        <v>-96</v>
      </c>
      <c r="F11" s="1">
        <f>-'Key assumptions'!F13*F13</f>
        <v>-99.75</v>
      </c>
      <c r="G11" s="1">
        <f>-'Key assumptions'!G13*G13</f>
        <v>-107.25</v>
      </c>
      <c r="H11" s="1">
        <f>-'Key assumptions'!H13*H13</f>
        <v>-99.75</v>
      </c>
      <c r="I11" s="1">
        <f>-'Key assumptions'!I13*I13</f>
        <v>-81</v>
      </c>
      <c r="J11" s="1">
        <f>-'Key assumptions'!J13*J13</f>
        <v>-73.5</v>
      </c>
    </row>
    <row r="13" spans="2:10" x14ac:dyDescent="0.25">
      <c r="C13" s="43"/>
      <c r="D13" s="43"/>
      <c r="E13" s="43"/>
      <c r="F13" s="55">
        <f>AVERAGE(F10,F8)</f>
        <v>3325</v>
      </c>
      <c r="G13" s="55">
        <f t="shared" ref="G13:J13" si="3">AVERAGE(G10,G8)</f>
        <v>3575</v>
      </c>
      <c r="H13" s="55">
        <f t="shared" si="3"/>
        <v>3325</v>
      </c>
      <c r="I13" s="55">
        <f t="shared" si="3"/>
        <v>2700</v>
      </c>
      <c r="J13" s="55">
        <f t="shared" si="3"/>
        <v>2450</v>
      </c>
    </row>
  </sheetData>
  <mergeCells count="2">
    <mergeCell ref="C3:E3"/>
    <mergeCell ref="F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"/>
  <sheetViews>
    <sheetView workbookViewId="0">
      <selection activeCell="F11" sqref="F11"/>
    </sheetView>
  </sheetViews>
  <sheetFormatPr defaultColWidth="11.42578125" defaultRowHeight="15" x14ac:dyDescent="0.25"/>
  <cols>
    <col min="2" max="2" width="22.42578125" customWidth="1"/>
  </cols>
  <sheetData>
    <row r="3" spans="2:10" ht="15.75" x14ac:dyDescent="0.25">
      <c r="B3" s="25"/>
      <c r="C3" s="51" t="s">
        <v>51</v>
      </c>
      <c r="D3" s="51"/>
      <c r="E3" s="51"/>
      <c r="F3" s="52" t="s">
        <v>40</v>
      </c>
      <c r="G3" s="52"/>
      <c r="H3" s="52"/>
      <c r="I3" s="52"/>
      <c r="J3" s="52"/>
    </row>
    <row r="4" spans="2:10" ht="15.75" x14ac:dyDescent="0.25">
      <c r="B4" s="42" t="s">
        <v>52</v>
      </c>
      <c r="C4" s="26">
        <v>2022</v>
      </c>
      <c r="D4" s="26">
        <f t="shared" ref="D4:J4" si="0">+C4+1</f>
        <v>2023</v>
      </c>
      <c r="E4" s="26">
        <f t="shared" si="0"/>
        <v>2024</v>
      </c>
      <c r="F4" s="27">
        <f t="shared" si="0"/>
        <v>2025</v>
      </c>
      <c r="G4" s="27">
        <f t="shared" si="0"/>
        <v>2026</v>
      </c>
      <c r="H4" s="27">
        <f t="shared" si="0"/>
        <v>2027</v>
      </c>
      <c r="I4" s="27">
        <f t="shared" si="0"/>
        <v>2028</v>
      </c>
      <c r="J4" s="27">
        <f t="shared" si="0"/>
        <v>2029</v>
      </c>
    </row>
    <row r="5" spans="2:10" ht="15.75" x14ac:dyDescent="0.25">
      <c r="B5" s="28" t="s">
        <v>68</v>
      </c>
      <c r="C5" s="28"/>
      <c r="D5" s="28"/>
      <c r="E5" s="28"/>
      <c r="F5" s="28"/>
      <c r="G5" s="28"/>
      <c r="H5" s="28"/>
      <c r="I5" s="28"/>
      <c r="J5" s="28"/>
    </row>
    <row r="7" spans="2:10" ht="15.75" x14ac:dyDescent="0.25">
      <c r="B7" s="3" t="s">
        <v>32</v>
      </c>
      <c r="C7" s="11"/>
      <c r="D7" s="11"/>
      <c r="E7" s="11"/>
      <c r="F7" s="1"/>
      <c r="G7" s="1"/>
      <c r="H7" s="1"/>
      <c r="I7" s="1"/>
      <c r="J7" s="1"/>
    </row>
    <row r="8" spans="2:10" ht="15.75" x14ac:dyDescent="0.25">
      <c r="B8" s="1" t="s">
        <v>8</v>
      </c>
      <c r="C8" s="11">
        <v>5000</v>
      </c>
      <c r="D8" s="11">
        <f>C11</f>
        <v>6990</v>
      </c>
      <c r="E8" s="11">
        <f>D11</f>
        <v>7975.24</v>
      </c>
      <c r="F8" s="32">
        <f>E11</f>
        <v>8478.9898799999992</v>
      </c>
      <c r="G8" s="32">
        <f t="shared" ref="G8:J8" si="1">F11</f>
        <v>9935.2929159999985</v>
      </c>
      <c r="H8" s="32">
        <f t="shared" si="1"/>
        <v>10704.705041199999</v>
      </c>
      <c r="I8" s="32">
        <f t="shared" si="1"/>
        <v>11243.29352884</v>
      </c>
      <c r="J8" s="32">
        <f t="shared" si="1"/>
        <v>11370.305470188001</v>
      </c>
    </row>
    <row r="9" spans="2:10" ht="15.75" x14ac:dyDescent="0.25">
      <c r="B9" s="1" t="s">
        <v>56</v>
      </c>
      <c r="C9" s="11">
        <v>3500</v>
      </c>
      <c r="D9" s="11">
        <v>3250</v>
      </c>
      <c r="E9" s="11">
        <v>3000</v>
      </c>
      <c r="F9" s="32">
        <f>-'Key assumptions'!F19</f>
        <v>4000</v>
      </c>
      <c r="G9" s="32">
        <f>-'Key assumptions'!G19</f>
        <v>3750</v>
      </c>
      <c r="H9" s="32">
        <f>-'Key assumptions'!H19</f>
        <v>3750</v>
      </c>
      <c r="I9" s="32">
        <f>-'Key assumptions'!I19</f>
        <v>3500</v>
      </c>
      <c r="J9" s="32">
        <f>-'Key assumptions'!J19</f>
        <v>3500</v>
      </c>
    </row>
    <row r="10" spans="2:10" ht="15.75" x14ac:dyDescent="0.25">
      <c r="B10" s="1" t="s">
        <v>57</v>
      </c>
      <c r="C10" s="11">
        <v>-1510</v>
      </c>
      <c r="D10" s="11">
        <v>-2264.7600000000002</v>
      </c>
      <c r="E10" s="11">
        <v>-2496.2501200000002</v>
      </c>
      <c r="F10" s="34">
        <f>-F8*'Key assumptions'!F12</f>
        <v>-2543.6969639999998</v>
      </c>
      <c r="G10" s="34">
        <f>-G8*'Key assumptions'!G12</f>
        <v>-2980.5878747999996</v>
      </c>
      <c r="H10" s="34">
        <f>-H8*'Key assumptions'!H12</f>
        <v>-3211.4115123599995</v>
      </c>
      <c r="I10" s="34">
        <f>-I8*'Key assumptions'!I12</f>
        <v>-3372.9880586519998</v>
      </c>
      <c r="J10" s="34">
        <f>-J8*'Key assumptions'!J12</f>
        <v>-3411.0916410564</v>
      </c>
    </row>
    <row r="11" spans="2:10" ht="15.75" x14ac:dyDescent="0.25">
      <c r="B11" s="5" t="s">
        <v>9</v>
      </c>
      <c r="C11" s="22">
        <f>+SUM(C8:C10)</f>
        <v>6990</v>
      </c>
      <c r="D11" s="22">
        <f t="shared" ref="D11:J11" si="2">+SUM(D8:D10)</f>
        <v>7975.24</v>
      </c>
      <c r="E11" s="22">
        <f t="shared" si="2"/>
        <v>8478.9898799999992</v>
      </c>
      <c r="F11" s="22">
        <f t="shared" si="2"/>
        <v>9935.2929159999985</v>
      </c>
      <c r="G11" s="22">
        <f t="shared" si="2"/>
        <v>10704.705041199999</v>
      </c>
      <c r="H11" s="22">
        <f t="shared" si="2"/>
        <v>11243.29352884</v>
      </c>
      <c r="I11" s="22">
        <f t="shared" si="2"/>
        <v>11370.305470188001</v>
      </c>
      <c r="J11" s="22">
        <f t="shared" si="2"/>
        <v>11459.213829131601</v>
      </c>
    </row>
    <row r="12" spans="2:10" x14ac:dyDescent="0.25">
      <c r="F12" s="55"/>
    </row>
  </sheetData>
  <mergeCells count="2">
    <mergeCell ref="C3:E3"/>
    <mergeCell ref="F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8"/>
  <sheetViews>
    <sheetView topLeftCell="A7" workbookViewId="0">
      <selection activeCell="E28" sqref="E28"/>
    </sheetView>
  </sheetViews>
  <sheetFormatPr defaultColWidth="9.140625" defaultRowHeight="15.75" x14ac:dyDescent="0.25"/>
  <cols>
    <col min="1" max="1" width="9.140625" style="25"/>
    <col min="2" max="2" width="26" style="25" bestFit="1" customWidth="1"/>
    <col min="3" max="16384" width="9.140625" style="25"/>
  </cols>
  <sheetData>
    <row r="4" spans="2:12" x14ac:dyDescent="0.25">
      <c r="C4" s="51" t="s">
        <v>51</v>
      </c>
      <c r="D4" s="51"/>
      <c r="E4" s="51"/>
      <c r="F4" s="52" t="s">
        <v>40</v>
      </c>
      <c r="G4" s="52"/>
      <c r="H4" s="52"/>
      <c r="I4" s="52"/>
      <c r="J4" s="52"/>
    </row>
    <row r="5" spans="2:12" x14ac:dyDescent="0.25">
      <c r="B5" s="42" t="s">
        <v>52</v>
      </c>
      <c r="C5" s="26">
        <v>2022</v>
      </c>
      <c r="D5" s="26">
        <f t="shared" ref="D5:J5" si="0">+C5+1</f>
        <v>2023</v>
      </c>
      <c r="E5" s="26">
        <f t="shared" si="0"/>
        <v>2024</v>
      </c>
      <c r="F5" s="27">
        <f t="shared" si="0"/>
        <v>2025</v>
      </c>
      <c r="G5" s="27">
        <f t="shared" si="0"/>
        <v>2026</v>
      </c>
      <c r="H5" s="27">
        <f t="shared" si="0"/>
        <v>2027</v>
      </c>
      <c r="I5" s="27">
        <f t="shared" si="0"/>
        <v>2028</v>
      </c>
      <c r="J5" s="27">
        <f t="shared" si="0"/>
        <v>2029</v>
      </c>
    </row>
    <row r="6" spans="2:12" x14ac:dyDescent="0.25">
      <c r="B6" s="28" t="s">
        <v>31</v>
      </c>
      <c r="C6" s="28"/>
      <c r="D6" s="28"/>
      <c r="E6" s="28"/>
      <c r="F6" s="28"/>
      <c r="G6" s="28"/>
      <c r="H6" s="28"/>
      <c r="I6" s="28"/>
      <c r="J6" s="28"/>
    </row>
    <row r="7" spans="2:12" x14ac:dyDescent="0.25">
      <c r="B7" s="3"/>
      <c r="C7" s="11"/>
      <c r="D7" s="11"/>
      <c r="E7" s="11"/>
      <c r="F7" s="1"/>
      <c r="G7" s="1"/>
      <c r="H7" s="1"/>
      <c r="I7" s="1"/>
      <c r="J7" s="1"/>
    </row>
    <row r="8" spans="2:12" x14ac:dyDescent="0.25">
      <c r="B8" s="1" t="s">
        <v>6</v>
      </c>
      <c r="C8" s="11">
        <f>'Balance sheet'!C8</f>
        <v>664</v>
      </c>
      <c r="D8" s="11">
        <f>'Balance sheet'!D8</f>
        <v>722</v>
      </c>
      <c r="E8" s="11">
        <f>'Balance sheet'!E8</f>
        <v>834</v>
      </c>
      <c r="F8" s="37">
        <f>F16*'Income statement'!F7/365</f>
        <v>888.21</v>
      </c>
      <c r="G8" s="37">
        <f>G16*'Income statement'!G7/365</f>
        <v>941.50260000000026</v>
      </c>
      <c r="H8" s="37">
        <f>H16*'Income statement'!H7/365</f>
        <v>993.28524300000004</v>
      </c>
      <c r="I8" s="37">
        <f>I16*'Income statement'!I7/365</f>
        <v>1047.915931365</v>
      </c>
      <c r="J8" s="37">
        <f>J16*'Income statement'!J7/365</f>
        <v>1089.8325686196001</v>
      </c>
      <c r="L8" s="30"/>
    </row>
    <row r="9" spans="2:12" x14ac:dyDescent="0.25">
      <c r="B9" s="1" t="s">
        <v>10</v>
      </c>
      <c r="C9" s="11">
        <f>'Balance sheet'!C9</f>
        <v>832</v>
      </c>
      <c r="D9" s="11">
        <f>'Balance sheet'!D9</f>
        <v>897</v>
      </c>
      <c r="E9" s="11">
        <f>'Balance sheet'!E9</f>
        <v>1054</v>
      </c>
      <c r="F9" s="37">
        <f>-F17*'Income statement'!F8/365</f>
        <v>1062.6059359605913</v>
      </c>
      <c r="G9" s="37">
        <f>-G17*'Income statement'!G8/365</f>
        <v>1126.3622921182266</v>
      </c>
      <c r="H9" s="37">
        <f>-H17*'Income statement'!H8/365</f>
        <v>1188.3122181847291</v>
      </c>
      <c r="I9" s="37">
        <f>-I17*'Income statement'!I8/365</f>
        <v>1253.6693901848892</v>
      </c>
      <c r="J9" s="37">
        <f>-J17*'Income statement'!J8/365</f>
        <v>1303.8161657922849</v>
      </c>
      <c r="L9" s="30"/>
    </row>
    <row r="10" spans="2:12" x14ac:dyDescent="0.25">
      <c r="B10" s="1" t="s">
        <v>12</v>
      </c>
      <c r="C10" s="11">
        <f>'Balance sheet'!C13</f>
        <v>400</v>
      </c>
      <c r="D10" s="11">
        <f>'Balance sheet'!D13</f>
        <v>465</v>
      </c>
      <c r="E10" s="11">
        <f>'Balance sheet'!E13</f>
        <v>524</v>
      </c>
      <c r="F10" s="37">
        <f>-F18*'Income statement'!F8/365</f>
        <v>528.27847290640386</v>
      </c>
      <c r="G10" s="37">
        <f>-G18*'Income statement'!G8/365</f>
        <v>559.97518128078821</v>
      </c>
      <c r="H10" s="37">
        <f>-H18*'Income statement'!H8/365</f>
        <v>590.77381625123155</v>
      </c>
      <c r="I10" s="37">
        <f>-I18*'Income statement'!I8/365</f>
        <v>623.26637614504921</v>
      </c>
      <c r="J10" s="37">
        <f>-J18*'Income statement'!J8/365</f>
        <v>648.19703119085125</v>
      </c>
      <c r="L10" s="30"/>
    </row>
    <row r="11" spans="2:12" x14ac:dyDescent="0.25">
      <c r="B11" s="5" t="s">
        <v>23</v>
      </c>
      <c r="C11" s="22">
        <f t="shared" ref="C11:J11" si="1">C8+C9-C10</f>
        <v>1096</v>
      </c>
      <c r="D11" s="22">
        <f t="shared" si="1"/>
        <v>1154</v>
      </c>
      <c r="E11" s="22">
        <f t="shared" si="1"/>
        <v>1364</v>
      </c>
      <c r="F11" s="22">
        <f t="shared" si="1"/>
        <v>1422.5374630541874</v>
      </c>
      <c r="G11" s="22">
        <f t="shared" si="1"/>
        <v>1507.8897108374385</v>
      </c>
      <c r="H11" s="22">
        <f t="shared" si="1"/>
        <v>1590.8236449334977</v>
      </c>
      <c r="I11" s="22">
        <f t="shared" si="1"/>
        <v>1678.31894540484</v>
      </c>
      <c r="J11" s="22">
        <f t="shared" si="1"/>
        <v>1745.4517032210338</v>
      </c>
      <c r="L11" s="30"/>
    </row>
    <row r="12" spans="2:12" x14ac:dyDescent="0.25">
      <c r="B12" s="1" t="s">
        <v>22</v>
      </c>
      <c r="C12" s="23"/>
      <c r="D12" s="23">
        <f>C11-D11</f>
        <v>-58</v>
      </c>
      <c r="E12" s="23">
        <f>D11-E11</f>
        <v>-210</v>
      </c>
      <c r="F12" s="23">
        <f t="shared" ref="F12:J12" si="2">E11-F11</f>
        <v>-58.537463054187356</v>
      </c>
      <c r="G12" s="23">
        <f t="shared" si="2"/>
        <v>-85.352247783251187</v>
      </c>
      <c r="H12" s="23">
        <f t="shared" si="2"/>
        <v>-82.933934096059147</v>
      </c>
      <c r="I12" s="23">
        <f t="shared" si="2"/>
        <v>-87.495300471342262</v>
      </c>
      <c r="J12" s="23">
        <f t="shared" si="2"/>
        <v>-67.132757816193816</v>
      </c>
    </row>
    <row r="13" spans="2:12" x14ac:dyDescent="0.25">
      <c r="B13" s="1"/>
      <c r="C13" s="11"/>
      <c r="D13" s="11"/>
      <c r="E13" s="11"/>
      <c r="F13" s="1"/>
      <c r="G13" s="1"/>
      <c r="H13" s="1"/>
      <c r="I13" s="1"/>
      <c r="J13" s="1"/>
    </row>
    <row r="15" spans="2:12" x14ac:dyDescent="0.25">
      <c r="B15" s="29" t="s">
        <v>43</v>
      </c>
    </row>
    <row r="16" spans="2:12" x14ac:dyDescent="0.25">
      <c r="B16" s="1" t="s">
        <v>44</v>
      </c>
      <c r="C16" s="54">
        <f>'Key assumptions'!C16</f>
        <v>19.973627822647106</v>
      </c>
      <c r="D16" s="54">
        <f>'Key assumptions'!D16</f>
        <v>19.391350161294117</v>
      </c>
      <c r="E16" s="54">
        <f>'Key assumptions'!E16</f>
        <v>20.45609738868351</v>
      </c>
      <c r="F16" s="54">
        <f>'Key assumptions'!F16</f>
        <v>20.45609738868351</v>
      </c>
      <c r="G16" s="54">
        <f>'Key assumptions'!G16</f>
        <v>20.45609738868351</v>
      </c>
      <c r="H16" s="54">
        <f>'Key assumptions'!H16</f>
        <v>20.45609738868351</v>
      </c>
      <c r="I16" s="54">
        <f>'Key assumptions'!I16</f>
        <v>20.45609738868351</v>
      </c>
      <c r="J16" s="54">
        <f>'Key assumptions'!J16</f>
        <v>20.45609738868351</v>
      </c>
    </row>
    <row r="17" spans="2:10" x14ac:dyDescent="0.25">
      <c r="B17" s="1" t="s">
        <v>45</v>
      </c>
      <c r="C17" s="54">
        <f>'Key assumptions'!C17</f>
        <v>69.51998974415325</v>
      </c>
      <c r="D17" s="54">
        <f>'Key assumptions'!D17</f>
        <v>62.251859587138881</v>
      </c>
      <c r="E17" s="54">
        <f>'Key assumptions'!E17</f>
        <v>63.675345381839605</v>
      </c>
      <c r="F17" s="54">
        <f>'Key assumptions'!F17</f>
        <v>63.675345381839605</v>
      </c>
      <c r="G17" s="54">
        <f>'Key assumptions'!G17</f>
        <v>63.675345381839605</v>
      </c>
      <c r="H17" s="54">
        <f>'Key assumptions'!H17</f>
        <v>63.675345381839605</v>
      </c>
      <c r="I17" s="54">
        <f>'Key assumptions'!I17</f>
        <v>63.675345381839605</v>
      </c>
      <c r="J17" s="54">
        <f>'Key assumptions'!J17</f>
        <v>63.675345381839605</v>
      </c>
    </row>
    <row r="18" spans="2:10" x14ac:dyDescent="0.25">
      <c r="B18" s="1" t="s">
        <v>46</v>
      </c>
      <c r="C18" s="54">
        <f>'Key assumptions'!C18</f>
        <v>33.423071992381374</v>
      </c>
      <c r="D18" s="54">
        <f>'Key assumptions'!D18</f>
        <v>32.271030889653936</v>
      </c>
      <c r="E18" s="54">
        <f>'Key assumptions'!E18</f>
        <v>31.656433567442079</v>
      </c>
      <c r="F18" s="54">
        <f>'Key assumptions'!F18</f>
        <v>31.656433567442079</v>
      </c>
      <c r="G18" s="54">
        <f>'Key assumptions'!G18</f>
        <v>31.656433567442079</v>
      </c>
      <c r="H18" s="54">
        <f>'Key assumptions'!H18</f>
        <v>31.656433567442079</v>
      </c>
      <c r="I18" s="54">
        <f>'Key assumptions'!I18</f>
        <v>31.656433567442079</v>
      </c>
      <c r="J18" s="54">
        <f>'Key assumptions'!J18</f>
        <v>31.656433567442079</v>
      </c>
    </row>
  </sheetData>
  <mergeCells count="2">
    <mergeCell ref="C4:E4"/>
    <mergeCell ref="F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 assumptions</vt:lpstr>
      <vt:lpstr>Income statement</vt:lpstr>
      <vt:lpstr>Balance sheet</vt:lpstr>
      <vt:lpstr>Cash flow statement</vt:lpstr>
      <vt:lpstr>Debt schedule</vt:lpstr>
      <vt:lpstr>PP&amp;E schedule</vt:lpstr>
      <vt:lpstr>Working 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Dhiraj Kumar</cp:lastModifiedBy>
  <cp:lastPrinted>2014-12-13T23:43:21Z</cp:lastPrinted>
  <dcterms:created xsi:type="dcterms:W3CDTF">2014-11-08T22:00:02Z</dcterms:created>
  <dcterms:modified xsi:type="dcterms:W3CDTF">2025-05-27T15:32:20Z</dcterms:modified>
</cp:coreProperties>
</file>