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hiraj Kumar\OneDrive\Desktop\"/>
    </mc:Choice>
  </mc:AlternateContent>
  <bookViews>
    <workbookView xWindow="0" yWindow="0" windowWidth="20490" windowHeight="7650"/>
  </bookViews>
  <sheets>
    <sheet name="Statements" sheetId="1" r:id="rId1"/>
    <sheet name="Depreciation Schedule" sheetId="4" r:id="rId2"/>
    <sheet name="Debt Schedule" sheetId="5" r:id="rId3"/>
    <sheet name="Stockholder's Equity" sheetId="7" r:id="rId4"/>
    <sheet name="Scenarios" sheetId="2" r:id="rId5"/>
  </sheets>
  <calcPr calcId="162913" iterate="1"/>
</workbook>
</file>

<file path=xl/calcChain.xml><?xml version="1.0" encoding="utf-8"?>
<calcChain xmlns="http://schemas.openxmlformats.org/spreadsheetml/2006/main">
  <c r="L99" i="1" l="1"/>
  <c r="K99" i="1"/>
  <c r="J99" i="1"/>
  <c r="I99" i="1"/>
  <c r="H99" i="1"/>
  <c r="G99" i="1"/>
  <c r="F99" i="1"/>
  <c r="E99" i="1"/>
  <c r="D99" i="1"/>
  <c r="L98" i="1"/>
  <c r="K98" i="1"/>
  <c r="J98" i="1"/>
  <c r="I98" i="1"/>
  <c r="H98" i="1"/>
  <c r="G98" i="1"/>
  <c r="F98" i="1"/>
  <c r="E98" i="1"/>
  <c r="D98" i="1"/>
  <c r="L97" i="1"/>
  <c r="K97" i="1"/>
  <c r="J97" i="1"/>
  <c r="I97" i="1"/>
  <c r="H97" i="1"/>
  <c r="G97" i="1"/>
  <c r="F97" i="1"/>
  <c r="E97" i="1"/>
  <c r="D97" i="1"/>
  <c r="L96" i="1"/>
  <c r="K96" i="1"/>
  <c r="J96" i="1"/>
  <c r="I96" i="1"/>
  <c r="H96" i="1"/>
  <c r="G96" i="1"/>
  <c r="F96" i="1"/>
  <c r="E96" i="1"/>
  <c r="D96" i="1"/>
  <c r="L56" i="1"/>
  <c r="K56" i="1"/>
  <c r="J56" i="1"/>
  <c r="I56" i="1"/>
  <c r="H56" i="1"/>
  <c r="G56" i="1"/>
  <c r="F56" i="1"/>
  <c r="E56" i="1"/>
  <c r="D56" i="1"/>
  <c r="E53" i="1"/>
  <c r="F53" i="1" s="1"/>
  <c r="G53" i="1" s="1"/>
  <c r="H53" i="1" s="1"/>
  <c r="I53" i="1" s="1"/>
  <c r="J53" i="1" s="1"/>
  <c r="K53" i="1" s="1"/>
  <c r="L53" i="1" s="1"/>
  <c r="D53" i="1"/>
  <c r="L52" i="1"/>
  <c r="K52" i="1"/>
  <c r="J52" i="1"/>
  <c r="I52" i="1"/>
  <c r="H52" i="1"/>
  <c r="G52" i="1"/>
  <c r="F52" i="1"/>
  <c r="E52" i="1"/>
  <c r="D52" i="1"/>
  <c r="E44" i="1"/>
  <c r="F44" i="1" s="1"/>
  <c r="G44" i="1" s="1"/>
  <c r="H44" i="1" s="1"/>
  <c r="I44" i="1" s="1"/>
  <c r="J44" i="1" s="1"/>
  <c r="K44" i="1" s="1"/>
  <c r="L44" i="1" s="1"/>
  <c r="D44" i="1"/>
  <c r="D43" i="1"/>
  <c r="E43" i="1" s="1"/>
  <c r="F43" i="1" s="1"/>
  <c r="G43" i="1" s="1"/>
  <c r="H43" i="1" s="1"/>
  <c r="I43" i="1" s="1"/>
  <c r="J43" i="1" s="1"/>
  <c r="K43" i="1" s="1"/>
  <c r="L43" i="1" s="1"/>
  <c r="D42" i="1"/>
  <c r="E42" i="1" s="1"/>
  <c r="F42" i="1" s="1"/>
  <c r="G42" i="1" s="1"/>
  <c r="H42" i="1" s="1"/>
  <c r="I42" i="1" s="1"/>
  <c r="J42" i="1" s="1"/>
  <c r="K42" i="1" s="1"/>
  <c r="L42" i="1" s="1"/>
  <c r="L18" i="1"/>
  <c r="K18" i="1"/>
  <c r="J18" i="1"/>
  <c r="I18" i="1"/>
  <c r="H18" i="1"/>
  <c r="G18" i="1"/>
  <c r="F18" i="1"/>
  <c r="E18" i="1"/>
  <c r="D18" i="1"/>
  <c r="D14" i="1"/>
  <c r="E14" i="1" s="1"/>
  <c r="F14" i="1" s="1"/>
  <c r="G14" i="1" s="1"/>
  <c r="H14" i="1" s="1"/>
  <c r="I14" i="1" s="1"/>
  <c r="J14" i="1" s="1"/>
  <c r="K14" i="1" s="1"/>
  <c r="L14" i="1" s="1"/>
  <c r="L13" i="1"/>
  <c r="K13" i="1"/>
  <c r="J13" i="1"/>
  <c r="I13" i="1"/>
  <c r="H13" i="1"/>
  <c r="G13" i="1"/>
  <c r="F13" i="1"/>
  <c r="E13" i="1"/>
  <c r="D13" i="1"/>
  <c r="C99" i="1"/>
  <c r="C98" i="1"/>
  <c r="C97" i="1"/>
  <c r="C96" i="1"/>
  <c r="C56" i="1"/>
  <c r="C53" i="1"/>
  <c r="C44" i="1"/>
  <c r="C43" i="1"/>
  <c r="C42" i="1"/>
  <c r="C52" i="1"/>
  <c r="C18" i="1"/>
  <c r="C13" i="1"/>
  <c r="C14" i="1"/>
  <c r="L22" i="7"/>
  <c r="K22" i="7"/>
  <c r="J22" i="7"/>
  <c r="I22" i="7"/>
  <c r="H22" i="7"/>
  <c r="G22" i="7"/>
  <c r="F22" i="7"/>
  <c r="E22" i="7"/>
  <c r="D22" i="7"/>
  <c r="L21" i="7"/>
  <c r="K21" i="7"/>
  <c r="J21" i="7"/>
  <c r="I21" i="7"/>
  <c r="H21" i="7"/>
  <c r="G21" i="7"/>
  <c r="F21" i="7"/>
  <c r="E21" i="7"/>
  <c r="D21" i="7"/>
  <c r="C22" i="7"/>
  <c r="C21" i="7"/>
  <c r="C20" i="7"/>
  <c r="L8" i="7"/>
  <c r="K8" i="7"/>
  <c r="J8" i="7"/>
  <c r="I8" i="7"/>
  <c r="H8" i="7"/>
  <c r="G8" i="7"/>
  <c r="F8" i="7"/>
  <c r="E8" i="7"/>
  <c r="D8" i="7"/>
  <c r="L7" i="7"/>
  <c r="K7" i="7"/>
  <c r="J7" i="7"/>
  <c r="I7" i="7"/>
  <c r="H7" i="7"/>
  <c r="G7" i="7"/>
  <c r="F7" i="7"/>
  <c r="E7" i="7"/>
  <c r="D7" i="7"/>
  <c r="C8" i="7"/>
  <c r="C7" i="7"/>
  <c r="C6" i="7"/>
  <c r="C11" i="5"/>
  <c r="C6" i="5"/>
  <c r="C15" i="4"/>
  <c r="C6" i="4"/>
  <c r="C8" i="5"/>
  <c r="C63" i="1"/>
  <c r="D63" i="1" s="1"/>
  <c r="E63" i="1" s="1"/>
  <c r="F63" i="1" s="1"/>
  <c r="G63" i="1" s="1"/>
  <c r="H63" i="1" s="1"/>
  <c r="I63" i="1" s="1"/>
  <c r="J63" i="1" s="1"/>
  <c r="K63" i="1" s="1"/>
  <c r="L63" i="1" s="1"/>
  <c r="B64" i="1"/>
  <c r="C64" i="1" s="1"/>
  <c r="D64" i="1" s="1"/>
  <c r="E64" i="1" s="1"/>
  <c r="F64" i="1" s="1"/>
  <c r="G64" i="1" s="1"/>
  <c r="H64" i="1" s="1"/>
  <c r="I64" i="1" s="1"/>
  <c r="J64" i="1" s="1"/>
  <c r="K64" i="1" s="1"/>
  <c r="L64" i="1" s="1"/>
  <c r="B63" i="1"/>
  <c r="D8" i="5"/>
  <c r="E8" i="5"/>
  <c r="F8" i="5"/>
  <c r="G8" i="5"/>
  <c r="H8" i="5"/>
  <c r="I8" i="5"/>
  <c r="J8" i="5"/>
  <c r="K8" i="5"/>
  <c r="L8" i="5"/>
  <c r="B24" i="4"/>
  <c r="B91" i="1" l="1"/>
  <c r="B18" i="2"/>
  <c r="B17" i="2"/>
  <c r="B16" i="2"/>
  <c r="C23" i="7"/>
  <c r="D20" i="7" s="1"/>
  <c r="D23" i="7" s="1"/>
  <c r="E20" i="7" s="1"/>
  <c r="E23" i="7" s="1"/>
  <c r="F20" i="7" s="1"/>
  <c r="F23" i="7" s="1"/>
  <c r="G20" i="7" s="1"/>
  <c r="G23" i="7" s="1"/>
  <c r="H20" i="7" s="1"/>
  <c r="H23" i="7" s="1"/>
  <c r="I20" i="7" s="1"/>
  <c r="I23" i="7" s="1"/>
  <c r="J20" i="7" s="1"/>
  <c r="J23" i="7" s="1"/>
  <c r="K20" i="7" s="1"/>
  <c r="K23" i="7" s="1"/>
  <c r="L20" i="7" s="1"/>
  <c r="L23" i="7" s="1"/>
  <c r="C9" i="7"/>
  <c r="D6" i="7" s="1"/>
  <c r="D9" i="7" s="1"/>
  <c r="C9" i="5"/>
  <c r="D6" i="5" s="1"/>
  <c r="B8" i="4"/>
  <c r="O6" i="4"/>
  <c r="E6" i="7" l="1"/>
  <c r="E9" i="7" s="1"/>
  <c r="B20" i="2"/>
  <c r="B92" i="1"/>
  <c r="B25" i="4"/>
  <c r="B26" i="4" s="1"/>
  <c r="C26" i="4" s="1"/>
  <c r="D26" i="4" s="1"/>
  <c r="E26" i="4" s="1"/>
  <c r="F26" i="4" s="1"/>
  <c r="G26" i="4" s="1"/>
  <c r="H26" i="4" s="1"/>
  <c r="I26" i="4" s="1"/>
  <c r="J26" i="4" s="1"/>
  <c r="K26" i="4" s="1"/>
  <c r="L26" i="4" s="1"/>
  <c r="B23" i="7"/>
  <c r="B9" i="7"/>
  <c r="F6" i="7" l="1"/>
  <c r="F9" i="7" s="1"/>
  <c r="D9" i="5"/>
  <c r="E6" i="5" s="1"/>
  <c r="B54" i="1"/>
  <c r="B20" i="4"/>
  <c r="B11" i="4"/>
  <c r="G6" i="7" l="1"/>
  <c r="G9" i="7" s="1"/>
  <c r="D54" i="1"/>
  <c r="D11" i="5"/>
  <c r="D5" i="2"/>
  <c r="D7" i="1" s="1"/>
  <c r="E5" i="2"/>
  <c r="E7" i="1" s="1"/>
  <c r="F5" i="2"/>
  <c r="F7" i="1" s="1"/>
  <c r="G5" i="2"/>
  <c r="G7" i="1" s="1"/>
  <c r="H5" i="2"/>
  <c r="H7" i="1" s="1"/>
  <c r="I5" i="2"/>
  <c r="I7" i="1" s="1"/>
  <c r="J5" i="2"/>
  <c r="J7" i="1" s="1"/>
  <c r="K5" i="2"/>
  <c r="K7" i="1" s="1"/>
  <c r="L5" i="2"/>
  <c r="L7" i="1" s="1"/>
  <c r="D6" i="2"/>
  <c r="E6" i="2"/>
  <c r="F6" i="2"/>
  <c r="G6" i="2"/>
  <c r="H6" i="2"/>
  <c r="I6" i="2"/>
  <c r="J6" i="2"/>
  <c r="K6" i="2"/>
  <c r="L6" i="2"/>
  <c r="D7" i="2"/>
  <c r="E7" i="2"/>
  <c r="F7" i="2"/>
  <c r="G7" i="2"/>
  <c r="H7" i="2"/>
  <c r="I7" i="2"/>
  <c r="J7" i="2"/>
  <c r="K7" i="2"/>
  <c r="L7" i="2"/>
  <c r="D8" i="2"/>
  <c r="E8" i="2"/>
  <c r="F8" i="2"/>
  <c r="G8" i="2"/>
  <c r="H8" i="2"/>
  <c r="I8" i="2"/>
  <c r="J8" i="2"/>
  <c r="K8" i="2"/>
  <c r="L8" i="2"/>
  <c r="D9" i="2"/>
  <c r="E9" i="2"/>
  <c r="F9" i="2"/>
  <c r="G9" i="2"/>
  <c r="H9" i="2"/>
  <c r="I9" i="2"/>
  <c r="J9" i="2"/>
  <c r="K9" i="2"/>
  <c r="L9" i="2"/>
  <c r="D10" i="2"/>
  <c r="E10" i="2"/>
  <c r="F10" i="2"/>
  <c r="G10" i="2"/>
  <c r="H10" i="2"/>
  <c r="I10" i="2"/>
  <c r="J10" i="2"/>
  <c r="K10" i="2"/>
  <c r="L10" i="2"/>
  <c r="C6" i="2"/>
  <c r="C7" i="2"/>
  <c r="C8" i="2"/>
  <c r="C9" i="2"/>
  <c r="C10" i="2"/>
  <c r="C5" i="2"/>
  <c r="C7" i="1" s="1"/>
  <c r="C6" i="1" s="1"/>
  <c r="D15" i="2"/>
  <c r="E15" i="2" s="1"/>
  <c r="F15" i="2" s="1"/>
  <c r="G15" i="2" s="1"/>
  <c r="H15" i="2" s="1"/>
  <c r="I15" i="2" s="1"/>
  <c r="J15" i="2" s="1"/>
  <c r="K15" i="2" s="1"/>
  <c r="L15" i="2" s="1"/>
  <c r="B9" i="5"/>
  <c r="B69" i="1"/>
  <c r="C69" i="1" s="1"/>
  <c r="D69" i="1" s="1"/>
  <c r="E69" i="1" s="1"/>
  <c r="F69" i="1" s="1"/>
  <c r="G69" i="1" s="1"/>
  <c r="H69" i="1" s="1"/>
  <c r="I69" i="1" s="1"/>
  <c r="J69" i="1" s="1"/>
  <c r="K69" i="1" s="1"/>
  <c r="L69" i="1" s="1"/>
  <c r="B68" i="1"/>
  <c r="C68" i="1" s="1"/>
  <c r="D68" i="1" s="1"/>
  <c r="E68" i="1" s="1"/>
  <c r="F68" i="1" s="1"/>
  <c r="G68" i="1" s="1"/>
  <c r="H68" i="1" s="1"/>
  <c r="I68" i="1" s="1"/>
  <c r="J68" i="1" s="1"/>
  <c r="K68" i="1" s="1"/>
  <c r="L68" i="1" s="1"/>
  <c r="B67" i="1"/>
  <c r="C67" i="1" s="1"/>
  <c r="D67" i="1" s="1"/>
  <c r="E67" i="1" s="1"/>
  <c r="F67" i="1" s="1"/>
  <c r="G67" i="1" s="1"/>
  <c r="H67" i="1" s="1"/>
  <c r="I67" i="1" s="1"/>
  <c r="J67" i="1" s="1"/>
  <c r="K67" i="1" s="1"/>
  <c r="L67" i="1" s="1"/>
  <c r="B65" i="1"/>
  <c r="C65" i="1" s="1"/>
  <c r="D65" i="1" s="1"/>
  <c r="E65" i="1" s="1"/>
  <c r="F65" i="1" s="1"/>
  <c r="G65" i="1" s="1"/>
  <c r="H65" i="1" s="1"/>
  <c r="I65" i="1" s="1"/>
  <c r="J65" i="1" s="1"/>
  <c r="K65" i="1" s="1"/>
  <c r="L65" i="1" s="1"/>
  <c r="B66" i="1"/>
  <c r="C66" i="1" s="1"/>
  <c r="D66" i="1" s="1"/>
  <c r="E66" i="1" s="1"/>
  <c r="F66" i="1" s="1"/>
  <c r="G66" i="1" s="1"/>
  <c r="H66" i="1" s="1"/>
  <c r="I66" i="1" s="1"/>
  <c r="J66" i="1" s="1"/>
  <c r="K66" i="1" s="1"/>
  <c r="L66" i="1" s="1"/>
  <c r="B58" i="1"/>
  <c r="B51" i="1"/>
  <c r="B38" i="1"/>
  <c r="B41" i="1"/>
  <c r="B36" i="2"/>
  <c r="B34" i="2"/>
  <c r="B25" i="2"/>
  <c r="B32" i="2"/>
  <c r="B9" i="1"/>
  <c r="B27" i="1" s="1"/>
  <c r="C91" i="1" l="1"/>
  <c r="C93" i="1" s="1"/>
  <c r="C50" i="1"/>
  <c r="C86" i="1" s="1"/>
  <c r="C35" i="1"/>
  <c r="C8" i="1"/>
  <c r="C9" i="1" s="1"/>
  <c r="C27" i="1" s="1"/>
  <c r="C48" i="1"/>
  <c r="C84" i="1" s="1"/>
  <c r="C37" i="1"/>
  <c r="C11" i="1"/>
  <c r="C10" i="1"/>
  <c r="H6" i="7"/>
  <c r="H9" i="7" s="1"/>
  <c r="C24" i="4"/>
  <c r="C25" i="4" s="1"/>
  <c r="D6" i="1"/>
  <c r="B45" i="1"/>
  <c r="B17" i="4"/>
  <c r="E9" i="5"/>
  <c r="F6" i="5" s="1"/>
  <c r="B12" i="1"/>
  <c r="B46" i="1"/>
  <c r="B55" i="1"/>
  <c r="B59" i="1" s="1"/>
  <c r="B28" i="2"/>
  <c r="B24" i="2"/>
  <c r="B33" i="2"/>
  <c r="B26" i="2"/>
  <c r="C80" i="1" l="1"/>
  <c r="C7" i="4"/>
  <c r="C16" i="4"/>
  <c r="C82" i="1"/>
  <c r="D50" i="1"/>
  <c r="D86" i="1" s="1"/>
  <c r="D8" i="1"/>
  <c r="D91" i="1"/>
  <c r="D93" i="1" s="1"/>
  <c r="D35" i="1"/>
  <c r="D48" i="1"/>
  <c r="D84" i="1" s="1"/>
  <c r="D11" i="1"/>
  <c r="D37" i="1"/>
  <c r="D82" i="1" s="1"/>
  <c r="D10" i="1"/>
  <c r="C36" i="1"/>
  <c r="C47" i="1"/>
  <c r="C83" i="1" s="1"/>
  <c r="C12" i="1"/>
  <c r="I6" i="7"/>
  <c r="I9" i="7" s="1"/>
  <c r="B29" i="1"/>
  <c r="B23" i="1"/>
  <c r="B28" i="1" s="1"/>
  <c r="E6" i="1"/>
  <c r="D24" i="4"/>
  <c r="D25" i="4" s="1"/>
  <c r="E54" i="1"/>
  <c r="E11" i="5"/>
  <c r="B15" i="1"/>
  <c r="B60" i="1"/>
  <c r="C54" i="1"/>
  <c r="C19" i="4" l="1"/>
  <c r="C17" i="4"/>
  <c r="D7" i="4"/>
  <c r="D16" i="4"/>
  <c r="D9" i="1"/>
  <c r="D36" i="1"/>
  <c r="D47" i="1"/>
  <c r="C81" i="1"/>
  <c r="C10" i="4"/>
  <c r="C8" i="4"/>
  <c r="E91" i="1"/>
  <c r="E93" i="1" s="1"/>
  <c r="E35" i="1"/>
  <c r="E80" i="1" s="1"/>
  <c r="E48" i="1"/>
  <c r="E84" i="1" s="1"/>
  <c r="E11" i="1"/>
  <c r="E37" i="1"/>
  <c r="E82" i="1" s="1"/>
  <c r="E10" i="1"/>
  <c r="E50" i="1"/>
  <c r="E86" i="1" s="1"/>
  <c r="E8" i="1"/>
  <c r="E9" i="1" s="1"/>
  <c r="C15" i="1"/>
  <c r="C29" i="1"/>
  <c r="D80" i="1"/>
  <c r="J6" i="7"/>
  <c r="J9" i="7" s="1"/>
  <c r="F6" i="1"/>
  <c r="E24" i="4"/>
  <c r="E25" i="4" s="1"/>
  <c r="F9" i="5"/>
  <c r="B19" i="2"/>
  <c r="B27" i="2" s="1"/>
  <c r="B17" i="1"/>
  <c r="F48" i="1" l="1"/>
  <c r="F84" i="1" s="1"/>
  <c r="F11" i="1"/>
  <c r="F37" i="1"/>
  <c r="F82" i="1" s="1"/>
  <c r="F10" i="1"/>
  <c r="F50" i="1"/>
  <c r="F86" i="1" s="1"/>
  <c r="F8" i="1"/>
  <c r="F91" i="1"/>
  <c r="F93" i="1" s="1"/>
  <c r="F35" i="1"/>
  <c r="F80" i="1" s="1"/>
  <c r="E12" i="1"/>
  <c r="E27" i="1"/>
  <c r="C16" i="1"/>
  <c r="C49" i="1" s="1"/>
  <c r="C85" i="1" s="1"/>
  <c r="C87" i="1" s="1"/>
  <c r="D6" i="4"/>
  <c r="C39" i="1"/>
  <c r="D83" i="1"/>
  <c r="C22" i="1"/>
  <c r="C11" i="4"/>
  <c r="C40" i="1" s="1"/>
  <c r="D15" i="4"/>
  <c r="C21" i="4"/>
  <c r="E16" i="4"/>
  <c r="E7" i="4"/>
  <c r="E47" i="1"/>
  <c r="E83" i="1" s="1"/>
  <c r="E36" i="1"/>
  <c r="D81" i="1"/>
  <c r="D12" i="1"/>
  <c r="D27" i="1"/>
  <c r="K6" i="7"/>
  <c r="K9" i="7" s="1"/>
  <c r="F11" i="5"/>
  <c r="G6" i="5"/>
  <c r="G6" i="1"/>
  <c r="F24" i="4"/>
  <c r="F25" i="4" s="1"/>
  <c r="B35" i="2"/>
  <c r="F54" i="1"/>
  <c r="B30" i="1"/>
  <c r="B19" i="1"/>
  <c r="C17" i="1" l="1"/>
  <c r="C19" i="1" s="1"/>
  <c r="C76" i="1"/>
  <c r="C30" i="1"/>
  <c r="C77" i="1"/>
  <c r="C23" i="1"/>
  <c r="C28" i="1" s="1"/>
  <c r="C12" i="4"/>
  <c r="C41" i="1" s="1"/>
  <c r="G37" i="1"/>
  <c r="G82" i="1" s="1"/>
  <c r="G10" i="1"/>
  <c r="G50" i="1"/>
  <c r="G86" i="1" s="1"/>
  <c r="G8" i="1"/>
  <c r="G9" i="1" s="1"/>
  <c r="G91" i="1"/>
  <c r="G93" i="1" s="1"/>
  <c r="G35" i="1"/>
  <c r="G48" i="1"/>
  <c r="G84" i="1" s="1"/>
  <c r="G11" i="1"/>
  <c r="F9" i="1"/>
  <c r="F47" i="1"/>
  <c r="F83" i="1" s="1"/>
  <c r="F36" i="1"/>
  <c r="F81" i="1" s="1"/>
  <c r="F16" i="4"/>
  <c r="F7" i="4"/>
  <c r="D15" i="1"/>
  <c r="D16" i="1" s="1"/>
  <c r="D29" i="1"/>
  <c r="D17" i="4"/>
  <c r="D19" i="4"/>
  <c r="E81" i="1"/>
  <c r="D8" i="4"/>
  <c r="D10" i="4"/>
  <c r="E15" i="1"/>
  <c r="E29" i="1"/>
  <c r="L6" i="7"/>
  <c r="L9" i="7" s="1"/>
  <c r="H6" i="1"/>
  <c r="G24" i="4"/>
  <c r="G25" i="4" s="1"/>
  <c r="G9" i="5"/>
  <c r="H6" i="5" s="1"/>
  <c r="C51" i="1"/>
  <c r="C55" i="1" s="1"/>
  <c r="C45" i="1"/>
  <c r="C100" i="1" l="1"/>
  <c r="C57" i="1" s="1"/>
  <c r="G12" i="1"/>
  <c r="G29" i="1" s="1"/>
  <c r="G27" i="1"/>
  <c r="E15" i="4"/>
  <c r="D21" i="4"/>
  <c r="H50" i="1"/>
  <c r="H86" i="1" s="1"/>
  <c r="H8" i="1"/>
  <c r="H91" i="1"/>
  <c r="H93" i="1" s="1"/>
  <c r="H35" i="1"/>
  <c r="H48" i="1"/>
  <c r="H84" i="1" s="1"/>
  <c r="H11" i="1"/>
  <c r="H37" i="1"/>
  <c r="H82" i="1" s="1"/>
  <c r="H10" i="1"/>
  <c r="E6" i="4"/>
  <c r="D39" i="1"/>
  <c r="F12" i="1"/>
  <c r="F27" i="1"/>
  <c r="G16" i="4"/>
  <c r="G7" i="4"/>
  <c r="E16" i="1"/>
  <c r="E49" i="1" s="1"/>
  <c r="E51" i="1" s="1"/>
  <c r="E55" i="1" s="1"/>
  <c r="D17" i="1"/>
  <c r="D49" i="1"/>
  <c r="D11" i="4"/>
  <c r="D12" i="4" s="1"/>
  <c r="D41" i="1" s="1"/>
  <c r="D45" i="1" s="1"/>
  <c r="D22" i="1"/>
  <c r="G47" i="1"/>
  <c r="G83" i="1" s="1"/>
  <c r="G36" i="1"/>
  <c r="G81" i="1" s="1"/>
  <c r="G80" i="1"/>
  <c r="I6" i="1"/>
  <c r="H24" i="4"/>
  <c r="H25" i="4" s="1"/>
  <c r="G54" i="1"/>
  <c r="G11" i="5"/>
  <c r="G15" i="1" l="1"/>
  <c r="G16" i="1" s="1"/>
  <c r="E17" i="1"/>
  <c r="E30" i="1" s="1"/>
  <c r="D85" i="1"/>
  <c r="D87" i="1" s="1"/>
  <c r="D51" i="1"/>
  <c r="D55" i="1" s="1"/>
  <c r="F15" i="1"/>
  <c r="F16" i="1" s="1"/>
  <c r="F29" i="1"/>
  <c r="G49" i="1"/>
  <c r="H7" i="4"/>
  <c r="H16" i="4"/>
  <c r="D77" i="1"/>
  <c r="D23" i="1"/>
  <c r="D28" i="1" s="1"/>
  <c r="D19" i="1"/>
  <c r="D100" i="1"/>
  <c r="D76" i="1"/>
  <c r="D79" i="1" s="1"/>
  <c r="D30" i="1"/>
  <c r="D40" i="1"/>
  <c r="H80" i="1"/>
  <c r="H9" i="1"/>
  <c r="H36" i="1"/>
  <c r="H81" i="1" s="1"/>
  <c r="H47" i="1"/>
  <c r="H83" i="1" s="1"/>
  <c r="I91" i="1"/>
  <c r="I93" i="1" s="1"/>
  <c r="I35" i="1"/>
  <c r="I48" i="1"/>
  <c r="I84" i="1" s="1"/>
  <c r="I11" i="1"/>
  <c r="I37" i="1"/>
  <c r="I10" i="1"/>
  <c r="I50" i="1"/>
  <c r="I86" i="1" s="1"/>
  <c r="I8" i="1"/>
  <c r="I9" i="1" s="1"/>
  <c r="I27" i="1" s="1"/>
  <c r="E85" i="1"/>
  <c r="E87" i="1" s="1"/>
  <c r="E10" i="4"/>
  <c r="E22" i="1" s="1"/>
  <c r="E8" i="4"/>
  <c r="E19" i="4"/>
  <c r="E17" i="4"/>
  <c r="J6" i="1"/>
  <c r="I24" i="4"/>
  <c r="I25" i="4" s="1"/>
  <c r="H9" i="5"/>
  <c r="I6" i="5" s="1"/>
  <c r="C58" i="1"/>
  <c r="C59" i="1" s="1"/>
  <c r="E100" i="1" l="1"/>
  <c r="E101" i="1" s="1"/>
  <c r="D88" i="1"/>
  <c r="E19" i="1"/>
  <c r="E76" i="1"/>
  <c r="G17" i="1"/>
  <c r="G19" i="1" s="1"/>
  <c r="J48" i="1"/>
  <c r="J84" i="1" s="1"/>
  <c r="J11" i="1"/>
  <c r="J37" i="1"/>
  <c r="J82" i="1" s="1"/>
  <c r="J10" i="1"/>
  <c r="J50" i="1"/>
  <c r="J86" i="1" s="1"/>
  <c r="J8" i="1"/>
  <c r="J91" i="1"/>
  <c r="J93" i="1" s="1"/>
  <c r="J35" i="1"/>
  <c r="J80" i="1" s="1"/>
  <c r="H12" i="1"/>
  <c r="H27" i="1"/>
  <c r="D101" i="1"/>
  <c r="D103" i="1" s="1"/>
  <c r="D57" i="1"/>
  <c r="I80" i="1"/>
  <c r="F15" i="4"/>
  <c r="E21" i="4"/>
  <c r="I47" i="1"/>
  <c r="I83" i="1" s="1"/>
  <c r="I36" i="1"/>
  <c r="I81" i="1" s="1"/>
  <c r="I12" i="1"/>
  <c r="I82" i="1"/>
  <c r="I7" i="4"/>
  <c r="I16" i="4"/>
  <c r="F6" i="4"/>
  <c r="E39" i="1"/>
  <c r="E11" i="4"/>
  <c r="E77" i="1"/>
  <c r="E23" i="1"/>
  <c r="E28" i="1" s="1"/>
  <c r="G100" i="1"/>
  <c r="G101" i="1" s="1"/>
  <c r="F17" i="1"/>
  <c r="F49" i="1"/>
  <c r="K6" i="1"/>
  <c r="J24" i="4"/>
  <c r="J25" i="4" s="1"/>
  <c r="H54" i="1"/>
  <c r="G51" i="1"/>
  <c r="G55" i="1" s="1"/>
  <c r="H11" i="5"/>
  <c r="G76" i="1" l="1"/>
  <c r="E79" i="1"/>
  <c r="E88" i="1" s="1"/>
  <c r="E103" i="1" s="1"/>
  <c r="G30" i="1"/>
  <c r="F85" i="1"/>
  <c r="F87" i="1" s="1"/>
  <c r="F51" i="1"/>
  <c r="F55" i="1" s="1"/>
  <c r="E40" i="1"/>
  <c r="K37" i="1"/>
  <c r="K82" i="1" s="1"/>
  <c r="K10" i="1"/>
  <c r="K50" i="1"/>
  <c r="K86" i="1" s="1"/>
  <c r="K8" i="1"/>
  <c r="K9" i="1" s="1"/>
  <c r="K27" i="1" s="1"/>
  <c r="K91" i="1"/>
  <c r="K93" i="1" s="1"/>
  <c r="K35" i="1"/>
  <c r="K80" i="1" s="1"/>
  <c r="K48" i="1"/>
  <c r="K84" i="1" s="1"/>
  <c r="K11" i="1"/>
  <c r="E12" i="4"/>
  <c r="E41" i="1" s="1"/>
  <c r="E45" i="1" s="1"/>
  <c r="E57" i="1"/>
  <c r="D58" i="1"/>
  <c r="D59" i="1" s="1"/>
  <c r="H15" i="1"/>
  <c r="H16" i="1" s="1"/>
  <c r="H29" i="1"/>
  <c r="J9" i="1"/>
  <c r="J47" i="1"/>
  <c r="J83" i="1" s="1"/>
  <c r="J36" i="1"/>
  <c r="J16" i="4"/>
  <c r="J7" i="4"/>
  <c r="F19" i="1"/>
  <c r="F76" i="1"/>
  <c r="F100" i="1"/>
  <c r="F101" i="1" s="1"/>
  <c r="F30" i="1"/>
  <c r="G85" i="1"/>
  <c r="G87" i="1" s="1"/>
  <c r="F8" i="4"/>
  <c r="F10" i="4"/>
  <c r="F22" i="1" s="1"/>
  <c r="I15" i="1"/>
  <c r="I29" i="1"/>
  <c r="F19" i="4"/>
  <c r="F17" i="4"/>
  <c r="L6" i="1"/>
  <c r="K24" i="4"/>
  <c r="K25" i="4" s="1"/>
  <c r="I9" i="5"/>
  <c r="J6" i="5" s="1"/>
  <c r="F77" i="1" l="1"/>
  <c r="F79" i="1" s="1"/>
  <c r="F88" i="1" s="1"/>
  <c r="F103" i="1" s="1"/>
  <c r="F23" i="1"/>
  <c r="F28" i="1" s="1"/>
  <c r="G6" i="4"/>
  <c r="F39" i="1"/>
  <c r="F57" i="1"/>
  <c r="E58" i="1"/>
  <c r="E59" i="1" s="1"/>
  <c r="K12" i="1"/>
  <c r="J81" i="1"/>
  <c r="I16" i="1"/>
  <c r="I49" i="1" s="1"/>
  <c r="H17" i="1"/>
  <c r="H49" i="1"/>
  <c r="H85" i="1" s="1"/>
  <c r="H87" i="1" s="1"/>
  <c r="F11" i="4"/>
  <c r="L50" i="1"/>
  <c r="L86" i="1" s="1"/>
  <c r="L8" i="1"/>
  <c r="L91" i="1"/>
  <c r="L93" i="1" s="1"/>
  <c r="L35" i="1"/>
  <c r="L80" i="1" s="1"/>
  <c r="L48" i="1"/>
  <c r="L84" i="1" s="1"/>
  <c r="L11" i="1"/>
  <c r="L37" i="1"/>
  <c r="L82" i="1" s="1"/>
  <c r="L10" i="1"/>
  <c r="K16" i="4"/>
  <c r="K7" i="4"/>
  <c r="G15" i="4"/>
  <c r="F21" i="4"/>
  <c r="J12" i="1"/>
  <c r="J27" i="1"/>
  <c r="K47" i="1"/>
  <c r="K83" i="1" s="1"/>
  <c r="K36" i="1"/>
  <c r="K81" i="1" s="1"/>
  <c r="L24" i="4"/>
  <c r="L25" i="4" s="1"/>
  <c r="I54" i="1"/>
  <c r="I11" i="5"/>
  <c r="C79" i="1"/>
  <c r="H51" i="1" l="1"/>
  <c r="H55" i="1" s="1"/>
  <c r="I17" i="1"/>
  <c r="I100" i="1" s="1"/>
  <c r="G57" i="1"/>
  <c r="F58" i="1"/>
  <c r="F59" i="1" s="1"/>
  <c r="G19" i="4"/>
  <c r="G17" i="4"/>
  <c r="L9" i="1"/>
  <c r="L36" i="1"/>
  <c r="L81" i="1" s="1"/>
  <c r="L47" i="1"/>
  <c r="L83" i="1" s="1"/>
  <c r="H19" i="1"/>
  <c r="H100" i="1"/>
  <c r="H101" i="1" s="1"/>
  <c r="H76" i="1"/>
  <c r="K15" i="1"/>
  <c r="K16" i="1" s="1"/>
  <c r="K29" i="1"/>
  <c r="G8" i="4"/>
  <c r="G10" i="4"/>
  <c r="G22" i="1" s="1"/>
  <c r="J15" i="1"/>
  <c r="J16" i="1" s="1"/>
  <c r="J29" i="1"/>
  <c r="I19" i="1"/>
  <c r="I76" i="1"/>
  <c r="L16" i="4"/>
  <c r="L7" i="4"/>
  <c r="F40" i="1"/>
  <c r="I85" i="1"/>
  <c r="F12" i="4"/>
  <c r="F41" i="1" s="1"/>
  <c r="F45" i="1" s="1"/>
  <c r="H30" i="1"/>
  <c r="J9" i="5"/>
  <c r="C88" i="1"/>
  <c r="G11" i="4" l="1"/>
  <c r="J17" i="1"/>
  <c r="J49" i="1"/>
  <c r="J85" i="1" s="1"/>
  <c r="K17" i="1"/>
  <c r="K49" i="1"/>
  <c r="H15" i="4"/>
  <c r="G21" i="4"/>
  <c r="G77" i="1"/>
  <c r="G79" i="1" s="1"/>
  <c r="G88" i="1" s="1"/>
  <c r="G103" i="1" s="1"/>
  <c r="G23" i="1"/>
  <c r="G28" i="1" s="1"/>
  <c r="G40" i="1"/>
  <c r="H6" i="4"/>
  <c r="G39" i="1"/>
  <c r="G12" i="4"/>
  <c r="G41" i="1" s="1"/>
  <c r="G45" i="1" s="1"/>
  <c r="L12" i="1"/>
  <c r="L27" i="1"/>
  <c r="H57" i="1"/>
  <c r="I57" i="1" s="1"/>
  <c r="G58" i="1"/>
  <c r="G59" i="1" s="1"/>
  <c r="J11" i="5"/>
  <c r="K6" i="5"/>
  <c r="I30" i="1"/>
  <c r="I101" i="1"/>
  <c r="I87" i="1"/>
  <c r="I51" i="1"/>
  <c r="I55" i="1" s="1"/>
  <c r="J54" i="1"/>
  <c r="K85" i="1" l="1"/>
  <c r="L15" i="1"/>
  <c r="L16" i="1" s="1"/>
  <c r="L29" i="1"/>
  <c r="H8" i="4"/>
  <c r="H10" i="4"/>
  <c r="K19" i="1"/>
  <c r="K76" i="1"/>
  <c r="K100" i="1"/>
  <c r="H17" i="4"/>
  <c r="H19" i="4"/>
  <c r="J19" i="1"/>
  <c r="J76" i="1"/>
  <c r="J100" i="1"/>
  <c r="J57" i="1" s="1"/>
  <c r="H58" i="1"/>
  <c r="H59" i="1" s="1"/>
  <c r="K9" i="5"/>
  <c r="L6" i="5" s="1"/>
  <c r="J30" i="1"/>
  <c r="J87" i="1"/>
  <c r="J51" i="1"/>
  <c r="J55" i="1" s="1"/>
  <c r="K57" i="1" l="1"/>
  <c r="I15" i="4"/>
  <c r="H21" i="4"/>
  <c r="H22" i="1"/>
  <c r="H11" i="4"/>
  <c r="H12" i="4" s="1"/>
  <c r="H41" i="1" s="1"/>
  <c r="H45" i="1" s="1"/>
  <c r="L17" i="1"/>
  <c r="L49" i="1"/>
  <c r="L85" i="1" s="1"/>
  <c r="I6" i="4"/>
  <c r="H39" i="1"/>
  <c r="J101" i="1"/>
  <c r="I58" i="1"/>
  <c r="I59" i="1" s="1"/>
  <c r="K54" i="1"/>
  <c r="K11" i="5"/>
  <c r="H77" i="1" l="1"/>
  <c r="H79" i="1" s="1"/>
  <c r="H88" i="1" s="1"/>
  <c r="H103" i="1" s="1"/>
  <c r="H23" i="1"/>
  <c r="H28" i="1" s="1"/>
  <c r="L19" i="1"/>
  <c r="L100" i="1"/>
  <c r="L57" i="1" s="1"/>
  <c r="L76" i="1"/>
  <c r="I19" i="4"/>
  <c r="I17" i="4"/>
  <c r="I8" i="4"/>
  <c r="I10" i="4"/>
  <c r="I22" i="1" s="1"/>
  <c r="H40" i="1"/>
  <c r="J58" i="1"/>
  <c r="J59" i="1" s="1"/>
  <c r="L9" i="5"/>
  <c r="L54" i="1" s="1"/>
  <c r="C101" i="1"/>
  <c r="I11" i="4" l="1"/>
  <c r="I12" i="4" s="1"/>
  <c r="I41" i="1" s="1"/>
  <c r="I45" i="1" s="1"/>
  <c r="J6" i="4"/>
  <c r="I39" i="1"/>
  <c r="I40" i="1"/>
  <c r="J15" i="4"/>
  <c r="I21" i="4"/>
  <c r="I77" i="1"/>
  <c r="I79" i="1" s="1"/>
  <c r="I88" i="1" s="1"/>
  <c r="I103" i="1" s="1"/>
  <c r="I23" i="1"/>
  <c r="I28" i="1" s="1"/>
  <c r="K30" i="1"/>
  <c r="K87" i="1"/>
  <c r="K51" i="1"/>
  <c r="K55" i="1" s="1"/>
  <c r="L11" i="5"/>
  <c r="C103" i="1"/>
  <c r="C34" i="1" s="1"/>
  <c r="D34" i="1" s="1"/>
  <c r="E34" i="1" s="1"/>
  <c r="F34" i="1" s="1"/>
  <c r="G34" i="1" s="1"/>
  <c r="H34" i="1" s="1"/>
  <c r="I34" i="1" l="1"/>
  <c r="J19" i="4"/>
  <c r="J17" i="4"/>
  <c r="J8" i="4"/>
  <c r="J10" i="4"/>
  <c r="C38" i="1"/>
  <c r="C46" i="1" s="1"/>
  <c r="C60" i="1" s="1"/>
  <c r="D38" i="1"/>
  <c r="D46" i="1" s="1"/>
  <c r="D60" i="1" s="1"/>
  <c r="K101" i="1"/>
  <c r="J22" i="1" l="1"/>
  <c r="J11" i="4"/>
  <c r="K6" i="4"/>
  <c r="J39" i="1"/>
  <c r="K15" i="4"/>
  <c r="J21" i="4"/>
  <c r="E38" i="1"/>
  <c r="E46" i="1" s="1"/>
  <c r="E60" i="1" s="1"/>
  <c r="K58" i="1"/>
  <c r="K59" i="1" s="1"/>
  <c r="L51" i="1"/>
  <c r="L55" i="1" s="1"/>
  <c r="L87" i="1"/>
  <c r="K8" i="4" l="1"/>
  <c r="K10" i="4"/>
  <c r="K22" i="1" s="1"/>
  <c r="J40" i="1"/>
  <c r="K19" i="4"/>
  <c r="K17" i="4"/>
  <c r="J12" i="4"/>
  <c r="J41" i="1" s="1"/>
  <c r="J45" i="1" s="1"/>
  <c r="J77" i="1"/>
  <c r="J79" i="1" s="1"/>
  <c r="J88" i="1" s="1"/>
  <c r="J103" i="1" s="1"/>
  <c r="J34" i="1" s="1"/>
  <c r="J23" i="1"/>
  <c r="J28" i="1" s="1"/>
  <c r="F38" i="1"/>
  <c r="F46" i="1" s="1"/>
  <c r="F60" i="1" s="1"/>
  <c r="L30" i="1"/>
  <c r="K11" i="4" l="1"/>
  <c r="K40" i="1" s="1"/>
  <c r="K77" i="1"/>
  <c r="K79" i="1" s="1"/>
  <c r="K88" i="1" s="1"/>
  <c r="K103" i="1" s="1"/>
  <c r="K34" i="1" s="1"/>
  <c r="K23" i="1"/>
  <c r="K28" i="1" s="1"/>
  <c r="L15" i="4"/>
  <c r="K21" i="4"/>
  <c r="L6" i="4"/>
  <c r="K39" i="1"/>
  <c r="G38" i="1"/>
  <c r="G46" i="1" s="1"/>
  <c r="G60" i="1" s="1"/>
  <c r="L101" i="1"/>
  <c r="L58" i="1"/>
  <c r="L59" i="1" s="1"/>
  <c r="K12" i="4" l="1"/>
  <c r="K41" i="1" s="1"/>
  <c r="K45" i="1" s="1"/>
  <c r="L8" i="4"/>
  <c r="L39" i="1" s="1"/>
  <c r="L10" i="4"/>
  <c r="L19" i="4"/>
  <c r="L17" i="4"/>
  <c r="H38" i="1"/>
  <c r="H46" i="1" s="1"/>
  <c r="H60" i="1" s="1"/>
  <c r="L21" i="4" l="1"/>
  <c r="L22" i="1"/>
  <c r="L11" i="4"/>
  <c r="I38" i="1"/>
  <c r="I46" i="1" s="1"/>
  <c r="I60" i="1" s="1"/>
  <c r="L77" i="1" l="1"/>
  <c r="L79" i="1" s="1"/>
  <c r="L88" i="1" s="1"/>
  <c r="L103" i="1" s="1"/>
  <c r="L34" i="1" s="1"/>
  <c r="L23" i="1"/>
  <c r="L28" i="1" s="1"/>
  <c r="L12" i="4"/>
  <c r="L41" i="1" s="1"/>
  <c r="L45" i="1" s="1"/>
  <c r="L40" i="1"/>
  <c r="J38" i="1"/>
  <c r="J46" i="1" s="1"/>
  <c r="J60" i="1" s="1"/>
  <c r="K38" i="1" l="1"/>
  <c r="K46" i="1" s="1"/>
  <c r="K60" i="1" s="1"/>
  <c r="L38" i="1"/>
  <c r="L46" i="1" s="1"/>
  <c r="L60" i="1" l="1"/>
</calcChain>
</file>

<file path=xl/sharedStrings.xml><?xml version="1.0" encoding="utf-8"?>
<sst xmlns="http://schemas.openxmlformats.org/spreadsheetml/2006/main" count="265" uniqueCount="154">
  <si>
    <t>Income Statement</t>
  </si>
  <si>
    <t>2025E</t>
  </si>
  <si>
    <t>2026E</t>
  </si>
  <si>
    <t>2027E</t>
  </si>
  <si>
    <t>2028E</t>
  </si>
  <si>
    <t>2029E</t>
  </si>
  <si>
    <t>2030E</t>
  </si>
  <si>
    <t>2031E</t>
  </si>
  <si>
    <t>($ in million)</t>
  </si>
  <si>
    <t>Revenue</t>
  </si>
  <si>
    <t>Cost of Sales (COGS)</t>
  </si>
  <si>
    <t>Gross Profit</t>
  </si>
  <si>
    <t>SG&amp;A Expenses</t>
  </si>
  <si>
    <t>R&amp;D Expenses</t>
  </si>
  <si>
    <t>Operating Income (EBIT)</t>
  </si>
  <si>
    <t>Interest Expense</t>
  </si>
  <si>
    <t>Other Income</t>
  </si>
  <si>
    <t>Profit Before Tax (PBT)</t>
  </si>
  <si>
    <t>Current Taxes</t>
  </si>
  <si>
    <t>Net Income</t>
  </si>
  <si>
    <t>EPS (Earning per Share)</t>
  </si>
  <si>
    <t>% Change</t>
  </si>
  <si>
    <t>Depreciation</t>
  </si>
  <si>
    <t>Amortization</t>
  </si>
  <si>
    <t>EBITDA</t>
  </si>
  <si>
    <t>COGS</t>
  </si>
  <si>
    <t>SG&amp;A</t>
  </si>
  <si>
    <t>R&amp;D</t>
  </si>
  <si>
    <t>EBIT</t>
  </si>
  <si>
    <t>Modeling Steps</t>
  </si>
  <si>
    <t>Setup historical</t>
  </si>
  <si>
    <t>Forecast Income Statement</t>
  </si>
  <si>
    <t>Depreciation Schedule</t>
  </si>
  <si>
    <t xml:space="preserve">Working Capital </t>
  </si>
  <si>
    <t>Forecast Cash Flow Statement</t>
  </si>
  <si>
    <t>Stockholders Equity</t>
  </si>
  <si>
    <t>Debt Schedule</t>
  </si>
  <si>
    <t>Sanity check</t>
  </si>
  <si>
    <t>Effective Tax Rate</t>
  </si>
  <si>
    <t>Capex</t>
  </si>
  <si>
    <t>Balance Sheet</t>
  </si>
  <si>
    <t>Cash &amp; Equivalents</t>
  </si>
  <si>
    <t>Accounts Receivable</t>
  </si>
  <si>
    <t>Inventory</t>
  </si>
  <si>
    <t>Other Current Assets</t>
  </si>
  <si>
    <t>Total Current Assets</t>
  </si>
  <si>
    <t>Gross PP&amp;E</t>
  </si>
  <si>
    <t>Accumulated Depreciation</t>
  </si>
  <si>
    <t>Net PP&amp;E</t>
  </si>
  <si>
    <t>Net intangibles</t>
  </si>
  <si>
    <t>Goodwill</t>
  </si>
  <si>
    <t>Other Assets</t>
  </si>
  <si>
    <t>Total Assets</t>
  </si>
  <si>
    <t>Accounts Payable</t>
  </si>
  <si>
    <t>Accrued Expenses &amp; Liabilities</t>
  </si>
  <si>
    <t>Taxes Payable</t>
  </si>
  <si>
    <t>Other Current Liabilities</t>
  </si>
  <si>
    <t>Total Current Liabilities</t>
  </si>
  <si>
    <t>Long-Term Bank Debt</t>
  </si>
  <si>
    <t>Total Liabilities</t>
  </si>
  <si>
    <t>Other Long-Term Liabilities</t>
  </si>
  <si>
    <t>Step</t>
  </si>
  <si>
    <t>Paid-in Capital</t>
  </si>
  <si>
    <t>Retained Earnings</t>
  </si>
  <si>
    <t>Stockholder's Equity</t>
  </si>
  <si>
    <t>Total Liabilities and Stockholder's Equity</t>
  </si>
  <si>
    <t>Balance Sheet Check</t>
  </si>
  <si>
    <t>Working Capital Assumptions</t>
  </si>
  <si>
    <t>Other Current Assets (% of Total Revenue)</t>
  </si>
  <si>
    <t>Accrued Expenses &amp; Liabilities (% of Total Revenue)</t>
  </si>
  <si>
    <t>Taxes Payable (% of Current Taxes)</t>
  </si>
  <si>
    <t>Other Current Liabilities (% of Total Revenue)</t>
  </si>
  <si>
    <t>Cash Flow Statement</t>
  </si>
  <si>
    <t>Funds from Operating Activites</t>
  </si>
  <si>
    <t>Funds from Operations</t>
  </si>
  <si>
    <t>(Increase) / Decrease in Accounts Receivable</t>
  </si>
  <si>
    <t>(Increase) / Decrease Inventory</t>
  </si>
  <si>
    <t>(Increase) / Decrease Other Current Assets</t>
  </si>
  <si>
    <t>Increase / (Decrease) Accounts Payable</t>
  </si>
  <si>
    <t>Increase / (Decrease) Accrued Expenses and Liabilities</t>
  </si>
  <si>
    <t>Increase / (Decrease) Taxes Payable</t>
  </si>
  <si>
    <t>Increase / (Decrease) Other Current Liabilities</t>
  </si>
  <si>
    <t>Net change in working capital</t>
  </si>
  <si>
    <t>Cash Flow From Operating Activities</t>
  </si>
  <si>
    <t>Funds from Investing Activites</t>
  </si>
  <si>
    <t>Funds from Financing Activites</t>
  </si>
  <si>
    <t>Cash Flow From Financing Activities</t>
  </si>
  <si>
    <t>Change in Cash &amp; Equivalents</t>
  </si>
  <si>
    <t>Average Shares (mn)</t>
  </si>
  <si>
    <t>Ending Balance</t>
  </si>
  <si>
    <t>Long Term Bank Debt</t>
  </si>
  <si>
    <t>Opening Balance</t>
  </si>
  <si>
    <t>Interest rate on Straight Debt</t>
  </si>
  <si>
    <t>Upside Case</t>
  </si>
  <si>
    <t>Downside Case</t>
  </si>
  <si>
    <t>Management Case</t>
  </si>
  <si>
    <t>Case</t>
  </si>
  <si>
    <t>(1=Upside, 2=Downside, 3=Management)</t>
  </si>
  <si>
    <t>2024A</t>
  </si>
  <si>
    <t>2032E</t>
  </si>
  <si>
    <t>2033E</t>
  </si>
  <si>
    <t>2034E</t>
  </si>
  <si>
    <t>Add: Capex</t>
  </si>
  <si>
    <t>Assumptions</t>
  </si>
  <si>
    <t>Useful Life (Years)</t>
  </si>
  <si>
    <t>Opening - Gross PPE</t>
  </si>
  <si>
    <t>Closing - Gross PPE</t>
  </si>
  <si>
    <t>Depreciation % - Straight Line Method (SLM)</t>
  </si>
  <si>
    <t>Net PPE</t>
  </si>
  <si>
    <t>Three differences:</t>
  </si>
  <si>
    <t>1. Depreciation %</t>
  </si>
  <si>
    <t>2. Calcultaion of Net PPE</t>
  </si>
  <si>
    <t>3. Opening Gross PPE linking</t>
  </si>
  <si>
    <t>Total Non-Current Assets</t>
  </si>
  <si>
    <t>Total Non-Current Liabilities</t>
  </si>
  <si>
    <t>Add: Additional Borrowing</t>
  </si>
  <si>
    <t>Sub: Repayment Schedule</t>
  </si>
  <si>
    <t>Interest</t>
  </si>
  <si>
    <t>Add: New shares issued</t>
  </si>
  <si>
    <t>Sub: Shares repurchased</t>
  </si>
  <si>
    <t>New shares schedule</t>
  </si>
  <si>
    <t>No. of shares to be issued (million)</t>
  </si>
  <si>
    <t>Price per share ($)</t>
  </si>
  <si>
    <t>Shares repurchase schedule</t>
  </si>
  <si>
    <t>No. of shares to be repurchased (million)</t>
  </si>
  <si>
    <t>Opening balance</t>
  </si>
  <si>
    <t>Add: Fresh capital</t>
  </si>
  <si>
    <t>Sub: Capital used in repurchase</t>
  </si>
  <si>
    <t>Cash Flow From Investing Activities</t>
  </si>
  <si>
    <t>Sub: Debt Repayments</t>
  </si>
  <si>
    <t>Add: New Debt</t>
  </si>
  <si>
    <t>Sub: Equity Repurchased</t>
  </si>
  <si>
    <t>Add: Equity Issued</t>
  </si>
  <si>
    <t>Revenue growth rate</t>
  </si>
  <si>
    <t>Capex (Property, Plant &amp; Equipment - PPE)</t>
  </si>
  <si>
    <t>Capex as % of revenue</t>
  </si>
  <si>
    <t>Checks:</t>
  </si>
  <si>
    <t>Dividend payout ratio</t>
  </si>
  <si>
    <t>Sub: Dividends paid</t>
  </si>
  <si>
    <t>Forecast Balance Sheet (max possible)</t>
  </si>
  <si>
    <t>Link it all together</t>
  </si>
  <si>
    <r>
      <rPr>
        <b/>
        <sz val="11"/>
        <color theme="4"/>
        <rFont val="Calibri"/>
        <family val="2"/>
        <scheme val="minor"/>
      </rPr>
      <t>Blue - Hard coded</t>
    </r>
    <r>
      <rPr>
        <sz val="11"/>
        <color theme="1"/>
        <rFont val="Calibri"/>
        <family val="2"/>
        <scheme val="minor"/>
      </rPr>
      <t xml:space="preserve">; </t>
    </r>
    <r>
      <rPr>
        <b/>
        <sz val="11"/>
        <color theme="1"/>
        <rFont val="Calibri"/>
        <family val="2"/>
        <scheme val="minor"/>
      </rPr>
      <t>Black - Calculations</t>
    </r>
    <r>
      <rPr>
        <sz val="11"/>
        <color theme="1"/>
        <rFont val="Calibri"/>
        <family val="2"/>
        <scheme val="minor"/>
      </rPr>
      <t xml:space="preserve">; </t>
    </r>
    <r>
      <rPr>
        <b/>
        <sz val="11"/>
        <color rgb="FF00B050"/>
        <rFont val="Calibri"/>
        <family val="2"/>
        <scheme val="minor"/>
      </rPr>
      <t>Green - Linkages</t>
    </r>
  </si>
  <si>
    <t>No. of shares (mn)</t>
  </si>
  <si>
    <t>Opening - Net PPE</t>
  </si>
  <si>
    <t>Block available for Depreciation</t>
  </si>
  <si>
    <t>Capex as % of Revenue</t>
  </si>
  <si>
    <t>Depreciation &amp; Amortization</t>
  </si>
  <si>
    <t>Using SLM - Straight Line Methodology</t>
  </si>
  <si>
    <t>Using WDV (Written Down Value)</t>
  </si>
  <si>
    <t>Depreciation % - Written Down Value (WDV)</t>
  </si>
  <si>
    <t>Days of Sales Outstanding (DSO) (days) / AR</t>
  </si>
  <si>
    <t>Days of Inventory on Hand (DOH) (days) / Inventory</t>
  </si>
  <si>
    <t>Days of Payables Outstanding (DPO) (days) / AP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</si>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</sst>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_);\(#,##0.0\)"/>
    <numFmt numFmtId="165" formatCode="0.0%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2">
    <xf numFmtId="0" fontId="0" fillId="0" borderId="0" xfId="0"/>
    <xf numFmtId="0" fontId="2" fillId="0" borderId="0" xfId="0" applyFont="1"/>
    <xf numFmtId="164" fontId="0" fillId="0" borderId="0" xfId="0" applyNumberFormat="1"/>
    <xf numFmtId="165" fontId="0" fillId="0" borderId="0" xfId="1" applyNumberFormat="1" applyFont="1"/>
    <xf numFmtId="0" fontId="0" fillId="0" borderId="0" xfId="0" applyAlignment="1">
      <alignment horizontal="left" indent="1"/>
    </xf>
    <xf numFmtId="0" fontId="2" fillId="0" borderId="0" xfId="0" applyFont="1" applyAlignment="1">
      <alignment horizontal="left" indent="1"/>
    </xf>
    <xf numFmtId="164" fontId="2" fillId="0" borderId="0" xfId="0" applyNumberFormat="1" applyFont="1"/>
    <xf numFmtId="0" fontId="3" fillId="2" borderId="0" xfId="0" applyFont="1" applyFill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0" borderId="1" xfId="0" applyFont="1" applyBorder="1" applyAlignment="1">
      <alignment horizontal="left" indent="1"/>
    </xf>
    <xf numFmtId="0" fontId="0" fillId="0" borderId="2" xfId="0" applyBorder="1"/>
    <xf numFmtId="0" fontId="3" fillId="2" borderId="2" xfId="0" applyFont="1" applyFill="1" applyBorder="1" applyAlignment="1">
      <alignment horizontal="right"/>
    </xf>
    <xf numFmtId="164" fontId="4" fillId="0" borderId="2" xfId="0" applyNumberFormat="1" applyFont="1" applyBorder="1"/>
    <xf numFmtId="164" fontId="2" fillId="0" borderId="2" xfId="0" applyNumberFormat="1" applyFont="1" applyBorder="1"/>
    <xf numFmtId="164" fontId="0" fillId="0" borderId="2" xfId="0" applyNumberFormat="1" applyBorder="1"/>
    <xf numFmtId="39" fontId="0" fillId="0" borderId="2" xfId="0" applyNumberFormat="1" applyBorder="1"/>
    <xf numFmtId="165" fontId="0" fillId="0" borderId="2" xfId="1" applyNumberFormat="1" applyFont="1" applyBorder="1"/>
    <xf numFmtId="0" fontId="2" fillId="0" borderId="3" xfId="0" applyFont="1" applyBorder="1"/>
    <xf numFmtId="164" fontId="5" fillId="0" borderId="2" xfId="0" applyNumberFormat="1" applyFont="1" applyBorder="1"/>
    <xf numFmtId="164" fontId="6" fillId="0" borderId="0" xfId="0" applyNumberFormat="1" applyFont="1"/>
    <xf numFmtId="165" fontId="5" fillId="0" borderId="0" xfId="1" applyNumberFormat="1" applyFont="1"/>
    <xf numFmtId="164" fontId="6" fillId="0" borderId="2" xfId="0" applyNumberFormat="1" applyFont="1" applyBorder="1"/>
    <xf numFmtId="0" fontId="2" fillId="0" borderId="1" xfId="0" applyFont="1" applyBorder="1" applyAlignment="1">
      <alignment horizontal="left"/>
    </xf>
    <xf numFmtId="164" fontId="7" fillId="0" borderId="3" xfId="0" applyNumberFormat="1" applyFont="1" applyBorder="1"/>
    <xf numFmtId="164" fontId="2" fillId="0" borderId="1" xfId="0" applyNumberFormat="1" applyFont="1" applyBorder="1"/>
    <xf numFmtId="0" fontId="2" fillId="0" borderId="2" xfId="0" applyFont="1" applyBorder="1"/>
    <xf numFmtId="0" fontId="8" fillId="0" borderId="0" xfId="0" applyFont="1" applyAlignment="1">
      <alignment horizontal="left"/>
    </xf>
    <xf numFmtId="164" fontId="2" fillId="0" borderId="3" xfId="0" applyNumberFormat="1" applyFont="1" applyBorder="1"/>
    <xf numFmtId="0" fontId="8" fillId="0" borderId="2" xfId="0" applyFont="1" applyBorder="1" applyAlignment="1">
      <alignment horizontal="center"/>
    </xf>
    <xf numFmtId="9" fontId="0" fillId="0" borderId="2" xfId="1" applyNumberFormat="1" applyFont="1" applyBorder="1"/>
    <xf numFmtId="164" fontId="2" fillId="0" borderId="4" xfId="0" applyNumberFormat="1" applyFont="1" applyBorder="1"/>
    <xf numFmtId="164" fontId="2" fillId="0" borderId="5" xfId="0" applyNumberFormat="1" applyFont="1" applyBorder="1"/>
    <xf numFmtId="0" fontId="0" fillId="0" borderId="3" xfId="0" applyBorder="1"/>
    <xf numFmtId="0" fontId="2" fillId="0" borderId="0" xfId="0" applyFont="1" applyBorder="1" applyAlignment="1">
      <alignment horizontal="left" indent="1"/>
    </xf>
    <xf numFmtId="1" fontId="8" fillId="0" borderId="0" xfId="0" applyNumberFormat="1" applyFont="1" applyAlignment="1">
      <alignment horizontal="center"/>
    </xf>
    <xf numFmtId="37" fontId="6" fillId="0" borderId="0" xfId="0" applyNumberFormat="1" applyFont="1"/>
    <xf numFmtId="0" fontId="2" fillId="0" borderId="0" xfId="0" applyFont="1" applyAlignment="1">
      <alignment horizontal="left"/>
    </xf>
    <xf numFmtId="10" fontId="9" fillId="0" borderId="2" xfId="1" applyNumberFormat="1" applyFont="1" applyBorder="1"/>
    <xf numFmtId="0" fontId="0" fillId="0" borderId="2" xfId="0" applyFont="1" applyBorder="1"/>
    <xf numFmtId="0" fontId="0" fillId="0" borderId="0" xfId="0" applyFont="1"/>
    <xf numFmtId="164" fontId="5" fillId="0" borderId="0" xfId="0" applyNumberFormat="1" applyFont="1"/>
    <xf numFmtId="165" fontId="6" fillId="0" borderId="2" xfId="1" applyNumberFormat="1" applyFont="1" applyBorder="1"/>
    <xf numFmtId="165" fontId="9" fillId="0" borderId="0" xfId="1" applyNumberFormat="1" applyFont="1" applyAlignment="1">
      <alignment horizontal="center"/>
    </xf>
    <xf numFmtId="165" fontId="9" fillId="0" borderId="0" xfId="1" applyNumberFormat="1" applyFont="1"/>
    <xf numFmtId="165" fontId="6" fillId="0" borderId="0" xfId="1" applyNumberFormat="1" applyFont="1"/>
    <xf numFmtId="164" fontId="2" fillId="0" borderId="0" xfId="0" applyNumberFormat="1" applyFont="1" applyBorder="1"/>
    <xf numFmtId="39" fontId="0" fillId="0" borderId="0" xfId="0" applyNumberFormat="1" applyBorder="1"/>
    <xf numFmtId="164" fontId="9" fillId="0" borderId="0" xfId="0" applyNumberFormat="1" applyFont="1" applyBorder="1"/>
    <xf numFmtId="10" fontId="0" fillId="0" borderId="0" xfId="1" applyNumberFormat="1" applyFont="1" applyBorder="1"/>
    <xf numFmtId="10" fontId="9" fillId="0" borderId="0" xfId="1" applyNumberFormat="1" applyFont="1" applyBorder="1"/>
    <xf numFmtId="164" fontId="5" fillId="0" borderId="0" xfId="0" applyNumberFormat="1" applyFont="1" applyBorder="1"/>
    <xf numFmtId="1" fontId="0" fillId="0" borderId="0" xfId="0" applyNumberFormat="1" applyBorder="1"/>
    <xf numFmtId="0" fontId="2" fillId="0" borderId="6" xfId="0" applyFont="1" applyBorder="1" applyAlignment="1">
      <alignment horizontal="left" indent="1"/>
    </xf>
    <xf numFmtId="164" fontId="10" fillId="0" borderId="7" xfId="0" applyNumberFormat="1" applyFont="1" applyBorder="1"/>
    <xf numFmtId="164" fontId="10" fillId="0" borderId="6" xfId="0" applyNumberFormat="1" applyFont="1" applyBorder="1"/>
    <xf numFmtId="164" fontId="2" fillId="0" borderId="6" xfId="0" applyNumberFormat="1" applyFont="1" applyBorder="1"/>
    <xf numFmtId="164" fontId="9" fillId="0" borderId="0" xfId="0" applyNumberFormat="1" applyFont="1"/>
    <xf numFmtId="0" fontId="10" fillId="0" borderId="0" xfId="0" applyFont="1"/>
    <xf numFmtId="0" fontId="11" fillId="0" borderId="0" xfId="0" applyFont="1" applyAlignment="1">
      <alignment horizontal="left" indent="1"/>
    </xf>
    <xf numFmtId="9" fontId="4" fillId="0" borderId="2" xfId="1" applyFont="1" applyBorder="1"/>
    <xf numFmtId="9" fontId="5" fillId="0" borderId="0" xfId="1" applyFont="1"/>
    <xf numFmtId="0" fontId="3" fillId="3" borderId="0" xfId="0" applyFont="1" applyFill="1" applyAlignment="1">
      <alignment horizontal="right"/>
    </xf>
    <xf numFmtId="9" fontId="6" fillId="0" borderId="2" xfId="1" applyFont="1" applyBorder="1"/>
    <xf numFmtId="164" fontId="6" fillId="0" borderId="0" xfId="0" applyNumberFormat="1" applyFont="1" applyBorder="1"/>
    <xf numFmtId="9" fontId="6" fillId="0" borderId="0" xfId="1" applyFont="1" applyBorder="1"/>
    <xf numFmtId="9" fontId="5" fillId="0" borderId="0" xfId="1" applyFont="1" applyBorder="1"/>
    <xf numFmtId="164" fontId="5" fillId="4" borderId="0" xfId="0" applyNumberFormat="1" applyFont="1" applyFill="1"/>
    <xf numFmtId="0" fontId="0" fillId="4" borderId="0" xfId="0" applyFill="1"/>
    <xf numFmtId="1" fontId="0" fillId="4" borderId="2" xfId="0" applyNumberFormat="1" applyFill="1" applyBorder="1"/>
    <xf numFmtId="9" fontId="0" fillId="0" borderId="0" xfId="1" applyFont="1" applyBorder="1"/>
    <xf numFmtId="165" fontId="0" fillId="0" borderId="0" xfId="1" applyNumberFormat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5"/>
  <sheetViews>
    <sheetView showGridLines="0" tabSelected="1" zoomScale="85" zoomScaleNormal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D2" sqref="D2"/>
    </sheetView>
  </sheetViews>
  <sheetFormatPr defaultRowHeight="15" x14ac:dyDescent="0.25"/>
  <cols>
    <col min="1" max="1" width="61.28515625" bestFit="1" customWidth="1"/>
    <col min="2" max="2" width="13.140625" style="11" bestFit="1" customWidth="1"/>
    <col min="3" max="12" width="11.28515625" customWidth="1"/>
  </cols>
  <sheetData>
    <row r="1" spans="1:14" x14ac:dyDescent="0.25">
      <c r="A1" t="s">
        <v>141</v>
      </c>
      <c r="D1" s="8" t="s">
        <v>96</v>
      </c>
    </row>
    <row r="2" spans="1:14" x14ac:dyDescent="0.25">
      <c r="D2" s="8">
        <v>2</v>
      </c>
    </row>
    <row r="3" spans="1:14" x14ac:dyDescent="0.25">
      <c r="C3" t="s">
        <v>97</v>
      </c>
    </row>
    <row r="4" spans="1:14" x14ac:dyDescent="0.25">
      <c r="A4" s="1" t="s">
        <v>0</v>
      </c>
    </row>
    <row r="5" spans="1:14" x14ac:dyDescent="0.25">
      <c r="A5" s="7" t="s">
        <v>8</v>
      </c>
      <c r="B5" s="12" t="s">
        <v>98</v>
      </c>
      <c r="C5" s="62" t="s">
        <v>1</v>
      </c>
      <c r="D5" s="62" t="s">
        <v>2</v>
      </c>
      <c r="E5" s="62" t="s">
        <v>3</v>
      </c>
      <c r="F5" s="62" t="s">
        <v>4</v>
      </c>
      <c r="G5" s="62" t="s">
        <v>5</v>
      </c>
      <c r="H5" s="62" t="s">
        <v>6</v>
      </c>
      <c r="I5" s="62" t="s">
        <v>7</v>
      </c>
      <c r="J5" s="62" t="s">
        <v>99</v>
      </c>
      <c r="K5" s="62" t="s">
        <v>100</v>
      </c>
      <c r="L5" s="62" t="s">
        <v>101</v>
      </c>
      <c r="N5" t="s">
        <v>29</v>
      </c>
    </row>
    <row r="6" spans="1:14" x14ac:dyDescent="0.25">
      <c r="A6" t="s">
        <v>9</v>
      </c>
      <c r="B6" s="13">
        <v>1400</v>
      </c>
      <c r="C6" s="2">
        <f>B6*(1+C7)</f>
        <v>1428</v>
      </c>
      <c r="D6" s="2">
        <f t="shared" ref="D6:L6" si="0">C6*(1+D7)</f>
        <v>1456.56</v>
      </c>
      <c r="E6" s="2">
        <f t="shared" si="0"/>
        <v>1485.6912</v>
      </c>
      <c r="F6" s="2">
        <f t="shared" si="0"/>
        <v>1515.4050239999999</v>
      </c>
      <c r="G6" s="2">
        <f t="shared" si="0"/>
        <v>1545.71312448</v>
      </c>
      <c r="H6" s="2">
        <f t="shared" si="0"/>
        <v>1576.6273869696001</v>
      </c>
      <c r="I6" s="2">
        <f t="shared" si="0"/>
        <v>1608.1599347089921</v>
      </c>
      <c r="J6" s="2">
        <f t="shared" si="0"/>
        <v>1640.3231334031721</v>
      </c>
      <c r="K6" s="2">
        <f t="shared" si="0"/>
        <v>1673.1295960712355</v>
      </c>
      <c r="L6" s="2">
        <f t="shared" si="0"/>
        <v>1706.5921879926602</v>
      </c>
      <c r="M6">
        <v>1</v>
      </c>
      <c r="N6" t="s">
        <v>30</v>
      </c>
    </row>
    <row r="7" spans="1:14" x14ac:dyDescent="0.25">
      <c r="A7" s="59" t="s">
        <v>133</v>
      </c>
      <c r="B7" s="13"/>
      <c r="C7" s="45">
        <f>Scenarios!C5</f>
        <v>0.02</v>
      </c>
      <c r="D7" s="45">
        <f>Scenarios!D5</f>
        <v>0.02</v>
      </c>
      <c r="E7" s="45">
        <f>Scenarios!E5</f>
        <v>0.02</v>
      </c>
      <c r="F7" s="45">
        <f>Scenarios!F5</f>
        <v>0.02</v>
      </c>
      <c r="G7" s="45">
        <f>Scenarios!G5</f>
        <v>0.02</v>
      </c>
      <c r="H7" s="45">
        <f>Scenarios!H5</f>
        <v>0.02</v>
      </c>
      <c r="I7" s="45">
        <f>Scenarios!I5</f>
        <v>0.02</v>
      </c>
      <c r="J7" s="45">
        <f>Scenarios!J5</f>
        <v>0.02</v>
      </c>
      <c r="K7" s="45">
        <f>Scenarios!K5</f>
        <v>0.02</v>
      </c>
      <c r="L7" s="45">
        <f>Scenarios!L5</f>
        <v>0.02</v>
      </c>
      <c r="M7">
        <v>2</v>
      </c>
      <c r="N7" t="s">
        <v>32</v>
      </c>
    </row>
    <row r="8" spans="1:14" x14ac:dyDescent="0.25">
      <c r="A8" t="s">
        <v>10</v>
      </c>
      <c r="B8" s="13">
        <v>-340</v>
      </c>
      <c r="C8" s="2">
        <f>-C6*Scenarios!C6</f>
        <v>-349.86</v>
      </c>
      <c r="D8" s="2">
        <f>-D6*Scenarios!D6</f>
        <v>-356.85719999999998</v>
      </c>
      <c r="E8" s="2">
        <f>-E6*Scenarios!E6</f>
        <v>-363.99434400000001</v>
      </c>
      <c r="F8" s="2">
        <f>-F6*Scenarios!F6</f>
        <v>-371.27423087999995</v>
      </c>
      <c r="G8" s="2">
        <f>-G6*Scenarios!G6</f>
        <v>-378.69971549759998</v>
      </c>
      <c r="H8" s="2">
        <f>-H6*Scenarios!H6</f>
        <v>-386.27370980755205</v>
      </c>
      <c r="I8" s="2">
        <f>-I6*Scenarios!I6</f>
        <v>-393.99918400370302</v>
      </c>
      <c r="J8" s="2">
        <f>-J6*Scenarios!J6</f>
        <v>-401.87916768377715</v>
      </c>
      <c r="K8" s="2">
        <f>-K6*Scenarios!K6</f>
        <v>-409.91675103745268</v>
      </c>
      <c r="L8" s="2">
        <f>-L6*Scenarios!L6</f>
        <v>-418.11508605820177</v>
      </c>
      <c r="M8">
        <v>3</v>
      </c>
      <c r="N8" t="s">
        <v>36</v>
      </c>
    </row>
    <row r="9" spans="1:14" x14ac:dyDescent="0.25">
      <c r="A9" s="5" t="s">
        <v>11</v>
      </c>
      <c r="B9" s="14">
        <f>SUM(B6:B8)</f>
        <v>1060</v>
      </c>
      <c r="C9" s="46">
        <f>SUM(C6:C8)</f>
        <v>1078.1599999999999</v>
      </c>
      <c r="D9" s="46">
        <f t="shared" ref="D9:L9" si="1">SUM(D6:D8)</f>
        <v>1099.7228</v>
      </c>
      <c r="E9" s="46">
        <f t="shared" si="1"/>
        <v>1121.716856</v>
      </c>
      <c r="F9" s="46">
        <f t="shared" si="1"/>
        <v>1144.1507931199999</v>
      </c>
      <c r="G9" s="46">
        <f t="shared" si="1"/>
        <v>1167.0334089824</v>
      </c>
      <c r="H9" s="46">
        <f t="shared" si="1"/>
        <v>1190.3736771620481</v>
      </c>
      <c r="I9" s="46">
        <f t="shared" si="1"/>
        <v>1214.180750705289</v>
      </c>
      <c r="J9" s="46">
        <f t="shared" si="1"/>
        <v>1238.4639657193948</v>
      </c>
      <c r="K9" s="46">
        <f t="shared" si="1"/>
        <v>1263.2328450337827</v>
      </c>
      <c r="L9" s="46">
        <f t="shared" si="1"/>
        <v>1288.4971019344584</v>
      </c>
      <c r="M9">
        <v>4</v>
      </c>
      <c r="N9" t="s">
        <v>35</v>
      </c>
    </row>
    <row r="10" spans="1:14" x14ac:dyDescent="0.25">
      <c r="A10" t="s">
        <v>12</v>
      </c>
      <c r="B10" s="13">
        <v>-530</v>
      </c>
      <c r="C10" s="2">
        <f>-C$6*Scenarios!C7</f>
        <v>-542.64</v>
      </c>
      <c r="D10" s="2">
        <f>-D$6*Scenarios!D7</f>
        <v>-553.49279999999999</v>
      </c>
      <c r="E10" s="2">
        <f>-E$6*Scenarios!E7</f>
        <v>-564.56265599999995</v>
      </c>
      <c r="F10" s="2">
        <f>-F$6*Scenarios!F7</f>
        <v>-575.85390912000003</v>
      </c>
      <c r="G10" s="2">
        <f>-G$6*Scenarios!G7</f>
        <v>-587.37098730240007</v>
      </c>
      <c r="H10" s="2">
        <f>-H$6*Scenarios!H7</f>
        <v>-599.11840704844803</v>
      </c>
      <c r="I10" s="2">
        <f>-I$6*Scenarios!I7</f>
        <v>-611.10077518941705</v>
      </c>
      <c r="J10" s="2">
        <f>-J$6*Scenarios!J7</f>
        <v>-623.32279069320543</v>
      </c>
      <c r="K10" s="2">
        <f>-K$6*Scenarios!K7</f>
        <v>-635.78924650706949</v>
      </c>
      <c r="L10" s="2">
        <f>-L$6*Scenarios!L7</f>
        <v>-648.50503143721085</v>
      </c>
      <c r="M10">
        <v>5</v>
      </c>
      <c r="N10" t="s">
        <v>31</v>
      </c>
    </row>
    <row r="11" spans="1:14" x14ac:dyDescent="0.25">
      <c r="A11" t="s">
        <v>13</v>
      </c>
      <c r="B11" s="13">
        <v>-180</v>
      </c>
      <c r="C11" s="2">
        <f>-C$6*Scenarios!C8</f>
        <v>-178.5</v>
      </c>
      <c r="D11" s="2">
        <f>-D$6*Scenarios!D8</f>
        <v>-182.07</v>
      </c>
      <c r="E11" s="2">
        <f>-E$6*Scenarios!E8</f>
        <v>-185.7114</v>
      </c>
      <c r="F11" s="2">
        <f>-F$6*Scenarios!F8</f>
        <v>-189.42562799999999</v>
      </c>
      <c r="G11" s="2">
        <f>-G$6*Scenarios!G8</f>
        <v>-193.21414056</v>
      </c>
      <c r="H11" s="2">
        <f>-H$6*Scenarios!H8</f>
        <v>-197.07842337120002</v>
      </c>
      <c r="I11" s="2">
        <f>-I$6*Scenarios!I8</f>
        <v>-201.01999183862401</v>
      </c>
      <c r="J11" s="2">
        <f>-J$6*Scenarios!J8</f>
        <v>-205.04039167539651</v>
      </c>
      <c r="K11" s="2">
        <f>-K$6*Scenarios!K8</f>
        <v>-209.14119950890444</v>
      </c>
      <c r="L11" s="2">
        <f>-L$6*Scenarios!L8</f>
        <v>-213.32402349908253</v>
      </c>
      <c r="M11">
        <v>6</v>
      </c>
      <c r="N11" t="s">
        <v>33</v>
      </c>
    </row>
    <row r="12" spans="1:14" x14ac:dyDescent="0.25">
      <c r="A12" s="5" t="s">
        <v>14</v>
      </c>
      <c r="B12" s="14">
        <f>B9+SUM(B10:B11)</f>
        <v>350</v>
      </c>
      <c r="C12" s="46">
        <f>C9+SUM(C10:C11)</f>
        <v>357.01999999999987</v>
      </c>
      <c r="D12" s="46">
        <f t="shared" ref="D12:L12" si="2">D9+SUM(D10:D11)</f>
        <v>364.16000000000008</v>
      </c>
      <c r="E12" s="46">
        <f t="shared" si="2"/>
        <v>371.44280000000003</v>
      </c>
      <c r="F12" s="46">
        <f t="shared" si="2"/>
        <v>378.8712559999999</v>
      </c>
      <c r="G12" s="46">
        <f t="shared" si="2"/>
        <v>386.44828111999993</v>
      </c>
      <c r="H12" s="46">
        <f t="shared" si="2"/>
        <v>394.17684674240013</v>
      </c>
      <c r="I12" s="46">
        <f t="shared" si="2"/>
        <v>402.05998367724794</v>
      </c>
      <c r="J12" s="46">
        <f t="shared" si="2"/>
        <v>410.10078335079288</v>
      </c>
      <c r="K12" s="46">
        <f t="shared" si="2"/>
        <v>418.30239901780874</v>
      </c>
      <c r="L12" s="46">
        <f t="shared" si="2"/>
        <v>426.6680469981651</v>
      </c>
      <c r="M12">
        <v>7</v>
      </c>
      <c r="N12" t="s">
        <v>139</v>
      </c>
    </row>
    <row r="13" spans="1:14" x14ac:dyDescent="0.25">
      <c r="A13" t="s">
        <v>117</v>
      </c>
      <c r="B13" s="15"/>
      <c r="C13" s="20">
        <f>-'Debt Schedule'!C11</f>
        <v>-46.5</v>
      </c>
      <c r="D13" s="20">
        <f>-'Debt Schedule'!D11</f>
        <v>-43.5</v>
      </c>
      <c r="E13" s="20">
        <f>-'Debt Schedule'!E11</f>
        <v>-40.5</v>
      </c>
      <c r="F13" s="20">
        <f>-'Debt Schedule'!F11</f>
        <v>-37.5</v>
      </c>
      <c r="G13" s="20">
        <f>-'Debt Schedule'!G11</f>
        <v>-34.5</v>
      </c>
      <c r="H13" s="20">
        <f>-'Debt Schedule'!H11</f>
        <v>-31.5</v>
      </c>
      <c r="I13" s="20">
        <f>-'Debt Schedule'!I11</f>
        <v>-28.5</v>
      </c>
      <c r="J13" s="20">
        <f>-'Debt Schedule'!J11</f>
        <v>-25.5</v>
      </c>
      <c r="K13" s="20">
        <f>-'Debt Schedule'!K11</f>
        <v>-22.5</v>
      </c>
      <c r="L13" s="20">
        <f>-'Debt Schedule'!L11</f>
        <v>-19.5</v>
      </c>
      <c r="M13">
        <v>8</v>
      </c>
      <c r="N13" t="s">
        <v>34</v>
      </c>
    </row>
    <row r="14" spans="1:14" x14ac:dyDescent="0.25">
      <c r="A14" t="s">
        <v>16</v>
      </c>
      <c r="B14" s="13">
        <v>20</v>
      </c>
      <c r="C14" s="41">
        <f>B14</f>
        <v>20</v>
      </c>
      <c r="D14" s="41">
        <f t="shared" ref="D14:L14" si="3">C14</f>
        <v>20</v>
      </c>
      <c r="E14" s="41">
        <f t="shared" si="3"/>
        <v>20</v>
      </c>
      <c r="F14" s="41">
        <f t="shared" si="3"/>
        <v>20</v>
      </c>
      <c r="G14" s="41">
        <f t="shared" si="3"/>
        <v>20</v>
      </c>
      <c r="H14" s="41">
        <f t="shared" si="3"/>
        <v>20</v>
      </c>
      <c r="I14" s="41">
        <f t="shared" si="3"/>
        <v>20</v>
      </c>
      <c r="J14" s="41">
        <f t="shared" si="3"/>
        <v>20</v>
      </c>
      <c r="K14" s="41">
        <f t="shared" si="3"/>
        <v>20</v>
      </c>
      <c r="L14" s="41">
        <f t="shared" si="3"/>
        <v>20</v>
      </c>
      <c r="M14">
        <v>9</v>
      </c>
      <c r="N14" t="s">
        <v>140</v>
      </c>
    </row>
    <row r="15" spans="1:14" x14ac:dyDescent="0.25">
      <c r="A15" s="5" t="s">
        <v>17</v>
      </c>
      <c r="B15" s="14">
        <f>SUM(B12:B14)</f>
        <v>370</v>
      </c>
      <c r="C15" s="46">
        <f>SUM(C12:C14)</f>
        <v>330.51999999999987</v>
      </c>
      <c r="D15" s="46">
        <f t="shared" ref="D15:L15" si="4">SUM(D12:D14)</f>
        <v>340.66000000000008</v>
      </c>
      <c r="E15" s="46">
        <f t="shared" si="4"/>
        <v>350.94280000000003</v>
      </c>
      <c r="F15" s="46">
        <f t="shared" si="4"/>
        <v>361.3712559999999</v>
      </c>
      <c r="G15" s="46">
        <f t="shared" si="4"/>
        <v>371.94828111999993</v>
      </c>
      <c r="H15" s="46">
        <f t="shared" si="4"/>
        <v>382.67684674240013</v>
      </c>
      <c r="I15" s="46">
        <f t="shared" si="4"/>
        <v>393.55998367724794</v>
      </c>
      <c r="J15" s="46">
        <f t="shared" si="4"/>
        <v>404.60078335079288</v>
      </c>
      <c r="K15" s="46">
        <f t="shared" si="4"/>
        <v>415.80239901780874</v>
      </c>
      <c r="L15" s="46">
        <f t="shared" si="4"/>
        <v>427.1680469981651</v>
      </c>
      <c r="M15">
        <v>10</v>
      </c>
      <c r="N15" t="s">
        <v>37</v>
      </c>
    </row>
    <row r="16" spans="1:14" x14ac:dyDescent="0.25">
      <c r="A16" t="s">
        <v>18</v>
      </c>
      <c r="B16" s="13">
        <v>-98</v>
      </c>
      <c r="C16" s="2">
        <f>-C15*Scenarios!C9</f>
        <v>-87.587799999999973</v>
      </c>
      <c r="D16" s="2">
        <f>-D15*Scenarios!D9</f>
        <v>-90.274900000000031</v>
      </c>
      <c r="E16" s="2">
        <f>-E15*Scenarios!E9</f>
        <v>-92.999842000000015</v>
      </c>
      <c r="F16" s="2">
        <f>-F15*Scenarios!F9</f>
        <v>-95.763382839999977</v>
      </c>
      <c r="G16" s="2">
        <f>-G15*Scenarios!G9</f>
        <v>-98.566294496799983</v>
      </c>
      <c r="H16" s="2">
        <f>-H15*Scenarios!H9</f>
        <v>-101.40936438673604</v>
      </c>
      <c r="I16" s="2">
        <f>-I15*Scenarios!I9</f>
        <v>-104.29339567447072</v>
      </c>
      <c r="J16" s="2">
        <f>-J15*Scenarios!J9</f>
        <v>-107.21920758796011</v>
      </c>
      <c r="K16" s="2">
        <f>-K15*Scenarios!K9</f>
        <v>-110.18763573971933</v>
      </c>
      <c r="L16" s="2">
        <f>-L15*Scenarios!L9</f>
        <v>-113.19953245451376</v>
      </c>
    </row>
    <row r="17" spans="1:12" x14ac:dyDescent="0.25">
      <c r="A17" s="5" t="s">
        <v>19</v>
      </c>
      <c r="B17" s="14">
        <f>SUM(B15:B16)</f>
        <v>272</v>
      </c>
      <c r="C17" s="46">
        <f>SUM(C15:C16)</f>
        <v>242.93219999999991</v>
      </c>
      <c r="D17" s="46">
        <f t="shared" ref="D17:L17" si="5">SUM(D15:D16)</f>
        <v>250.38510000000005</v>
      </c>
      <c r="E17" s="46">
        <f t="shared" si="5"/>
        <v>257.94295800000003</v>
      </c>
      <c r="F17" s="46">
        <f t="shared" si="5"/>
        <v>265.60787315999994</v>
      </c>
      <c r="G17" s="46">
        <f t="shared" si="5"/>
        <v>273.38198662319996</v>
      </c>
      <c r="H17" s="46">
        <f t="shared" si="5"/>
        <v>281.26748235566407</v>
      </c>
      <c r="I17" s="46">
        <f t="shared" si="5"/>
        <v>289.26658800277721</v>
      </c>
      <c r="J17" s="46">
        <f t="shared" si="5"/>
        <v>297.38157576283277</v>
      </c>
      <c r="K17" s="46">
        <f t="shared" si="5"/>
        <v>305.61476327808941</v>
      </c>
      <c r="L17" s="46">
        <f t="shared" si="5"/>
        <v>313.96851454365134</v>
      </c>
    </row>
    <row r="18" spans="1:12" x14ac:dyDescent="0.25">
      <c r="A18" t="s">
        <v>88</v>
      </c>
      <c r="B18" s="13">
        <v>130</v>
      </c>
      <c r="C18" s="36">
        <f>'Stockholder''s Equity'!C23</f>
        <v>135</v>
      </c>
      <c r="D18" s="36">
        <f>'Stockholder''s Equity'!D23</f>
        <v>125</v>
      </c>
      <c r="E18" s="36">
        <f>'Stockholder''s Equity'!E23</f>
        <v>125</v>
      </c>
      <c r="F18" s="36">
        <f>'Stockholder''s Equity'!F23</f>
        <v>125</v>
      </c>
      <c r="G18" s="36">
        <f>'Stockholder''s Equity'!G23</f>
        <v>125</v>
      </c>
      <c r="H18" s="36">
        <f>'Stockholder''s Equity'!H23</f>
        <v>125</v>
      </c>
      <c r="I18" s="36">
        <f>'Stockholder''s Equity'!I23</f>
        <v>130</v>
      </c>
      <c r="J18" s="36">
        <f>'Stockholder''s Equity'!J23</f>
        <v>130</v>
      </c>
      <c r="K18" s="36">
        <f>'Stockholder''s Equity'!K23</f>
        <v>130</v>
      </c>
      <c r="L18" s="36">
        <f>'Stockholder''s Equity'!L23</f>
        <v>130</v>
      </c>
    </row>
    <row r="19" spans="1:12" x14ac:dyDescent="0.25">
      <c r="A19" t="s">
        <v>20</v>
      </c>
      <c r="B19" s="16">
        <f>B17/B18</f>
        <v>2.0923076923076924</v>
      </c>
      <c r="C19" s="47">
        <f>C17/C18</f>
        <v>1.7994977777777772</v>
      </c>
      <c r="D19" s="47">
        <f t="shared" ref="D19:L19" si="6">D17/D18</f>
        <v>2.0030808000000002</v>
      </c>
      <c r="E19" s="47">
        <f t="shared" si="6"/>
        <v>2.0635436640000004</v>
      </c>
      <c r="F19" s="47">
        <f t="shared" si="6"/>
        <v>2.1248629852799996</v>
      </c>
      <c r="G19" s="47">
        <f t="shared" si="6"/>
        <v>2.1870558929855997</v>
      </c>
      <c r="H19" s="47">
        <f t="shared" si="6"/>
        <v>2.2501398588453125</v>
      </c>
      <c r="I19" s="47">
        <f t="shared" si="6"/>
        <v>2.2251276000213633</v>
      </c>
      <c r="J19" s="47">
        <f t="shared" si="6"/>
        <v>2.2875505827910212</v>
      </c>
      <c r="K19" s="47">
        <f t="shared" si="6"/>
        <v>2.3508827944468416</v>
      </c>
      <c r="L19" s="47">
        <f t="shared" si="6"/>
        <v>2.415142419566549</v>
      </c>
    </row>
    <row r="20" spans="1:12" x14ac:dyDescent="0.25">
      <c r="A20" t="s">
        <v>21</v>
      </c>
      <c r="B20" s="15"/>
      <c r="C20" s="3"/>
      <c r="D20" s="3"/>
      <c r="E20" s="3"/>
      <c r="F20" s="3"/>
      <c r="G20" s="3"/>
      <c r="H20" s="3"/>
      <c r="I20" s="3"/>
      <c r="J20" s="3"/>
      <c r="K20" s="3"/>
      <c r="L20" s="3"/>
    </row>
    <row r="21" spans="1:12" x14ac:dyDescent="0.25">
      <c r="B21" s="15"/>
      <c r="C21" s="2"/>
      <c r="D21" s="2"/>
      <c r="E21" s="2"/>
      <c r="F21" s="2"/>
      <c r="G21" s="2"/>
      <c r="H21" s="2"/>
      <c r="I21" s="2"/>
      <c r="J21" s="2"/>
      <c r="K21" s="2"/>
      <c r="L21" s="2"/>
    </row>
    <row r="22" spans="1:12" x14ac:dyDescent="0.25">
      <c r="A22" t="s">
        <v>146</v>
      </c>
      <c r="B22" s="13">
        <v>30</v>
      </c>
      <c r="C22" s="20">
        <f>'Depreciation Schedule'!C10</f>
        <v>64.603333333333339</v>
      </c>
      <c r="D22" s="20">
        <f>'Depreciation Schedule'!D10</f>
        <v>75.24873333333332</v>
      </c>
      <c r="E22" s="20">
        <f>'Depreciation Schedule'!E10</f>
        <v>86.107041333333314</v>
      </c>
      <c r="F22" s="20">
        <f>'Depreciation Schedule'!F10</f>
        <v>97.182515493333327</v>
      </c>
      <c r="G22" s="20">
        <f>'Depreciation Schedule'!G10</f>
        <v>108.47949913653332</v>
      </c>
      <c r="H22" s="20">
        <f>'Depreciation Schedule'!H10</f>
        <v>120.00242245259733</v>
      </c>
      <c r="I22" s="20">
        <f>'Depreciation Schedule'!I10</f>
        <v>131.75580423498261</v>
      </c>
      <c r="J22" s="20">
        <f>'Depreciation Schedule'!J10</f>
        <v>143.74425365301559</v>
      </c>
      <c r="K22" s="20">
        <f>'Depreciation Schedule'!K10</f>
        <v>155.97247205940926</v>
      </c>
      <c r="L22" s="20">
        <f>'Depreciation Schedule'!L10</f>
        <v>168.44525483393076</v>
      </c>
    </row>
    <row r="23" spans="1:12" x14ac:dyDescent="0.25">
      <c r="A23" s="5" t="s">
        <v>24</v>
      </c>
      <c r="B23" s="14">
        <f>B12+B22</f>
        <v>380</v>
      </c>
      <c r="C23" s="46">
        <f>C12+C22</f>
        <v>421.62333333333322</v>
      </c>
      <c r="D23" s="46">
        <f t="shared" ref="D23:L23" si="7">D12+D22</f>
        <v>439.40873333333343</v>
      </c>
      <c r="E23" s="46">
        <f t="shared" si="7"/>
        <v>457.54984133333335</v>
      </c>
      <c r="F23" s="46">
        <f t="shared" si="7"/>
        <v>476.05377149333322</v>
      </c>
      <c r="G23" s="46">
        <f t="shared" si="7"/>
        <v>494.92778025653325</v>
      </c>
      <c r="H23" s="46">
        <f t="shared" si="7"/>
        <v>514.17926919499746</v>
      </c>
      <c r="I23" s="46">
        <f t="shared" si="7"/>
        <v>533.81578791223058</v>
      </c>
      <c r="J23" s="46">
        <f t="shared" si="7"/>
        <v>553.84503700380844</v>
      </c>
      <c r="K23" s="46">
        <f t="shared" si="7"/>
        <v>574.27487107721799</v>
      </c>
      <c r="L23" s="46">
        <f t="shared" si="7"/>
        <v>595.11330183209589</v>
      </c>
    </row>
    <row r="24" spans="1:12" x14ac:dyDescent="0.25">
      <c r="B24" s="15"/>
      <c r="C24" s="2"/>
      <c r="D24" s="2"/>
      <c r="E24" s="2"/>
      <c r="F24" s="2"/>
      <c r="G24" s="2"/>
      <c r="H24" s="2"/>
      <c r="I24" s="2"/>
      <c r="J24" s="2"/>
      <c r="K24" s="2"/>
      <c r="L24" s="2"/>
    </row>
    <row r="25" spans="1:12" x14ac:dyDescent="0.25">
      <c r="B25" s="17"/>
      <c r="C25" s="21"/>
      <c r="D25" s="21"/>
      <c r="E25" s="21"/>
      <c r="F25" s="21"/>
      <c r="G25" s="21"/>
      <c r="H25" s="21"/>
      <c r="I25" s="21"/>
      <c r="J25" s="21"/>
      <c r="K25" s="21"/>
      <c r="L25" s="21"/>
    </row>
    <row r="26" spans="1:12" x14ac:dyDescent="0.25">
      <c r="A26" s="1" t="s">
        <v>136</v>
      </c>
    </row>
    <row r="27" spans="1:12" x14ac:dyDescent="0.25">
      <c r="A27" t="s">
        <v>11</v>
      </c>
      <c r="B27" s="17">
        <f>B9/B6</f>
        <v>0.75714285714285712</v>
      </c>
      <c r="C27" s="71">
        <f t="shared" ref="C27:L27" si="8">C9/C6</f>
        <v>0.75501400560224075</v>
      </c>
      <c r="D27" s="71">
        <f t="shared" si="8"/>
        <v>0.75501373098258917</v>
      </c>
      <c r="E27" s="71">
        <f t="shared" si="8"/>
        <v>0.75501346174763639</v>
      </c>
      <c r="F27" s="71">
        <f t="shared" si="8"/>
        <v>0.75501319779180032</v>
      </c>
      <c r="G27" s="71">
        <f t="shared" si="8"/>
        <v>0.75501293901156896</v>
      </c>
      <c r="H27" s="71">
        <f t="shared" si="8"/>
        <v>0.75501268530545984</v>
      </c>
      <c r="I27" s="71">
        <f t="shared" si="8"/>
        <v>0.75501243657398021</v>
      </c>
      <c r="J27" s="71">
        <f t="shared" si="8"/>
        <v>0.7550121927195883</v>
      </c>
      <c r="K27" s="71">
        <f t="shared" si="8"/>
        <v>0.7550119536466553</v>
      </c>
      <c r="L27" s="71">
        <f t="shared" si="8"/>
        <v>0.75501171926142674</v>
      </c>
    </row>
    <row r="28" spans="1:12" x14ac:dyDescent="0.25">
      <c r="A28" t="s">
        <v>24</v>
      </c>
      <c r="B28" s="17">
        <f>B23/B6</f>
        <v>0.27142857142857141</v>
      </c>
      <c r="C28" s="71">
        <f t="shared" ref="C28:L28" si="9">C23/C6</f>
        <v>0.2952544351073762</v>
      </c>
      <c r="D28" s="71">
        <f t="shared" si="9"/>
        <v>0.30167568334523359</v>
      </c>
      <c r="E28" s="71">
        <f t="shared" si="9"/>
        <v>0.30797102475489746</v>
      </c>
      <c r="F28" s="71">
        <f t="shared" si="9"/>
        <v>0.31414292809770522</v>
      </c>
      <c r="G28" s="71">
        <f t="shared" si="9"/>
        <v>0.32019381372790895</v>
      </c>
      <c r="H28" s="71">
        <f t="shared" si="9"/>
        <v>0.32612605454183424</v>
      </c>
      <c r="I28" s="71">
        <f t="shared" si="9"/>
        <v>0.33194197690842753</v>
      </c>
      <c r="J28" s="71">
        <f t="shared" si="9"/>
        <v>0.33764386158155818</v>
      </c>
      <c r="K28" s="71">
        <f t="shared" si="9"/>
        <v>0.34323394459443152</v>
      </c>
      <c r="L28" s="71">
        <f t="shared" si="9"/>
        <v>0.34871441813646425</v>
      </c>
    </row>
    <row r="29" spans="1:12" x14ac:dyDescent="0.25">
      <c r="A29" t="s">
        <v>28</v>
      </c>
      <c r="B29" s="17">
        <f>B12/B6</f>
        <v>0.25</v>
      </c>
      <c r="C29" s="71">
        <f t="shared" ref="C29:L29" si="10">C12/C6</f>
        <v>0.2500140056022408</v>
      </c>
      <c r="D29" s="71">
        <f t="shared" si="10"/>
        <v>0.25001373098258917</v>
      </c>
      <c r="E29" s="71">
        <f t="shared" si="10"/>
        <v>0.25001346174763639</v>
      </c>
      <c r="F29" s="71">
        <f t="shared" si="10"/>
        <v>0.25001319779180031</v>
      </c>
      <c r="G29" s="71">
        <f t="shared" si="10"/>
        <v>0.25001293901156896</v>
      </c>
      <c r="H29" s="71">
        <f t="shared" si="10"/>
        <v>0.25001268530545984</v>
      </c>
      <c r="I29" s="71">
        <f t="shared" si="10"/>
        <v>0.25001243657398015</v>
      </c>
      <c r="J29" s="71">
        <f t="shared" si="10"/>
        <v>0.25001219271958836</v>
      </c>
      <c r="K29" s="71">
        <f t="shared" si="10"/>
        <v>0.25001195364665524</v>
      </c>
      <c r="L29" s="71">
        <f t="shared" si="10"/>
        <v>0.25001171926142679</v>
      </c>
    </row>
    <row r="30" spans="1:12" x14ac:dyDescent="0.25">
      <c r="A30" t="s">
        <v>19</v>
      </c>
      <c r="B30" s="17">
        <f>B17/B6</f>
        <v>0.19428571428571428</v>
      </c>
      <c r="C30" s="71">
        <f t="shared" ref="C30:L30" si="11">C17/C6</f>
        <v>0.17012058823529405</v>
      </c>
      <c r="D30" s="71">
        <f t="shared" si="11"/>
        <v>0.1719016724336794</v>
      </c>
      <c r="E30" s="71">
        <f t="shared" si="11"/>
        <v>0.17361815025895019</v>
      </c>
      <c r="F30" s="71">
        <f t="shared" si="11"/>
        <v>0.17527187052535464</v>
      </c>
      <c r="G30" s="71">
        <f t="shared" si="11"/>
        <v>0.17686463438367295</v>
      </c>
      <c r="H30" s="71">
        <f t="shared" si="11"/>
        <v>0.17839819647956384</v>
      </c>
      <c r="I30" s="71">
        <f t="shared" si="11"/>
        <v>0.1798742660848108</v>
      </c>
      <c r="J30" s="71">
        <f t="shared" si="11"/>
        <v>0.18129450820208598</v>
      </c>
      <c r="K30" s="71">
        <f t="shared" si="11"/>
        <v>0.18266054464383374</v>
      </c>
      <c r="L30" s="71">
        <f t="shared" si="11"/>
        <v>0.18397395508586592</v>
      </c>
    </row>
    <row r="32" spans="1:12" x14ac:dyDescent="0.25">
      <c r="A32" s="1" t="s">
        <v>40</v>
      </c>
    </row>
    <row r="33" spans="1:12" x14ac:dyDescent="0.25">
      <c r="A33" s="7" t="s">
        <v>8</v>
      </c>
      <c r="B33" s="12" t="s">
        <v>98</v>
      </c>
      <c r="C33" s="62" t="s">
        <v>1</v>
      </c>
      <c r="D33" s="62" t="s">
        <v>2</v>
      </c>
      <c r="E33" s="62" t="s">
        <v>3</v>
      </c>
      <c r="F33" s="62" t="s">
        <v>4</v>
      </c>
      <c r="G33" s="62" t="s">
        <v>5</v>
      </c>
      <c r="H33" s="62" t="s">
        <v>6</v>
      </c>
      <c r="I33" s="62" t="s">
        <v>7</v>
      </c>
      <c r="J33" s="62" t="s">
        <v>99</v>
      </c>
      <c r="K33" s="62" t="s">
        <v>100</v>
      </c>
      <c r="L33" s="62" t="s">
        <v>101</v>
      </c>
    </row>
    <row r="34" spans="1:12" x14ac:dyDescent="0.25">
      <c r="A34" t="s">
        <v>41</v>
      </c>
      <c r="B34" s="13">
        <v>290</v>
      </c>
      <c r="C34" s="20">
        <f>B34+C103</f>
        <v>390.44519863945567</v>
      </c>
      <c r="D34" s="20">
        <f t="shared" ref="D34:L34" si="12">C34+D103</f>
        <v>78.781718911564553</v>
      </c>
      <c r="E34" s="20">
        <f t="shared" si="12"/>
        <v>78.512569697959094</v>
      </c>
      <c r="F34" s="20">
        <f t="shared" si="12"/>
        <v>89.843587608925048</v>
      </c>
      <c r="G34" s="20">
        <f t="shared" si="12"/>
        <v>112.98472598695389</v>
      </c>
      <c r="H34" s="20">
        <f t="shared" si="12"/>
        <v>148.15013724138689</v>
      </c>
      <c r="I34" s="20">
        <f t="shared" si="12"/>
        <v>695.55825682975205</v>
      </c>
      <c r="J34" s="20">
        <f t="shared" si="12"/>
        <v>755.43188891872796</v>
      </c>
      <c r="K34" s="20">
        <f t="shared" si="12"/>
        <v>827.99829375832701</v>
      </c>
      <c r="L34" s="20">
        <f t="shared" si="12"/>
        <v>913.48927680356155</v>
      </c>
    </row>
    <row r="35" spans="1:12" x14ac:dyDescent="0.25">
      <c r="A35" t="s">
        <v>42</v>
      </c>
      <c r="B35" s="13">
        <v>260</v>
      </c>
      <c r="C35" s="2">
        <f>C63*C6/365</f>
        <v>265.20000000000005</v>
      </c>
      <c r="D35" s="2">
        <f t="shared" ref="D35:L35" si="13">D63*D6/365</f>
        <v>270.50400000000002</v>
      </c>
      <c r="E35" s="2">
        <f t="shared" si="13"/>
        <v>275.91408000000001</v>
      </c>
      <c r="F35" s="2">
        <f t="shared" si="13"/>
        <v>281.43236159999998</v>
      </c>
      <c r="G35" s="2">
        <f t="shared" si="13"/>
        <v>287.06100883200003</v>
      </c>
      <c r="H35" s="2">
        <f t="shared" si="13"/>
        <v>292.80222900864004</v>
      </c>
      <c r="I35" s="2">
        <f t="shared" si="13"/>
        <v>298.65827358881285</v>
      </c>
      <c r="J35" s="2">
        <f t="shared" si="13"/>
        <v>304.63143906058912</v>
      </c>
      <c r="K35" s="2">
        <f t="shared" si="13"/>
        <v>310.72406784180089</v>
      </c>
      <c r="L35" s="2">
        <f t="shared" si="13"/>
        <v>316.93854919863691</v>
      </c>
    </row>
    <row r="36" spans="1:12" x14ac:dyDescent="0.25">
      <c r="A36" t="s">
        <v>43</v>
      </c>
      <c r="B36" s="13">
        <v>170</v>
      </c>
      <c r="C36" s="2">
        <f>-C64*C8/365</f>
        <v>174.93</v>
      </c>
      <c r="D36" s="2">
        <f t="shared" ref="D36:L36" si="14">-D64*D8/365</f>
        <v>178.42859999999999</v>
      </c>
      <c r="E36" s="2">
        <f t="shared" si="14"/>
        <v>181.99717200000001</v>
      </c>
      <c r="F36" s="2">
        <f t="shared" si="14"/>
        <v>185.63711543999997</v>
      </c>
      <c r="G36" s="2">
        <f t="shared" si="14"/>
        <v>189.34985774879999</v>
      </c>
      <c r="H36" s="2">
        <f t="shared" si="14"/>
        <v>193.13685490377603</v>
      </c>
      <c r="I36" s="2">
        <f t="shared" si="14"/>
        <v>196.99959200185151</v>
      </c>
      <c r="J36" s="2">
        <f t="shared" si="14"/>
        <v>200.93958384188858</v>
      </c>
      <c r="K36" s="2">
        <f t="shared" si="14"/>
        <v>204.95837551872631</v>
      </c>
      <c r="L36" s="2">
        <f t="shared" si="14"/>
        <v>209.05754302910088</v>
      </c>
    </row>
    <row r="37" spans="1:12" x14ac:dyDescent="0.25">
      <c r="A37" t="s">
        <v>44</v>
      </c>
      <c r="B37" s="13">
        <v>240</v>
      </c>
      <c r="C37" s="2">
        <f>C6*C65</f>
        <v>244.8</v>
      </c>
      <c r="D37" s="2">
        <f t="shared" ref="D37:L37" si="15">D6*D65</f>
        <v>249.696</v>
      </c>
      <c r="E37" s="2">
        <f t="shared" si="15"/>
        <v>254.68992</v>
      </c>
      <c r="F37" s="2">
        <f t="shared" si="15"/>
        <v>259.7837184</v>
      </c>
      <c r="G37" s="2">
        <f t="shared" si="15"/>
        <v>264.97939276800003</v>
      </c>
      <c r="H37" s="2">
        <f t="shared" si="15"/>
        <v>270.27898062336004</v>
      </c>
      <c r="I37" s="2">
        <f t="shared" si="15"/>
        <v>275.68456023582723</v>
      </c>
      <c r="J37" s="2">
        <f t="shared" si="15"/>
        <v>281.1982514405438</v>
      </c>
      <c r="K37" s="2">
        <f t="shared" si="15"/>
        <v>286.82221646935466</v>
      </c>
      <c r="L37" s="2">
        <f t="shared" si="15"/>
        <v>292.55866079874176</v>
      </c>
    </row>
    <row r="38" spans="1:12" x14ac:dyDescent="0.25">
      <c r="A38" s="10" t="s">
        <v>45</v>
      </c>
      <c r="B38" s="28">
        <f>SUM(B34:B37)</f>
        <v>960</v>
      </c>
      <c r="C38" s="31">
        <f>SUM(C34:C37)</f>
        <v>1075.3751986394557</v>
      </c>
      <c r="D38" s="31">
        <f t="shared" ref="D38:L38" si="16">SUM(D34:D37)</f>
        <v>777.41031891156456</v>
      </c>
      <c r="E38" s="31">
        <f t="shared" si="16"/>
        <v>791.11374169795909</v>
      </c>
      <c r="F38" s="31">
        <f t="shared" si="16"/>
        <v>816.696783048925</v>
      </c>
      <c r="G38" s="31">
        <f t="shared" si="16"/>
        <v>854.37498533575399</v>
      </c>
      <c r="H38" s="31">
        <f t="shared" si="16"/>
        <v>904.36820177716299</v>
      </c>
      <c r="I38" s="31">
        <f t="shared" si="16"/>
        <v>1466.9006826562436</v>
      </c>
      <c r="J38" s="31">
        <f t="shared" si="16"/>
        <v>1542.2011632617496</v>
      </c>
      <c r="K38" s="31">
        <f t="shared" si="16"/>
        <v>1630.502953588209</v>
      </c>
      <c r="L38" s="31">
        <f t="shared" si="16"/>
        <v>1732.0440298300412</v>
      </c>
    </row>
    <row r="39" spans="1:12" x14ac:dyDescent="0.25">
      <c r="A39" t="s">
        <v>46</v>
      </c>
      <c r="B39" s="13">
        <v>890</v>
      </c>
      <c r="C39" s="20">
        <f>'Depreciation Schedule'!C8</f>
        <v>1048.0999999999999</v>
      </c>
      <c r="D39" s="20">
        <f>'Depreciation Schedule'!D8</f>
        <v>1209.3619999999999</v>
      </c>
      <c r="E39" s="20">
        <f>'Depreciation Schedule'!E8</f>
        <v>1373.8492399999998</v>
      </c>
      <c r="F39" s="20">
        <f>'Depreciation Schedule'!F8</f>
        <v>1541.6262247999998</v>
      </c>
      <c r="G39" s="20">
        <f>'Depreciation Schedule'!G8</f>
        <v>1712.7587492959999</v>
      </c>
      <c r="H39" s="20">
        <f>'Depreciation Schedule'!H8</f>
        <v>1887.31392428192</v>
      </c>
      <c r="I39" s="20">
        <f>'Depreciation Schedule'!I8</f>
        <v>2065.3602027675583</v>
      </c>
      <c r="J39" s="20">
        <f>'Depreciation Schedule'!J8</f>
        <v>2246.9674068229097</v>
      </c>
      <c r="K39" s="20">
        <f>'Depreciation Schedule'!K8</f>
        <v>2432.206754959368</v>
      </c>
      <c r="L39" s="20">
        <f>'Depreciation Schedule'!L8</f>
        <v>2621.1508900585554</v>
      </c>
    </row>
    <row r="40" spans="1:12" x14ac:dyDescent="0.25">
      <c r="A40" t="s">
        <v>47</v>
      </c>
      <c r="B40" s="13">
        <v>-280</v>
      </c>
      <c r="C40" s="20">
        <f>-'Depreciation Schedule'!C11</f>
        <v>-344.60333333333335</v>
      </c>
      <c r="D40" s="20">
        <f>-'Depreciation Schedule'!D11</f>
        <v>-419.8520666666667</v>
      </c>
      <c r="E40" s="20">
        <f>-'Depreciation Schedule'!E11</f>
        <v>-505.95910800000001</v>
      </c>
      <c r="F40" s="20">
        <f>-'Depreciation Schedule'!F11</f>
        <v>-603.14162349333333</v>
      </c>
      <c r="G40" s="20">
        <f>-'Depreciation Schedule'!G11</f>
        <v>-711.6211226298667</v>
      </c>
      <c r="H40" s="20">
        <f>-'Depreciation Schedule'!H11</f>
        <v>-831.62354508246403</v>
      </c>
      <c r="I40" s="20">
        <f>-'Depreciation Schedule'!I11</f>
        <v>-963.37934931744667</v>
      </c>
      <c r="J40" s="20">
        <f>-'Depreciation Schedule'!J11</f>
        <v>-1107.1236029704623</v>
      </c>
      <c r="K40" s="20">
        <f>-'Depreciation Schedule'!K11</f>
        <v>-1263.0960750298716</v>
      </c>
      <c r="L40" s="20">
        <f>-'Depreciation Schedule'!L11</f>
        <v>-1431.5413298638023</v>
      </c>
    </row>
    <row r="41" spans="1:12" x14ac:dyDescent="0.25">
      <c r="A41" t="s">
        <v>48</v>
      </c>
      <c r="B41" s="19">
        <f>SUM(B39:B40)</f>
        <v>610</v>
      </c>
      <c r="C41" s="64">
        <f>'Depreciation Schedule'!C12</f>
        <v>703.49666666666656</v>
      </c>
      <c r="D41" s="64">
        <f>'Depreciation Schedule'!D12</f>
        <v>789.50993333333315</v>
      </c>
      <c r="E41" s="64">
        <f>'Depreciation Schedule'!E12</f>
        <v>867.89013199999977</v>
      </c>
      <c r="F41" s="64">
        <f>'Depreciation Schedule'!F12</f>
        <v>938.48460130666649</v>
      </c>
      <c r="G41" s="64">
        <f>'Depreciation Schedule'!G12</f>
        <v>1001.1376266661332</v>
      </c>
      <c r="H41" s="64">
        <f>'Depreciation Schedule'!H12</f>
        <v>1055.6903791994559</v>
      </c>
      <c r="I41" s="64">
        <f>'Depreciation Schedule'!I12</f>
        <v>1101.9808534501117</v>
      </c>
      <c r="J41" s="64">
        <f>'Depreciation Schedule'!J12</f>
        <v>1139.8438038524473</v>
      </c>
      <c r="K41" s="64">
        <f>'Depreciation Schedule'!K12</f>
        <v>1169.1106799294964</v>
      </c>
      <c r="L41" s="64">
        <f>'Depreciation Schedule'!L12</f>
        <v>1189.6095601947532</v>
      </c>
    </row>
    <row r="42" spans="1:12" x14ac:dyDescent="0.25">
      <c r="A42" t="s">
        <v>49</v>
      </c>
      <c r="B42" s="13">
        <v>380</v>
      </c>
      <c r="C42" s="2">
        <f>B42</f>
        <v>380</v>
      </c>
      <c r="D42" s="2">
        <f t="shared" ref="D42:L42" si="17">C42</f>
        <v>380</v>
      </c>
      <c r="E42" s="2">
        <f t="shared" si="17"/>
        <v>380</v>
      </c>
      <c r="F42" s="2">
        <f t="shared" si="17"/>
        <v>380</v>
      </c>
      <c r="G42" s="2">
        <f t="shared" si="17"/>
        <v>380</v>
      </c>
      <c r="H42" s="2">
        <f t="shared" si="17"/>
        <v>380</v>
      </c>
      <c r="I42" s="2">
        <f t="shared" si="17"/>
        <v>380</v>
      </c>
      <c r="J42" s="2">
        <f t="shared" si="17"/>
        <v>380</v>
      </c>
      <c r="K42" s="2">
        <f t="shared" si="17"/>
        <v>380</v>
      </c>
      <c r="L42" s="2">
        <f t="shared" si="17"/>
        <v>380</v>
      </c>
    </row>
    <row r="43" spans="1:12" x14ac:dyDescent="0.25">
      <c r="A43" t="s">
        <v>50</v>
      </c>
      <c r="B43" s="13">
        <v>197</v>
      </c>
      <c r="C43" s="2">
        <f>B43</f>
        <v>197</v>
      </c>
      <c r="D43" s="2">
        <f t="shared" ref="D43:L43" si="18">C43</f>
        <v>197</v>
      </c>
      <c r="E43" s="2">
        <f t="shared" si="18"/>
        <v>197</v>
      </c>
      <c r="F43" s="2">
        <f t="shared" si="18"/>
        <v>197</v>
      </c>
      <c r="G43" s="2">
        <f t="shared" si="18"/>
        <v>197</v>
      </c>
      <c r="H43" s="2">
        <f t="shared" si="18"/>
        <v>197</v>
      </c>
      <c r="I43" s="2">
        <f t="shared" si="18"/>
        <v>197</v>
      </c>
      <c r="J43" s="2">
        <f t="shared" si="18"/>
        <v>197</v>
      </c>
      <c r="K43" s="2">
        <f t="shared" si="18"/>
        <v>197</v>
      </c>
      <c r="L43" s="2">
        <f t="shared" si="18"/>
        <v>197</v>
      </c>
    </row>
    <row r="44" spans="1:12" x14ac:dyDescent="0.25">
      <c r="A44" t="s">
        <v>51</v>
      </c>
      <c r="B44" s="13">
        <v>96</v>
      </c>
      <c r="C44" s="2">
        <f>B44</f>
        <v>96</v>
      </c>
      <c r="D44" s="2">
        <f t="shared" ref="D44:L44" si="19">C44</f>
        <v>96</v>
      </c>
      <c r="E44" s="2">
        <f t="shared" si="19"/>
        <v>96</v>
      </c>
      <c r="F44" s="2">
        <f t="shared" si="19"/>
        <v>96</v>
      </c>
      <c r="G44" s="2">
        <f t="shared" si="19"/>
        <v>96</v>
      </c>
      <c r="H44" s="2">
        <f t="shared" si="19"/>
        <v>96</v>
      </c>
      <c r="I44" s="2">
        <f t="shared" si="19"/>
        <v>96</v>
      </c>
      <c r="J44" s="2">
        <f t="shared" si="19"/>
        <v>96</v>
      </c>
      <c r="K44" s="2">
        <f t="shared" si="19"/>
        <v>96</v>
      </c>
      <c r="L44" s="2">
        <f t="shared" si="19"/>
        <v>96</v>
      </c>
    </row>
    <row r="45" spans="1:12" x14ac:dyDescent="0.25">
      <c r="A45" s="53" t="s">
        <v>113</v>
      </c>
      <c r="B45" s="54">
        <f>SUM(B41:B44)</f>
        <v>1283</v>
      </c>
      <c r="C45" s="55">
        <f>SUM(C41:C44)</f>
        <v>1376.4966666666664</v>
      </c>
      <c r="D45" s="55">
        <f t="shared" ref="D45:L45" si="20">SUM(D41:D44)</f>
        <v>1462.5099333333333</v>
      </c>
      <c r="E45" s="55">
        <f t="shared" si="20"/>
        <v>1540.8901319999998</v>
      </c>
      <c r="F45" s="55">
        <f t="shared" si="20"/>
        <v>1611.4846013066665</v>
      </c>
      <c r="G45" s="55">
        <f t="shared" si="20"/>
        <v>1674.1376266661332</v>
      </c>
      <c r="H45" s="55">
        <f t="shared" si="20"/>
        <v>1728.6903791994559</v>
      </c>
      <c r="I45" s="55">
        <f t="shared" si="20"/>
        <v>1774.9808534501117</v>
      </c>
      <c r="J45" s="55">
        <f t="shared" si="20"/>
        <v>1812.8438038524473</v>
      </c>
      <c r="K45" s="55">
        <f t="shared" si="20"/>
        <v>1842.1106799294964</v>
      </c>
      <c r="L45" s="55">
        <f t="shared" si="20"/>
        <v>1862.6095601947532</v>
      </c>
    </row>
    <row r="46" spans="1:12" x14ac:dyDescent="0.25">
      <c r="A46" s="23" t="s">
        <v>52</v>
      </c>
      <c r="B46" s="28">
        <f>B38+B45</f>
        <v>2243</v>
      </c>
      <c r="C46" s="31">
        <f>C38+C45</f>
        <v>2451.8718653061223</v>
      </c>
      <c r="D46" s="31">
        <f t="shared" ref="D46:L46" si="21">D38+D45</f>
        <v>2239.9202522448977</v>
      </c>
      <c r="E46" s="31">
        <f t="shared" si="21"/>
        <v>2332.0038736979586</v>
      </c>
      <c r="F46" s="31">
        <f t="shared" si="21"/>
        <v>2428.1813843555915</v>
      </c>
      <c r="G46" s="31">
        <f t="shared" si="21"/>
        <v>2528.5126120018872</v>
      </c>
      <c r="H46" s="31">
        <f t="shared" si="21"/>
        <v>2633.0585809766189</v>
      </c>
      <c r="I46" s="31">
        <f t="shared" si="21"/>
        <v>3241.8815361063553</v>
      </c>
      <c r="J46" s="31">
        <f t="shared" si="21"/>
        <v>3355.0449671141969</v>
      </c>
      <c r="K46" s="31">
        <f t="shared" si="21"/>
        <v>3472.6136335177052</v>
      </c>
      <c r="L46" s="31">
        <f t="shared" si="21"/>
        <v>3594.6535900247945</v>
      </c>
    </row>
    <row r="47" spans="1:12" x14ac:dyDescent="0.25">
      <c r="A47" t="s">
        <v>53</v>
      </c>
      <c r="B47" s="13">
        <v>53</v>
      </c>
      <c r="C47" s="2">
        <f>-C66*C8/365</f>
        <v>54.537000000000006</v>
      </c>
      <c r="D47" s="2">
        <f t="shared" ref="D47:L47" si="22">-D66*D8/365</f>
        <v>55.627739999999996</v>
      </c>
      <c r="E47" s="2">
        <f t="shared" si="22"/>
        <v>56.740294800000008</v>
      </c>
      <c r="F47" s="2">
        <f t="shared" si="22"/>
        <v>57.87510069599999</v>
      </c>
      <c r="G47" s="2">
        <f t="shared" si="22"/>
        <v>59.032602709919999</v>
      </c>
      <c r="H47" s="2">
        <f t="shared" si="22"/>
        <v>60.21325476411841</v>
      </c>
      <c r="I47" s="2">
        <f t="shared" si="22"/>
        <v>61.417519859400763</v>
      </c>
      <c r="J47" s="2">
        <f t="shared" si="22"/>
        <v>62.645870256588793</v>
      </c>
      <c r="K47" s="2">
        <f t="shared" si="22"/>
        <v>63.898787661720569</v>
      </c>
      <c r="L47" s="2">
        <f t="shared" si="22"/>
        <v>65.176763414954976</v>
      </c>
    </row>
    <row r="48" spans="1:12" x14ac:dyDescent="0.25">
      <c r="A48" t="s">
        <v>54</v>
      </c>
      <c r="B48" s="13">
        <v>380</v>
      </c>
      <c r="C48" s="2">
        <f>C6*C67</f>
        <v>387.59999999999997</v>
      </c>
      <c r="D48" s="2">
        <f t="shared" ref="D48:L48" si="23">D6*D67</f>
        <v>395.35199999999998</v>
      </c>
      <c r="E48" s="2">
        <f t="shared" si="23"/>
        <v>403.25903999999997</v>
      </c>
      <c r="F48" s="2">
        <f t="shared" si="23"/>
        <v>411.32422079999992</v>
      </c>
      <c r="G48" s="2">
        <f t="shared" si="23"/>
        <v>419.55070521599998</v>
      </c>
      <c r="H48" s="2">
        <f t="shared" si="23"/>
        <v>427.94171932032003</v>
      </c>
      <c r="I48" s="2">
        <f t="shared" si="23"/>
        <v>436.50055370672641</v>
      </c>
      <c r="J48" s="2">
        <f t="shared" si="23"/>
        <v>445.23056478086096</v>
      </c>
      <c r="K48" s="2">
        <f t="shared" si="23"/>
        <v>454.13517607647816</v>
      </c>
      <c r="L48" s="2">
        <f t="shared" si="23"/>
        <v>463.21787959800776</v>
      </c>
    </row>
    <row r="49" spans="1:12" x14ac:dyDescent="0.25">
      <c r="A49" t="s">
        <v>55</v>
      </c>
      <c r="B49" s="13">
        <v>5</v>
      </c>
      <c r="C49" s="2">
        <f>-C68*C16</f>
        <v>4.4687653061224477</v>
      </c>
      <c r="D49" s="2">
        <f t="shared" ref="D49:L49" si="24">-D68*D16</f>
        <v>4.6058622448979607</v>
      </c>
      <c r="E49" s="2">
        <f t="shared" si="24"/>
        <v>4.7448898979591849</v>
      </c>
      <c r="F49" s="2">
        <f t="shared" si="24"/>
        <v>4.885886879591836</v>
      </c>
      <c r="G49" s="2">
        <f t="shared" si="24"/>
        <v>5.0288925763673458</v>
      </c>
      <c r="H49" s="2">
        <f t="shared" si="24"/>
        <v>5.1739471625885738</v>
      </c>
      <c r="I49" s="2">
        <f t="shared" si="24"/>
        <v>5.3210916160444244</v>
      </c>
      <c r="J49" s="2">
        <f t="shared" si="24"/>
        <v>5.4703677340795975</v>
      </c>
      <c r="K49" s="2">
        <f t="shared" si="24"/>
        <v>5.6218181499856801</v>
      </c>
      <c r="L49" s="2">
        <f t="shared" si="24"/>
        <v>5.7754863497200901</v>
      </c>
    </row>
    <row r="50" spans="1:12" x14ac:dyDescent="0.25">
      <c r="A50" t="s">
        <v>56</v>
      </c>
      <c r="B50" s="13">
        <v>190</v>
      </c>
      <c r="C50" s="2">
        <f>C6*C69</f>
        <v>193.79999999999998</v>
      </c>
      <c r="D50" s="2">
        <f t="shared" ref="D50:L50" si="25">D6*D69</f>
        <v>197.67599999999999</v>
      </c>
      <c r="E50" s="2">
        <f t="shared" si="25"/>
        <v>201.62951999999999</v>
      </c>
      <c r="F50" s="2">
        <f t="shared" si="25"/>
        <v>205.66211039999996</v>
      </c>
      <c r="G50" s="2">
        <f t="shared" si="25"/>
        <v>209.77535260799999</v>
      </c>
      <c r="H50" s="2">
        <f t="shared" si="25"/>
        <v>213.97085966016002</v>
      </c>
      <c r="I50" s="2">
        <f t="shared" si="25"/>
        <v>218.2502768533632</v>
      </c>
      <c r="J50" s="2">
        <f t="shared" si="25"/>
        <v>222.61528239043048</v>
      </c>
      <c r="K50" s="2">
        <f t="shared" si="25"/>
        <v>227.06758803823908</v>
      </c>
      <c r="L50" s="2">
        <f t="shared" si="25"/>
        <v>231.60893979900388</v>
      </c>
    </row>
    <row r="51" spans="1:12" x14ac:dyDescent="0.25">
      <c r="A51" s="10" t="s">
        <v>57</v>
      </c>
      <c r="B51" s="28">
        <f>SUM(B47:B50)</f>
        <v>628</v>
      </c>
      <c r="C51" s="31">
        <f>SUM(C47:C50)</f>
        <v>640.40576530612236</v>
      </c>
      <c r="D51" s="31">
        <f t="shared" ref="D51:L51" si="26">SUM(D47:D50)</f>
        <v>653.26160224489786</v>
      </c>
      <c r="E51" s="31">
        <f t="shared" si="26"/>
        <v>666.37374469795918</v>
      </c>
      <c r="F51" s="31">
        <f t="shared" si="26"/>
        <v>679.74731877559179</v>
      </c>
      <c r="G51" s="31">
        <f t="shared" si="26"/>
        <v>693.3875531102874</v>
      </c>
      <c r="H51" s="31">
        <f t="shared" si="26"/>
        <v>707.29978090718703</v>
      </c>
      <c r="I51" s="31">
        <f t="shared" si="26"/>
        <v>721.48944203553481</v>
      </c>
      <c r="J51" s="31">
        <f t="shared" si="26"/>
        <v>735.96208516195986</v>
      </c>
      <c r="K51" s="31">
        <f t="shared" si="26"/>
        <v>750.7233699264234</v>
      </c>
      <c r="L51" s="31">
        <f t="shared" si="26"/>
        <v>765.77906916168672</v>
      </c>
    </row>
    <row r="52" spans="1:12" x14ac:dyDescent="0.25">
      <c r="A52" t="s">
        <v>58</v>
      </c>
      <c r="B52" s="13">
        <v>800</v>
      </c>
      <c r="C52" s="20">
        <f>'Debt Schedule'!C9</f>
        <v>750</v>
      </c>
      <c r="D52" s="20">
        <f>'Debt Schedule'!D9</f>
        <v>700</v>
      </c>
      <c r="E52" s="20">
        <f>'Debt Schedule'!E9</f>
        <v>650</v>
      </c>
      <c r="F52" s="20">
        <f>'Debt Schedule'!F9</f>
        <v>600</v>
      </c>
      <c r="G52" s="20">
        <f>'Debt Schedule'!G9</f>
        <v>550</v>
      </c>
      <c r="H52" s="20">
        <f>'Debt Schedule'!H9</f>
        <v>500</v>
      </c>
      <c r="I52" s="20">
        <f>'Debt Schedule'!I9</f>
        <v>450</v>
      </c>
      <c r="J52" s="20">
        <f>'Debt Schedule'!J9</f>
        <v>400</v>
      </c>
      <c r="K52" s="20">
        <f>'Debt Schedule'!K9</f>
        <v>350</v>
      </c>
      <c r="L52" s="20">
        <f>'Debt Schedule'!L9</f>
        <v>300</v>
      </c>
    </row>
    <row r="53" spans="1:12" x14ac:dyDescent="0.25">
      <c r="A53" t="s">
        <v>60</v>
      </c>
      <c r="B53" s="13">
        <v>400</v>
      </c>
      <c r="C53" s="2">
        <f>B53</f>
        <v>400</v>
      </c>
      <c r="D53" s="2">
        <f t="shared" ref="D53:L53" si="27">C53</f>
        <v>400</v>
      </c>
      <c r="E53" s="2">
        <f t="shared" si="27"/>
        <v>400</v>
      </c>
      <c r="F53" s="2">
        <f t="shared" si="27"/>
        <v>400</v>
      </c>
      <c r="G53" s="2">
        <f t="shared" si="27"/>
        <v>400</v>
      </c>
      <c r="H53" s="2">
        <f t="shared" si="27"/>
        <v>400</v>
      </c>
      <c r="I53" s="2">
        <f t="shared" si="27"/>
        <v>400</v>
      </c>
      <c r="J53" s="2">
        <f t="shared" si="27"/>
        <v>400</v>
      </c>
      <c r="K53" s="2">
        <f t="shared" si="27"/>
        <v>400</v>
      </c>
      <c r="L53" s="2">
        <f t="shared" si="27"/>
        <v>400</v>
      </c>
    </row>
    <row r="54" spans="1:12" x14ac:dyDescent="0.25">
      <c r="A54" s="53" t="s">
        <v>114</v>
      </c>
      <c r="B54" s="54">
        <f>SUM(B52:B53)</f>
        <v>1200</v>
      </c>
      <c r="C54" s="56">
        <f>SUM(C52:C53)</f>
        <v>1150</v>
      </c>
      <c r="D54" s="56">
        <f t="shared" ref="D54:L54" si="28">SUM(D52:D53)</f>
        <v>1100</v>
      </c>
      <c r="E54" s="56">
        <f t="shared" si="28"/>
        <v>1050</v>
      </c>
      <c r="F54" s="56">
        <f t="shared" si="28"/>
        <v>1000</v>
      </c>
      <c r="G54" s="56">
        <f t="shared" si="28"/>
        <v>950</v>
      </c>
      <c r="H54" s="56">
        <f t="shared" si="28"/>
        <v>900</v>
      </c>
      <c r="I54" s="56">
        <f t="shared" si="28"/>
        <v>850</v>
      </c>
      <c r="J54" s="56">
        <f t="shared" si="28"/>
        <v>800</v>
      </c>
      <c r="K54" s="56">
        <f t="shared" si="28"/>
        <v>750</v>
      </c>
      <c r="L54" s="56">
        <f t="shared" si="28"/>
        <v>700</v>
      </c>
    </row>
    <row r="55" spans="1:12" x14ac:dyDescent="0.25">
      <c r="A55" s="10" t="s">
        <v>59</v>
      </c>
      <c r="B55" s="28">
        <f>B51+B54</f>
        <v>1828</v>
      </c>
      <c r="C55" s="31">
        <f>C51+C54</f>
        <v>1790.4057653061222</v>
      </c>
      <c r="D55" s="31">
        <f t="shared" ref="D55:L55" si="29">D51+D54</f>
        <v>1753.2616022448979</v>
      </c>
      <c r="E55" s="31">
        <f t="shared" si="29"/>
        <v>1716.3737446979592</v>
      </c>
      <c r="F55" s="31">
        <f t="shared" si="29"/>
        <v>1679.7473187755918</v>
      </c>
      <c r="G55" s="31">
        <f t="shared" si="29"/>
        <v>1643.3875531102874</v>
      </c>
      <c r="H55" s="31">
        <f t="shared" si="29"/>
        <v>1607.2997809071871</v>
      </c>
      <c r="I55" s="31">
        <f t="shared" si="29"/>
        <v>1571.4894420355349</v>
      </c>
      <c r="J55" s="31">
        <f t="shared" si="29"/>
        <v>1535.9620851619597</v>
      </c>
      <c r="K55" s="31">
        <f t="shared" si="29"/>
        <v>1500.7233699264234</v>
      </c>
      <c r="L55" s="31">
        <f t="shared" si="29"/>
        <v>1465.7790691616867</v>
      </c>
    </row>
    <row r="56" spans="1:12" x14ac:dyDescent="0.25">
      <c r="A56" t="s">
        <v>62</v>
      </c>
      <c r="B56" s="13">
        <v>450</v>
      </c>
      <c r="C56" s="2">
        <f>'Stockholder''s Equity'!C9</f>
        <v>575</v>
      </c>
      <c r="D56" s="2">
        <f>'Stockholder''s Equity'!D9</f>
        <v>275</v>
      </c>
      <c r="E56" s="2">
        <f>'Stockholder''s Equity'!E9</f>
        <v>275</v>
      </c>
      <c r="F56" s="2">
        <f>'Stockholder''s Equity'!F9</f>
        <v>275</v>
      </c>
      <c r="G56" s="2">
        <f>'Stockholder''s Equity'!G9</f>
        <v>275</v>
      </c>
      <c r="H56" s="2">
        <f>'Stockholder''s Equity'!H9</f>
        <v>275</v>
      </c>
      <c r="I56" s="2">
        <f>'Stockholder''s Equity'!I9</f>
        <v>775</v>
      </c>
      <c r="J56" s="2">
        <f>'Stockholder''s Equity'!J9</f>
        <v>775</v>
      </c>
      <c r="K56" s="2">
        <f>'Stockholder''s Equity'!K9</f>
        <v>775</v>
      </c>
      <c r="L56" s="2">
        <f>'Stockholder''s Equity'!L9</f>
        <v>775</v>
      </c>
    </row>
    <row r="57" spans="1:12" x14ac:dyDescent="0.25">
      <c r="A57" t="s">
        <v>63</v>
      </c>
      <c r="B57" s="13">
        <v>-35</v>
      </c>
      <c r="C57" s="2">
        <f>B57+C17+C100</f>
        <v>86.466099999999955</v>
      </c>
      <c r="D57" s="2">
        <f t="shared" ref="D57:L57" si="30">C57+D17+D100</f>
        <v>211.65864999999997</v>
      </c>
      <c r="E57" s="2">
        <f t="shared" si="30"/>
        <v>340.63012900000001</v>
      </c>
      <c r="F57" s="2">
        <f t="shared" si="30"/>
        <v>473.43406557999998</v>
      </c>
      <c r="G57" s="2">
        <f t="shared" si="30"/>
        <v>610.12505889159991</v>
      </c>
      <c r="H57" s="2">
        <f t="shared" si="30"/>
        <v>750.75880006943203</v>
      </c>
      <c r="I57" s="2">
        <f t="shared" si="30"/>
        <v>895.3920940708208</v>
      </c>
      <c r="J57" s="2">
        <f t="shared" si="30"/>
        <v>1044.0828819522371</v>
      </c>
      <c r="K57" s="2">
        <f t="shared" si="30"/>
        <v>1196.8902635912818</v>
      </c>
      <c r="L57" s="2">
        <f t="shared" si="30"/>
        <v>1353.8745208631074</v>
      </c>
    </row>
    <row r="58" spans="1:12" x14ac:dyDescent="0.25">
      <c r="A58" s="10" t="s">
        <v>64</v>
      </c>
      <c r="B58" s="28">
        <f>SUM(B56:B57)</f>
        <v>415</v>
      </c>
      <c r="C58" s="25">
        <f>SUM(C56:C57)</f>
        <v>661.46609999999998</v>
      </c>
      <c r="D58" s="25">
        <f t="shared" ref="D58:L58" si="31">SUM(D56:D57)</f>
        <v>486.65864999999997</v>
      </c>
      <c r="E58" s="25">
        <f t="shared" si="31"/>
        <v>615.63012900000001</v>
      </c>
      <c r="F58" s="25">
        <f t="shared" si="31"/>
        <v>748.43406557999992</v>
      </c>
      <c r="G58" s="25">
        <f t="shared" si="31"/>
        <v>885.12505889159991</v>
      </c>
      <c r="H58" s="25">
        <f t="shared" si="31"/>
        <v>1025.758800069432</v>
      </c>
      <c r="I58" s="25">
        <f t="shared" si="31"/>
        <v>1670.3920940708208</v>
      </c>
      <c r="J58" s="25">
        <f t="shared" si="31"/>
        <v>1819.0828819522371</v>
      </c>
      <c r="K58" s="25">
        <f t="shared" si="31"/>
        <v>1971.8902635912818</v>
      </c>
      <c r="L58" s="25">
        <f t="shared" si="31"/>
        <v>2128.8745208631071</v>
      </c>
    </row>
    <row r="59" spans="1:12" x14ac:dyDescent="0.25">
      <c r="A59" s="23" t="s">
        <v>65</v>
      </c>
      <c r="B59" s="28">
        <f>B55+B58</f>
        <v>2243</v>
      </c>
      <c r="C59" s="25">
        <f>C55+C58</f>
        <v>2451.8718653061223</v>
      </c>
      <c r="D59" s="25">
        <f t="shared" ref="D59:L59" si="32">D55+D58</f>
        <v>2239.9202522448977</v>
      </c>
      <c r="E59" s="25">
        <f t="shared" si="32"/>
        <v>2332.0038736979591</v>
      </c>
      <c r="F59" s="25">
        <f t="shared" si="32"/>
        <v>2428.1813843555919</v>
      </c>
      <c r="G59" s="25">
        <f t="shared" si="32"/>
        <v>2528.5126120018872</v>
      </c>
      <c r="H59" s="25">
        <f t="shared" si="32"/>
        <v>2633.0585809766189</v>
      </c>
      <c r="I59" s="25">
        <f t="shared" si="32"/>
        <v>3241.8815361063557</v>
      </c>
      <c r="J59" s="25">
        <f t="shared" si="32"/>
        <v>3355.0449671141969</v>
      </c>
      <c r="K59" s="25">
        <f t="shared" si="32"/>
        <v>3472.6136335177052</v>
      </c>
      <c r="L59" s="25">
        <f t="shared" si="32"/>
        <v>3594.6535900247936</v>
      </c>
    </row>
    <row r="60" spans="1:12" x14ac:dyDescent="0.25">
      <c r="A60" s="27" t="s">
        <v>66</v>
      </c>
      <c r="B60" s="29" t="str">
        <f>IF(B46-B59=0,"TRUE",B59-B46)</f>
        <v>TRUE</v>
      </c>
      <c r="C60" s="35" t="str">
        <f t="shared" ref="C60:L60" si="33">IF(ROUND(C46-C59,0)=0,"TRUE",C59-C46)</f>
        <v>TRUE</v>
      </c>
      <c r="D60" s="35" t="str">
        <f t="shared" si="33"/>
        <v>TRUE</v>
      </c>
      <c r="E60" s="35" t="str">
        <f t="shared" si="33"/>
        <v>TRUE</v>
      </c>
      <c r="F60" s="35" t="str">
        <f t="shared" si="33"/>
        <v>TRUE</v>
      </c>
      <c r="G60" s="35" t="str">
        <f t="shared" si="33"/>
        <v>TRUE</v>
      </c>
      <c r="H60" s="35" t="str">
        <f t="shared" si="33"/>
        <v>TRUE</v>
      </c>
      <c r="I60" s="35" t="str">
        <f t="shared" si="33"/>
        <v>TRUE</v>
      </c>
      <c r="J60" s="35" t="str">
        <f t="shared" si="33"/>
        <v>TRUE</v>
      </c>
      <c r="K60" s="35" t="str">
        <f t="shared" si="33"/>
        <v>TRUE</v>
      </c>
      <c r="L60" s="35" t="str">
        <f t="shared" si="33"/>
        <v>TRUE</v>
      </c>
    </row>
    <row r="62" spans="1:12" x14ac:dyDescent="0.25">
      <c r="A62" s="1" t="s">
        <v>67</v>
      </c>
    </row>
    <row r="63" spans="1:12" x14ac:dyDescent="0.25">
      <c r="A63" s="68" t="s">
        <v>150</v>
      </c>
      <c r="B63" s="69">
        <f>B35/B6*365</f>
        <v>67.785714285714292</v>
      </c>
      <c r="C63" s="52">
        <f>B63</f>
        <v>67.785714285714292</v>
      </c>
      <c r="D63" s="52">
        <f t="shared" ref="D63:L63" si="34">C63</f>
        <v>67.785714285714292</v>
      </c>
      <c r="E63" s="52">
        <f t="shared" si="34"/>
        <v>67.785714285714292</v>
      </c>
      <c r="F63" s="52">
        <f t="shared" si="34"/>
        <v>67.785714285714292</v>
      </c>
      <c r="G63" s="52">
        <f t="shared" si="34"/>
        <v>67.785714285714292</v>
      </c>
      <c r="H63" s="52">
        <f t="shared" si="34"/>
        <v>67.785714285714292</v>
      </c>
      <c r="I63" s="52">
        <f t="shared" si="34"/>
        <v>67.785714285714292</v>
      </c>
      <c r="J63" s="52">
        <f t="shared" si="34"/>
        <v>67.785714285714292</v>
      </c>
      <c r="K63" s="52">
        <f t="shared" si="34"/>
        <v>67.785714285714292</v>
      </c>
      <c r="L63" s="52">
        <f t="shared" si="34"/>
        <v>67.785714285714292</v>
      </c>
    </row>
    <row r="64" spans="1:12" x14ac:dyDescent="0.25">
      <c r="A64" s="68" t="s">
        <v>151</v>
      </c>
      <c r="B64" s="69">
        <f>-B36/B8*365</f>
        <v>182.5</v>
      </c>
      <c r="C64" s="52">
        <f t="shared" ref="C64:L69" si="35">B64</f>
        <v>182.5</v>
      </c>
      <c r="D64" s="52">
        <f t="shared" si="35"/>
        <v>182.5</v>
      </c>
      <c r="E64" s="52">
        <f t="shared" si="35"/>
        <v>182.5</v>
      </c>
      <c r="F64" s="52">
        <f t="shared" si="35"/>
        <v>182.5</v>
      </c>
      <c r="G64" s="52">
        <f t="shared" si="35"/>
        <v>182.5</v>
      </c>
      <c r="H64" s="52">
        <f t="shared" si="35"/>
        <v>182.5</v>
      </c>
      <c r="I64" s="52">
        <f t="shared" si="35"/>
        <v>182.5</v>
      </c>
      <c r="J64" s="52">
        <f t="shared" si="35"/>
        <v>182.5</v>
      </c>
      <c r="K64" s="52">
        <f t="shared" si="35"/>
        <v>182.5</v>
      </c>
      <c r="L64" s="52">
        <f t="shared" si="35"/>
        <v>182.5</v>
      </c>
    </row>
    <row r="65" spans="1:12" x14ac:dyDescent="0.25">
      <c r="A65" t="s">
        <v>68</v>
      </c>
      <c r="B65" s="30">
        <f>B37/B6</f>
        <v>0.17142857142857143</v>
      </c>
      <c r="C65" s="70">
        <f t="shared" si="35"/>
        <v>0.17142857142857143</v>
      </c>
      <c r="D65" s="70">
        <f t="shared" si="35"/>
        <v>0.17142857142857143</v>
      </c>
      <c r="E65" s="70">
        <f t="shared" si="35"/>
        <v>0.17142857142857143</v>
      </c>
      <c r="F65" s="70">
        <f t="shared" si="35"/>
        <v>0.17142857142857143</v>
      </c>
      <c r="G65" s="70">
        <f t="shared" si="35"/>
        <v>0.17142857142857143</v>
      </c>
      <c r="H65" s="70">
        <f t="shared" si="35"/>
        <v>0.17142857142857143</v>
      </c>
      <c r="I65" s="70">
        <f t="shared" si="35"/>
        <v>0.17142857142857143</v>
      </c>
      <c r="J65" s="70">
        <f t="shared" si="35"/>
        <v>0.17142857142857143</v>
      </c>
      <c r="K65" s="70">
        <f t="shared" si="35"/>
        <v>0.17142857142857143</v>
      </c>
      <c r="L65" s="70">
        <f t="shared" si="35"/>
        <v>0.17142857142857143</v>
      </c>
    </row>
    <row r="66" spans="1:12" x14ac:dyDescent="0.25">
      <c r="A66" s="68" t="s">
        <v>152</v>
      </c>
      <c r="B66" s="69">
        <f>-B47/B8*365</f>
        <v>56.897058823529413</v>
      </c>
      <c r="C66" s="52">
        <f t="shared" si="35"/>
        <v>56.897058823529413</v>
      </c>
      <c r="D66" s="52">
        <f t="shared" si="35"/>
        <v>56.897058823529413</v>
      </c>
      <c r="E66" s="52">
        <f t="shared" si="35"/>
        <v>56.897058823529413</v>
      </c>
      <c r="F66" s="52">
        <f t="shared" si="35"/>
        <v>56.897058823529413</v>
      </c>
      <c r="G66" s="52">
        <f t="shared" si="35"/>
        <v>56.897058823529413</v>
      </c>
      <c r="H66" s="52">
        <f t="shared" si="35"/>
        <v>56.897058823529413</v>
      </c>
      <c r="I66" s="52">
        <f t="shared" si="35"/>
        <v>56.897058823529413</v>
      </c>
      <c r="J66" s="52">
        <f t="shared" si="35"/>
        <v>56.897058823529413</v>
      </c>
      <c r="K66" s="52">
        <f t="shared" si="35"/>
        <v>56.897058823529413</v>
      </c>
      <c r="L66" s="52">
        <f t="shared" si="35"/>
        <v>56.897058823529413</v>
      </c>
    </row>
    <row r="67" spans="1:12" x14ac:dyDescent="0.25">
      <c r="A67" t="s">
        <v>69</v>
      </c>
      <c r="B67" s="30">
        <f>B48/B6</f>
        <v>0.27142857142857141</v>
      </c>
      <c r="C67" s="70">
        <f t="shared" si="35"/>
        <v>0.27142857142857141</v>
      </c>
      <c r="D67" s="70">
        <f t="shared" si="35"/>
        <v>0.27142857142857141</v>
      </c>
      <c r="E67" s="70">
        <f t="shared" si="35"/>
        <v>0.27142857142857141</v>
      </c>
      <c r="F67" s="70">
        <f t="shared" si="35"/>
        <v>0.27142857142857141</v>
      </c>
      <c r="G67" s="70">
        <f t="shared" si="35"/>
        <v>0.27142857142857141</v>
      </c>
      <c r="H67" s="70">
        <f t="shared" si="35"/>
        <v>0.27142857142857141</v>
      </c>
      <c r="I67" s="70">
        <f t="shared" si="35"/>
        <v>0.27142857142857141</v>
      </c>
      <c r="J67" s="70">
        <f t="shared" si="35"/>
        <v>0.27142857142857141</v>
      </c>
      <c r="K67" s="70">
        <f t="shared" si="35"/>
        <v>0.27142857142857141</v>
      </c>
      <c r="L67" s="70">
        <f t="shared" si="35"/>
        <v>0.27142857142857141</v>
      </c>
    </row>
    <row r="68" spans="1:12" x14ac:dyDescent="0.25">
      <c r="A68" t="s">
        <v>70</v>
      </c>
      <c r="B68" s="30">
        <f>-B49/B16</f>
        <v>5.1020408163265307E-2</v>
      </c>
      <c r="C68" s="70">
        <f t="shared" si="35"/>
        <v>5.1020408163265307E-2</v>
      </c>
      <c r="D68" s="70">
        <f t="shared" si="35"/>
        <v>5.1020408163265307E-2</v>
      </c>
      <c r="E68" s="70">
        <f t="shared" si="35"/>
        <v>5.1020408163265307E-2</v>
      </c>
      <c r="F68" s="70">
        <f t="shared" si="35"/>
        <v>5.1020408163265307E-2</v>
      </c>
      <c r="G68" s="70">
        <f t="shared" si="35"/>
        <v>5.1020408163265307E-2</v>
      </c>
      <c r="H68" s="70">
        <f t="shared" si="35"/>
        <v>5.1020408163265307E-2</v>
      </c>
      <c r="I68" s="70">
        <f t="shared" si="35"/>
        <v>5.1020408163265307E-2</v>
      </c>
      <c r="J68" s="70">
        <f t="shared" si="35"/>
        <v>5.1020408163265307E-2</v>
      </c>
      <c r="K68" s="70">
        <f t="shared" si="35"/>
        <v>5.1020408163265307E-2</v>
      </c>
      <c r="L68" s="70">
        <f t="shared" si="35"/>
        <v>5.1020408163265307E-2</v>
      </c>
    </row>
    <row r="69" spans="1:12" x14ac:dyDescent="0.25">
      <c r="A69" t="s">
        <v>71</v>
      </c>
      <c r="B69" s="30">
        <f>B50/B6</f>
        <v>0.1357142857142857</v>
      </c>
      <c r="C69" s="70">
        <f t="shared" si="35"/>
        <v>0.1357142857142857</v>
      </c>
      <c r="D69" s="70">
        <f t="shared" si="35"/>
        <v>0.1357142857142857</v>
      </c>
      <c r="E69" s="70">
        <f t="shared" si="35"/>
        <v>0.1357142857142857</v>
      </c>
      <c r="F69" s="70">
        <f t="shared" si="35"/>
        <v>0.1357142857142857</v>
      </c>
      <c r="G69" s="70">
        <f t="shared" si="35"/>
        <v>0.1357142857142857</v>
      </c>
      <c r="H69" s="70">
        <f t="shared" si="35"/>
        <v>0.1357142857142857</v>
      </c>
      <c r="I69" s="70">
        <f t="shared" si="35"/>
        <v>0.1357142857142857</v>
      </c>
      <c r="J69" s="70">
        <f t="shared" si="35"/>
        <v>0.1357142857142857</v>
      </c>
      <c r="K69" s="70">
        <f t="shared" si="35"/>
        <v>0.1357142857142857</v>
      </c>
      <c r="L69" s="70">
        <f t="shared" si="35"/>
        <v>0.1357142857142857</v>
      </c>
    </row>
    <row r="72" spans="1:12" x14ac:dyDescent="0.25">
      <c r="A72" s="1" t="s">
        <v>72</v>
      </c>
    </row>
    <row r="73" spans="1:12" x14ac:dyDescent="0.25">
      <c r="A73" s="7" t="s">
        <v>8</v>
      </c>
      <c r="B73" s="12" t="s">
        <v>98</v>
      </c>
      <c r="C73" s="62" t="s">
        <v>1</v>
      </c>
      <c r="D73" s="62" t="s">
        <v>2</v>
      </c>
      <c r="E73" s="62" t="s">
        <v>3</v>
      </c>
      <c r="F73" s="62" t="s">
        <v>4</v>
      </c>
      <c r="G73" s="62" t="s">
        <v>5</v>
      </c>
      <c r="H73" s="62" t="s">
        <v>6</v>
      </c>
      <c r="I73" s="62" t="s">
        <v>7</v>
      </c>
      <c r="J73" s="62" t="s">
        <v>99</v>
      </c>
      <c r="K73" s="62" t="s">
        <v>100</v>
      </c>
      <c r="L73" s="62" t="s">
        <v>101</v>
      </c>
    </row>
    <row r="75" spans="1:12" x14ac:dyDescent="0.25">
      <c r="A75" s="1" t="s">
        <v>73</v>
      </c>
      <c r="C75" s="2"/>
    </row>
    <row r="76" spans="1:12" x14ac:dyDescent="0.25">
      <c r="A76" t="s">
        <v>19</v>
      </c>
      <c r="C76" s="20">
        <f>C17</f>
        <v>242.93219999999991</v>
      </c>
      <c r="D76" s="20">
        <f t="shared" ref="D76:L76" si="36">D17</f>
        <v>250.38510000000005</v>
      </c>
      <c r="E76" s="20">
        <f t="shared" si="36"/>
        <v>257.94295800000003</v>
      </c>
      <c r="F76" s="20">
        <f t="shared" si="36"/>
        <v>265.60787315999994</v>
      </c>
      <c r="G76" s="20">
        <f t="shared" si="36"/>
        <v>273.38198662319996</v>
      </c>
      <c r="H76" s="20">
        <f t="shared" si="36"/>
        <v>281.26748235566407</v>
      </c>
      <c r="I76" s="20">
        <f t="shared" si="36"/>
        <v>289.26658800277721</v>
      </c>
      <c r="J76" s="20">
        <f t="shared" si="36"/>
        <v>297.38157576283277</v>
      </c>
      <c r="K76" s="20">
        <f t="shared" si="36"/>
        <v>305.61476327808941</v>
      </c>
      <c r="L76" s="20">
        <f t="shared" si="36"/>
        <v>313.96851454365134</v>
      </c>
    </row>
    <row r="77" spans="1:12" x14ac:dyDescent="0.25">
      <c r="A77" t="s">
        <v>22</v>
      </c>
      <c r="C77" s="20">
        <f>C22</f>
        <v>64.603333333333339</v>
      </c>
      <c r="D77" s="20">
        <f t="shared" ref="D77:L77" si="37">D22</f>
        <v>75.24873333333332</v>
      </c>
      <c r="E77" s="20">
        <f t="shared" si="37"/>
        <v>86.107041333333314</v>
      </c>
      <c r="F77" s="20">
        <f t="shared" si="37"/>
        <v>97.182515493333327</v>
      </c>
      <c r="G77" s="20">
        <f t="shared" si="37"/>
        <v>108.47949913653332</v>
      </c>
      <c r="H77" s="20">
        <f t="shared" si="37"/>
        <v>120.00242245259733</v>
      </c>
      <c r="I77" s="20">
        <f t="shared" si="37"/>
        <v>131.75580423498261</v>
      </c>
      <c r="J77" s="20">
        <f t="shared" si="37"/>
        <v>143.74425365301559</v>
      </c>
      <c r="K77" s="20">
        <f t="shared" si="37"/>
        <v>155.97247205940926</v>
      </c>
      <c r="L77" s="20">
        <f t="shared" si="37"/>
        <v>168.44525483393076</v>
      </c>
    </row>
    <row r="78" spans="1:12" x14ac:dyDescent="0.25">
      <c r="A78" t="s">
        <v>23</v>
      </c>
      <c r="C78" s="20"/>
      <c r="D78" s="20"/>
      <c r="E78" s="20"/>
      <c r="F78" s="20"/>
      <c r="G78" s="20"/>
      <c r="H78" s="20"/>
      <c r="I78" s="20"/>
      <c r="J78" s="20"/>
      <c r="K78" s="20"/>
      <c r="L78" s="20"/>
    </row>
    <row r="79" spans="1:12" x14ac:dyDescent="0.25">
      <c r="A79" s="10" t="s">
        <v>74</v>
      </c>
      <c r="B79" s="18"/>
      <c r="C79" s="31">
        <f>SUM(C76:C78)</f>
        <v>307.53553333333326</v>
      </c>
      <c r="D79" s="31">
        <f t="shared" ref="D79:L79" si="38">SUM(D76:D78)</f>
        <v>325.63383333333337</v>
      </c>
      <c r="E79" s="31">
        <f t="shared" si="38"/>
        <v>344.04999933333335</v>
      </c>
      <c r="F79" s="31">
        <f t="shared" si="38"/>
        <v>362.79038865333325</v>
      </c>
      <c r="G79" s="31">
        <f t="shared" si="38"/>
        <v>381.86148575973328</v>
      </c>
      <c r="H79" s="31">
        <f t="shared" si="38"/>
        <v>401.2699048082614</v>
      </c>
      <c r="I79" s="31">
        <f t="shared" si="38"/>
        <v>421.02239223775985</v>
      </c>
      <c r="J79" s="31">
        <f t="shared" si="38"/>
        <v>441.12582941584833</v>
      </c>
      <c r="K79" s="31">
        <f t="shared" si="38"/>
        <v>461.58723533749867</v>
      </c>
      <c r="L79" s="31">
        <f t="shared" si="38"/>
        <v>482.41376937758207</v>
      </c>
    </row>
    <row r="80" spans="1:12" x14ac:dyDescent="0.25">
      <c r="A80" t="s">
        <v>75</v>
      </c>
      <c r="C80" s="20">
        <f>B35-C35</f>
        <v>-5.2000000000000455</v>
      </c>
      <c r="D80" s="20">
        <f t="shared" ref="D80:L80" si="39">C35-D35</f>
        <v>-5.3039999999999736</v>
      </c>
      <c r="E80" s="20">
        <f t="shared" si="39"/>
        <v>-5.4100799999999936</v>
      </c>
      <c r="F80" s="20">
        <f t="shared" si="39"/>
        <v>-5.5182815999999661</v>
      </c>
      <c r="G80" s="20">
        <f t="shared" si="39"/>
        <v>-5.6286472320000485</v>
      </c>
      <c r="H80" s="20">
        <f t="shared" si="39"/>
        <v>-5.7412201766400131</v>
      </c>
      <c r="I80" s="20">
        <f t="shared" si="39"/>
        <v>-5.8560445801728065</v>
      </c>
      <c r="J80" s="20">
        <f t="shared" si="39"/>
        <v>-5.9731654717762694</v>
      </c>
      <c r="K80" s="20">
        <f t="shared" si="39"/>
        <v>-6.0926287812117721</v>
      </c>
      <c r="L80" s="20">
        <f t="shared" si="39"/>
        <v>-6.2144813568360178</v>
      </c>
    </row>
    <row r="81" spans="1:12" x14ac:dyDescent="0.25">
      <c r="A81" t="s">
        <v>76</v>
      </c>
      <c r="C81" s="20">
        <f>B36-C36</f>
        <v>-4.9300000000000068</v>
      </c>
      <c r="D81" s="20">
        <f t="shared" ref="D81:L81" si="40">C36-D36</f>
        <v>-3.4985999999999819</v>
      </c>
      <c r="E81" s="20">
        <f t="shared" si="40"/>
        <v>-3.5685720000000174</v>
      </c>
      <c r="F81" s="20">
        <f t="shared" si="40"/>
        <v>-3.6399434399999677</v>
      </c>
      <c r="G81" s="20">
        <f t="shared" si="40"/>
        <v>-3.7127423088000171</v>
      </c>
      <c r="H81" s="20">
        <f t="shared" si="40"/>
        <v>-3.7869971549760351</v>
      </c>
      <c r="I81" s="20">
        <f t="shared" si="40"/>
        <v>-3.8627370980754847</v>
      </c>
      <c r="J81" s="20">
        <f t="shared" si="40"/>
        <v>-3.9399918400370666</v>
      </c>
      <c r="K81" s="20">
        <f t="shared" si="40"/>
        <v>-4.0187916768377363</v>
      </c>
      <c r="L81" s="20">
        <f t="shared" si="40"/>
        <v>-4.0991675103745706</v>
      </c>
    </row>
    <row r="82" spans="1:12" x14ac:dyDescent="0.25">
      <c r="A82" t="s">
        <v>77</v>
      </c>
      <c r="C82" s="20">
        <f>B37-C37</f>
        <v>-4.8000000000000114</v>
      </c>
      <c r="D82" s="20">
        <f t="shared" ref="D82:L82" si="41">C37-D37</f>
        <v>-4.8959999999999866</v>
      </c>
      <c r="E82" s="20">
        <f t="shared" si="41"/>
        <v>-4.9939200000000028</v>
      </c>
      <c r="F82" s="20">
        <f t="shared" si="41"/>
        <v>-5.0937983999999972</v>
      </c>
      <c r="G82" s="20">
        <f t="shared" si="41"/>
        <v>-5.1956743680000272</v>
      </c>
      <c r="H82" s="20">
        <f t="shared" si="41"/>
        <v>-5.2995878553600164</v>
      </c>
      <c r="I82" s="20">
        <f t="shared" si="41"/>
        <v>-5.4055796124671929</v>
      </c>
      <c r="J82" s="20">
        <f t="shared" si="41"/>
        <v>-5.5136912047165652</v>
      </c>
      <c r="K82" s="20">
        <f t="shared" si="41"/>
        <v>-5.6239650288108578</v>
      </c>
      <c r="L82" s="20">
        <f t="shared" si="41"/>
        <v>-5.7364443293870977</v>
      </c>
    </row>
    <row r="83" spans="1:12" x14ac:dyDescent="0.25">
      <c r="A83" t="s">
        <v>78</v>
      </c>
      <c r="C83" s="20">
        <f>C47-B47</f>
        <v>1.5370000000000061</v>
      </c>
      <c r="D83" s="20">
        <f t="shared" ref="D83:L83" si="42">D47-C47</f>
        <v>1.0907399999999896</v>
      </c>
      <c r="E83" s="20">
        <f t="shared" si="42"/>
        <v>1.1125548000000123</v>
      </c>
      <c r="F83" s="20">
        <f t="shared" si="42"/>
        <v>1.1348058959999818</v>
      </c>
      <c r="G83" s="20">
        <f t="shared" si="42"/>
        <v>1.1575020139200092</v>
      </c>
      <c r="H83" s="20">
        <f t="shared" si="42"/>
        <v>1.1806520541984113</v>
      </c>
      <c r="I83" s="20">
        <f t="shared" si="42"/>
        <v>1.2042650952823521</v>
      </c>
      <c r="J83" s="20">
        <f t="shared" si="42"/>
        <v>1.2283503971880307</v>
      </c>
      <c r="K83" s="20">
        <f t="shared" si="42"/>
        <v>1.2529174051317753</v>
      </c>
      <c r="L83" s="20">
        <f t="shared" si="42"/>
        <v>1.2779757532344078</v>
      </c>
    </row>
    <row r="84" spans="1:12" x14ac:dyDescent="0.25">
      <c r="A84" t="s">
        <v>79</v>
      </c>
      <c r="C84" s="20">
        <f>C48-B48</f>
        <v>7.5999999999999659</v>
      </c>
      <c r="D84" s="20">
        <f t="shared" ref="D84:L84" si="43">D48-C48</f>
        <v>7.7520000000000095</v>
      </c>
      <c r="E84" s="20">
        <f t="shared" si="43"/>
        <v>7.907039999999995</v>
      </c>
      <c r="F84" s="20">
        <f t="shared" si="43"/>
        <v>8.0651807999999505</v>
      </c>
      <c r="G84" s="20">
        <f t="shared" si="43"/>
        <v>8.2264844160000621</v>
      </c>
      <c r="H84" s="20">
        <f t="shared" si="43"/>
        <v>8.3910141043200497</v>
      </c>
      <c r="I84" s="20">
        <f t="shared" si="43"/>
        <v>8.5588343864063745</v>
      </c>
      <c r="J84" s="20">
        <f t="shared" si="43"/>
        <v>8.730011074134552</v>
      </c>
      <c r="K84" s="20">
        <f t="shared" si="43"/>
        <v>8.904611295617201</v>
      </c>
      <c r="L84" s="20">
        <f t="shared" si="43"/>
        <v>9.082703521529595</v>
      </c>
    </row>
    <row r="85" spans="1:12" x14ac:dyDescent="0.25">
      <c r="A85" t="s">
        <v>80</v>
      </c>
      <c r="C85" s="20">
        <f t="shared" ref="C85:L86" si="44">C49-B49</f>
        <v>-0.53123469387755229</v>
      </c>
      <c r="D85" s="20">
        <f t="shared" si="44"/>
        <v>0.13709693877551299</v>
      </c>
      <c r="E85" s="20">
        <f t="shared" si="44"/>
        <v>0.13902765306122422</v>
      </c>
      <c r="F85" s="20">
        <f t="shared" si="44"/>
        <v>0.14099698163265106</v>
      </c>
      <c r="G85" s="20">
        <f t="shared" si="44"/>
        <v>0.14300569677550978</v>
      </c>
      <c r="H85" s="20">
        <f t="shared" si="44"/>
        <v>0.14505458622122802</v>
      </c>
      <c r="I85" s="20">
        <f t="shared" si="44"/>
        <v>0.14714445345585059</v>
      </c>
      <c r="J85" s="20">
        <f t="shared" si="44"/>
        <v>0.14927611803517316</v>
      </c>
      <c r="K85" s="20">
        <f t="shared" si="44"/>
        <v>0.15145041590608255</v>
      </c>
      <c r="L85" s="20">
        <f t="shared" si="44"/>
        <v>0.15366819973441004</v>
      </c>
    </row>
    <row r="86" spans="1:12" x14ac:dyDescent="0.25">
      <c r="A86" t="s">
        <v>81</v>
      </c>
      <c r="C86" s="20">
        <f t="shared" si="44"/>
        <v>3.7999999999999829</v>
      </c>
      <c r="D86" s="20">
        <f t="shared" si="44"/>
        <v>3.8760000000000048</v>
      </c>
      <c r="E86" s="20">
        <f t="shared" si="44"/>
        <v>3.9535199999999975</v>
      </c>
      <c r="F86" s="20">
        <f t="shared" si="44"/>
        <v>4.0325903999999753</v>
      </c>
      <c r="G86" s="20">
        <f t="shared" si="44"/>
        <v>4.113242208000031</v>
      </c>
      <c r="H86" s="20">
        <f t="shared" si="44"/>
        <v>4.1955070521600248</v>
      </c>
      <c r="I86" s="20">
        <f t="shared" si="44"/>
        <v>4.2794171932031873</v>
      </c>
      <c r="J86" s="20">
        <f t="shared" si="44"/>
        <v>4.365005537067276</v>
      </c>
      <c r="K86" s="20">
        <f t="shared" si="44"/>
        <v>4.4523056478086005</v>
      </c>
      <c r="L86" s="20">
        <f t="shared" si="44"/>
        <v>4.5413517607647975</v>
      </c>
    </row>
    <row r="87" spans="1:12" x14ac:dyDescent="0.25">
      <c r="A87" s="10" t="s">
        <v>82</v>
      </c>
      <c r="B87" s="18"/>
      <c r="C87" s="32">
        <f>SUM(C80:C86)</f>
        <v>-2.524234693877661</v>
      </c>
      <c r="D87" s="32">
        <f t="shared" ref="D87:L87" si="45">SUM(D80:D86)</f>
        <v>-0.84276306122442524</v>
      </c>
      <c r="E87" s="32">
        <f t="shared" si="45"/>
        <v>-0.86042954693878482</v>
      </c>
      <c r="F87" s="32">
        <f t="shared" si="45"/>
        <v>-0.87844936236737237</v>
      </c>
      <c r="G87" s="32">
        <f t="shared" si="45"/>
        <v>-0.89682957410448072</v>
      </c>
      <c r="H87" s="32">
        <f t="shared" si="45"/>
        <v>-0.91557739007635064</v>
      </c>
      <c r="I87" s="32">
        <f t="shared" si="45"/>
        <v>-0.93470016236771958</v>
      </c>
      <c r="J87" s="32">
        <f t="shared" si="45"/>
        <v>-0.95420539010486927</v>
      </c>
      <c r="K87" s="32">
        <f t="shared" si="45"/>
        <v>-0.97410072239670686</v>
      </c>
      <c r="L87" s="32">
        <f t="shared" si="45"/>
        <v>-0.99439396133447566</v>
      </c>
    </row>
    <row r="88" spans="1:12" x14ac:dyDescent="0.25">
      <c r="A88" s="10" t="s">
        <v>83</v>
      </c>
      <c r="B88" s="18"/>
      <c r="C88" s="6">
        <f>C79+C87</f>
        <v>305.01129863945562</v>
      </c>
      <c r="D88" s="6">
        <f t="shared" ref="D88:L88" si="46">D79+D87</f>
        <v>324.79107027210893</v>
      </c>
      <c r="E88" s="6">
        <f t="shared" si="46"/>
        <v>343.18956978639454</v>
      </c>
      <c r="F88" s="6">
        <f t="shared" si="46"/>
        <v>361.9119392909659</v>
      </c>
      <c r="G88" s="6">
        <f t="shared" si="46"/>
        <v>380.96465618562883</v>
      </c>
      <c r="H88" s="6">
        <f t="shared" si="46"/>
        <v>400.35432741818505</v>
      </c>
      <c r="I88" s="6">
        <f t="shared" si="46"/>
        <v>420.08769207539211</v>
      </c>
      <c r="J88" s="6">
        <f t="shared" si="46"/>
        <v>440.17162402574348</v>
      </c>
      <c r="K88" s="6">
        <f t="shared" si="46"/>
        <v>460.61313461510196</v>
      </c>
      <c r="L88" s="6">
        <f t="shared" si="46"/>
        <v>481.41937541624759</v>
      </c>
    </row>
    <row r="89" spans="1:12" x14ac:dyDescent="0.25">
      <c r="C89" s="2" t="s">
        <v>153</v>
      </c>
      <c r="D89" s="2"/>
      <c r="E89" s="2"/>
      <c r="F89" s="2"/>
      <c r="G89" s="2"/>
      <c r="H89" s="2"/>
      <c r="I89" s="2"/>
      <c r="J89" s="2"/>
      <c r="K89" s="2"/>
      <c r="L89" s="2"/>
    </row>
    <row r="90" spans="1:12" x14ac:dyDescent="0.25">
      <c r="A90" s="1" t="s">
        <v>84</v>
      </c>
      <c r="C90" s="2"/>
      <c r="D90" s="2"/>
      <c r="E90" s="2"/>
      <c r="F90" s="2"/>
      <c r="G90" s="2"/>
      <c r="H90" s="2"/>
      <c r="I90" s="2"/>
      <c r="J90" s="2"/>
      <c r="K90" s="2"/>
      <c r="L90" s="2"/>
    </row>
    <row r="91" spans="1:12" x14ac:dyDescent="0.25">
      <c r="A91" t="s">
        <v>134</v>
      </c>
      <c r="B91" s="13">
        <f>-155</f>
        <v>-155</v>
      </c>
      <c r="C91" s="41">
        <f>-$B$92*C6</f>
        <v>-158.1</v>
      </c>
      <c r="D91" s="41">
        <f t="shared" ref="D91:L91" si="47">-$B$92*D6</f>
        <v>-161.262</v>
      </c>
      <c r="E91" s="41">
        <f t="shared" si="47"/>
        <v>-164.48723999999999</v>
      </c>
      <c r="F91" s="41">
        <f t="shared" si="47"/>
        <v>-167.77698479999998</v>
      </c>
      <c r="G91" s="41">
        <f t="shared" si="47"/>
        <v>-171.132524496</v>
      </c>
      <c r="H91" s="41">
        <f t="shared" si="47"/>
        <v>-174.55517498592002</v>
      </c>
      <c r="I91" s="41">
        <f t="shared" si="47"/>
        <v>-178.0462784856384</v>
      </c>
      <c r="J91" s="41">
        <f t="shared" si="47"/>
        <v>-181.60720405535119</v>
      </c>
      <c r="K91" s="41">
        <f t="shared" si="47"/>
        <v>-185.2393481364582</v>
      </c>
      <c r="L91" s="41">
        <f t="shared" si="47"/>
        <v>-188.94413509918738</v>
      </c>
    </row>
    <row r="92" spans="1:12" x14ac:dyDescent="0.25">
      <c r="A92" s="59" t="s">
        <v>135</v>
      </c>
      <c r="B92" s="60">
        <f>-B91/B6</f>
        <v>0.11071428571428571</v>
      </c>
      <c r="C92" s="61"/>
      <c r="D92" s="61"/>
      <c r="E92" s="61"/>
      <c r="F92" s="61"/>
      <c r="G92" s="61"/>
      <c r="H92" s="61"/>
      <c r="I92" s="61"/>
      <c r="J92" s="61"/>
      <c r="K92" s="61"/>
      <c r="L92" s="61"/>
    </row>
    <row r="93" spans="1:12" x14ac:dyDescent="0.25">
      <c r="A93" s="10" t="s">
        <v>128</v>
      </c>
      <c r="B93" s="33"/>
      <c r="C93" s="31">
        <f>C91</f>
        <v>-158.1</v>
      </c>
      <c r="D93" s="31">
        <f t="shared" ref="D93:L93" si="48">D91</f>
        <v>-161.262</v>
      </c>
      <c r="E93" s="31">
        <f t="shared" si="48"/>
        <v>-164.48723999999999</v>
      </c>
      <c r="F93" s="31">
        <f t="shared" si="48"/>
        <v>-167.77698479999998</v>
      </c>
      <c r="G93" s="31">
        <f t="shared" si="48"/>
        <v>-171.132524496</v>
      </c>
      <c r="H93" s="31">
        <f t="shared" si="48"/>
        <v>-174.55517498592002</v>
      </c>
      <c r="I93" s="31">
        <f t="shared" si="48"/>
        <v>-178.0462784856384</v>
      </c>
      <c r="J93" s="31">
        <f t="shared" si="48"/>
        <v>-181.60720405535119</v>
      </c>
      <c r="K93" s="31">
        <f t="shared" si="48"/>
        <v>-185.2393481364582</v>
      </c>
      <c r="L93" s="31">
        <f t="shared" si="48"/>
        <v>-188.94413509918738</v>
      </c>
    </row>
    <row r="94" spans="1:12" x14ac:dyDescent="0.25">
      <c r="C94" s="2"/>
      <c r="D94" s="2"/>
      <c r="E94" s="2"/>
      <c r="F94" s="2"/>
      <c r="G94" s="2"/>
      <c r="H94" s="2"/>
      <c r="I94" s="2"/>
      <c r="J94" s="2"/>
      <c r="K94" s="2"/>
      <c r="L94" s="2"/>
    </row>
    <row r="95" spans="1:12" x14ac:dyDescent="0.25">
      <c r="A95" s="1" t="s">
        <v>85</v>
      </c>
      <c r="C95" s="2"/>
      <c r="D95" s="2"/>
      <c r="E95" s="2"/>
      <c r="F95" s="2"/>
      <c r="G95" s="2"/>
      <c r="H95" s="2"/>
      <c r="I95" s="2"/>
      <c r="J95" s="2"/>
      <c r="K95" s="2"/>
      <c r="L95" s="2"/>
    </row>
    <row r="96" spans="1:12" x14ac:dyDescent="0.25">
      <c r="A96" t="s">
        <v>129</v>
      </c>
      <c r="C96" s="20">
        <f>'Debt Schedule'!C8</f>
        <v>-50</v>
      </c>
      <c r="D96" s="20">
        <f>'Debt Schedule'!D8</f>
        <v>-50</v>
      </c>
      <c r="E96" s="20">
        <f>'Debt Schedule'!E8</f>
        <v>-50</v>
      </c>
      <c r="F96" s="20">
        <f>'Debt Schedule'!F8</f>
        <v>-50</v>
      </c>
      <c r="G96" s="20">
        <f>'Debt Schedule'!G8</f>
        <v>-50</v>
      </c>
      <c r="H96" s="20">
        <f>'Debt Schedule'!H8</f>
        <v>-50</v>
      </c>
      <c r="I96" s="20">
        <f>'Debt Schedule'!I8</f>
        <v>-50</v>
      </c>
      <c r="J96" s="20">
        <f>'Debt Schedule'!J8</f>
        <v>-50</v>
      </c>
      <c r="K96" s="20">
        <f>'Debt Schedule'!K8</f>
        <v>-50</v>
      </c>
      <c r="L96" s="20">
        <f>'Debt Schedule'!L8</f>
        <v>-50</v>
      </c>
    </row>
    <row r="97" spans="1:12" x14ac:dyDescent="0.25">
      <c r="A97" t="s">
        <v>130</v>
      </c>
      <c r="C97" s="20">
        <f>'Debt Schedule'!C7</f>
        <v>0</v>
      </c>
      <c r="D97" s="20">
        <f>'Debt Schedule'!D7</f>
        <v>0</v>
      </c>
      <c r="E97" s="20">
        <f>'Debt Schedule'!E7</f>
        <v>0</v>
      </c>
      <c r="F97" s="20">
        <f>'Debt Schedule'!F7</f>
        <v>0</v>
      </c>
      <c r="G97" s="20">
        <f>'Debt Schedule'!G7</f>
        <v>0</v>
      </c>
      <c r="H97" s="20">
        <f>'Debt Schedule'!H7</f>
        <v>0</v>
      </c>
      <c r="I97" s="20">
        <f>'Debt Schedule'!I7</f>
        <v>0</v>
      </c>
      <c r="J97" s="20">
        <f>'Debt Schedule'!J7</f>
        <v>0</v>
      </c>
      <c r="K97" s="20">
        <f>'Debt Schedule'!K7</f>
        <v>0</v>
      </c>
      <c r="L97" s="20">
        <f>'Debt Schedule'!L7</f>
        <v>0</v>
      </c>
    </row>
    <row r="98" spans="1:12" x14ac:dyDescent="0.25">
      <c r="A98" t="s">
        <v>131</v>
      </c>
      <c r="C98" s="20">
        <f>'Stockholder''s Equity'!C8</f>
        <v>0</v>
      </c>
      <c r="D98" s="20">
        <f>'Stockholder''s Equity'!D8</f>
        <v>-300</v>
      </c>
      <c r="E98" s="20">
        <f>'Stockholder''s Equity'!E8</f>
        <v>0</v>
      </c>
      <c r="F98" s="20">
        <f>'Stockholder''s Equity'!F8</f>
        <v>0</v>
      </c>
      <c r="G98" s="20">
        <f>'Stockholder''s Equity'!G8</f>
        <v>0</v>
      </c>
      <c r="H98" s="20">
        <f>'Stockholder''s Equity'!H8</f>
        <v>0</v>
      </c>
      <c r="I98" s="20">
        <f>'Stockholder''s Equity'!I8</f>
        <v>0</v>
      </c>
      <c r="J98" s="20">
        <f>'Stockholder''s Equity'!J8</f>
        <v>0</v>
      </c>
      <c r="K98" s="20">
        <f>'Stockholder''s Equity'!K8</f>
        <v>0</v>
      </c>
      <c r="L98" s="20">
        <f>'Stockholder''s Equity'!L8</f>
        <v>0</v>
      </c>
    </row>
    <row r="99" spans="1:12" x14ac:dyDescent="0.25">
      <c r="A99" t="s">
        <v>132</v>
      </c>
      <c r="C99" s="20">
        <f>'Stockholder''s Equity'!C7</f>
        <v>125</v>
      </c>
      <c r="D99" s="20">
        <f>'Stockholder''s Equity'!D7</f>
        <v>0</v>
      </c>
      <c r="E99" s="20">
        <f>'Stockholder''s Equity'!E7</f>
        <v>0</v>
      </c>
      <c r="F99" s="20">
        <f>'Stockholder''s Equity'!F7</f>
        <v>0</v>
      </c>
      <c r="G99" s="20">
        <f>'Stockholder''s Equity'!G7</f>
        <v>0</v>
      </c>
      <c r="H99" s="20">
        <f>'Stockholder''s Equity'!H7</f>
        <v>0</v>
      </c>
      <c r="I99" s="20">
        <f>'Stockholder''s Equity'!I7</f>
        <v>500</v>
      </c>
      <c r="J99" s="20">
        <f>'Stockholder''s Equity'!J7</f>
        <v>0</v>
      </c>
      <c r="K99" s="20">
        <f>'Stockholder''s Equity'!K7</f>
        <v>0</v>
      </c>
      <c r="L99" s="20">
        <f>'Stockholder''s Equity'!L7</f>
        <v>0</v>
      </c>
    </row>
    <row r="100" spans="1:12" x14ac:dyDescent="0.25">
      <c r="A100" t="s">
        <v>138</v>
      </c>
      <c r="C100" s="41">
        <f>-C17*Scenarios!C12</f>
        <v>-121.46609999999995</v>
      </c>
      <c r="D100" s="41">
        <f>-D17*Scenarios!D12</f>
        <v>-125.19255000000003</v>
      </c>
      <c r="E100" s="41">
        <f>-E17*Scenarios!E12</f>
        <v>-128.97147900000002</v>
      </c>
      <c r="F100" s="41">
        <f>-F17*Scenarios!F12</f>
        <v>-132.80393657999997</v>
      </c>
      <c r="G100" s="41">
        <f>-G17*Scenarios!G12</f>
        <v>-136.69099331159998</v>
      </c>
      <c r="H100" s="41">
        <f>-H17*Scenarios!H12</f>
        <v>-140.63374117783204</v>
      </c>
      <c r="I100" s="41">
        <f>-I17*Scenarios!I12</f>
        <v>-144.63329400138861</v>
      </c>
      <c r="J100" s="41">
        <f>-J17*Scenarios!J12</f>
        <v>-148.69078788141638</v>
      </c>
      <c r="K100" s="41">
        <f>-K17*Scenarios!K12</f>
        <v>-152.80738163904471</v>
      </c>
      <c r="L100" s="41">
        <f>-L17*Scenarios!L12</f>
        <v>-156.98425727182567</v>
      </c>
    </row>
    <row r="101" spans="1:12" x14ac:dyDescent="0.25">
      <c r="A101" s="10" t="s">
        <v>86</v>
      </c>
      <c r="B101" s="18"/>
      <c r="C101" s="31">
        <f>SUM(C96:C100)</f>
        <v>-46.466099999999955</v>
      </c>
      <c r="D101" s="31">
        <f t="shared" ref="D101:L101" si="49">SUM(D96:D100)</f>
        <v>-475.19255000000004</v>
      </c>
      <c r="E101" s="31">
        <f t="shared" si="49"/>
        <v>-178.97147900000002</v>
      </c>
      <c r="F101" s="31">
        <f t="shared" si="49"/>
        <v>-182.80393657999997</v>
      </c>
      <c r="G101" s="31">
        <f t="shared" si="49"/>
        <v>-186.69099331159998</v>
      </c>
      <c r="H101" s="31">
        <f t="shared" si="49"/>
        <v>-190.63374117783204</v>
      </c>
      <c r="I101" s="31">
        <f t="shared" si="49"/>
        <v>305.36670599861139</v>
      </c>
      <c r="J101" s="31">
        <f t="shared" si="49"/>
        <v>-198.69078788141638</v>
      </c>
      <c r="K101" s="31">
        <f t="shared" si="49"/>
        <v>-202.80738163904471</v>
      </c>
      <c r="L101" s="31">
        <f t="shared" si="49"/>
        <v>-206.98425727182567</v>
      </c>
    </row>
    <row r="102" spans="1:12" x14ac:dyDescent="0.25">
      <c r="A102" s="34"/>
      <c r="B102" s="26"/>
      <c r="C102" s="2"/>
      <c r="D102" s="2"/>
      <c r="E102" s="2"/>
      <c r="F102" s="2"/>
      <c r="G102" s="2"/>
      <c r="H102" s="2"/>
      <c r="I102" s="2"/>
      <c r="J102" s="2"/>
      <c r="K102" s="2"/>
      <c r="L102" s="2"/>
    </row>
    <row r="103" spans="1:12" x14ac:dyDescent="0.25">
      <c r="A103" s="34" t="s">
        <v>87</v>
      </c>
      <c r="B103" s="26"/>
      <c r="C103" s="6">
        <f>C88+C93+C101</f>
        <v>100.44519863945567</v>
      </c>
      <c r="D103" s="6">
        <f t="shared" ref="D103:L103" si="50">D88+D93+D101</f>
        <v>-311.66347972789112</v>
      </c>
      <c r="E103" s="6">
        <f t="shared" si="50"/>
        <v>-0.26914921360545918</v>
      </c>
      <c r="F103" s="6">
        <f t="shared" si="50"/>
        <v>11.331017910965954</v>
      </c>
      <c r="G103" s="6">
        <f t="shared" si="50"/>
        <v>23.141138378028842</v>
      </c>
      <c r="H103" s="6">
        <f t="shared" si="50"/>
        <v>35.165411254432996</v>
      </c>
      <c r="I103" s="6">
        <f t="shared" si="50"/>
        <v>547.40811958836514</v>
      </c>
      <c r="J103" s="6">
        <f t="shared" si="50"/>
        <v>59.87363208897591</v>
      </c>
      <c r="K103" s="6">
        <f t="shared" si="50"/>
        <v>72.566404839599045</v>
      </c>
      <c r="L103" s="6">
        <f t="shared" si="50"/>
        <v>85.490983045234515</v>
      </c>
    </row>
    <row r="104" spans="1:12" x14ac:dyDescent="0.25">
      <c r="C104" s="2"/>
    </row>
    <row r="105" spans="1:12" x14ac:dyDescent="0.25">
      <c r="C105" s="2"/>
    </row>
  </sheetData>
  <dataValidations count="1">
    <dataValidation type="list" allowBlank="1" showInputMessage="1" showErrorMessage="1" sqref="D2">
      <formula1>"1,2,3"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32"/>
  <sheetViews>
    <sheetView showGridLines="0" zoomScale="85" zoomScaleNormal="85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N3" sqref="N3"/>
    </sheetView>
  </sheetViews>
  <sheetFormatPr defaultRowHeight="15" x14ac:dyDescent="0.25"/>
  <cols>
    <col min="1" max="1" width="30.42578125" customWidth="1"/>
    <col min="2" max="2" width="11.28515625" style="11" customWidth="1"/>
    <col min="3" max="12" width="11.28515625" customWidth="1"/>
    <col min="14" max="14" width="45" bestFit="1" customWidth="1"/>
  </cols>
  <sheetData>
    <row r="2" spans="1:15" x14ac:dyDescent="0.25">
      <c r="A2" s="1" t="s">
        <v>32</v>
      </c>
    </row>
    <row r="3" spans="1:15" x14ac:dyDescent="0.25">
      <c r="A3" s="7" t="s">
        <v>8</v>
      </c>
      <c r="B3" s="12" t="s">
        <v>98</v>
      </c>
      <c r="C3" s="62" t="s">
        <v>1</v>
      </c>
      <c r="D3" s="62" t="s">
        <v>2</v>
      </c>
      <c r="E3" s="62" t="s">
        <v>3</v>
      </c>
      <c r="F3" s="62" t="s">
        <v>4</v>
      </c>
      <c r="G3" s="62" t="s">
        <v>5</v>
      </c>
      <c r="H3" s="62" t="s">
        <v>6</v>
      </c>
      <c r="I3" s="62" t="s">
        <v>7</v>
      </c>
      <c r="J3" s="62" t="s">
        <v>99</v>
      </c>
      <c r="K3" s="62" t="s">
        <v>100</v>
      </c>
      <c r="L3" s="62" t="s">
        <v>101</v>
      </c>
    </row>
    <row r="4" spans="1:15" x14ac:dyDescent="0.25">
      <c r="A4" s="5"/>
      <c r="B4" s="14"/>
      <c r="C4" s="6"/>
      <c r="D4" s="6"/>
      <c r="E4" s="6"/>
      <c r="F4" s="6"/>
      <c r="G4" s="6"/>
      <c r="H4" s="6"/>
      <c r="I4" s="6"/>
      <c r="J4" s="6"/>
      <c r="K4" s="6"/>
      <c r="L4" s="6"/>
      <c r="N4" s="37" t="s">
        <v>103</v>
      </c>
      <c r="O4" s="46"/>
    </row>
    <row r="5" spans="1:15" x14ac:dyDescent="0.25">
      <c r="A5" s="1" t="s">
        <v>147</v>
      </c>
      <c r="B5" s="15"/>
      <c r="C5" s="2"/>
      <c r="D5" s="2"/>
      <c r="E5" s="2"/>
      <c r="F5" s="2"/>
      <c r="G5" s="2"/>
      <c r="H5" s="2"/>
      <c r="I5" s="2"/>
      <c r="J5" s="2"/>
      <c r="K5" s="2"/>
      <c r="L5" s="2"/>
      <c r="N5" s="9" t="s">
        <v>104</v>
      </c>
      <c r="O5" s="48">
        <v>15</v>
      </c>
    </row>
    <row r="6" spans="1:15" x14ac:dyDescent="0.25">
      <c r="A6" t="s">
        <v>105</v>
      </c>
      <c r="B6" s="13"/>
      <c r="C6" s="41">
        <f>B8</f>
        <v>890</v>
      </c>
      <c r="D6" s="41">
        <f t="shared" ref="D6:L6" si="0">C8</f>
        <v>1048.0999999999999</v>
      </c>
      <c r="E6" s="41">
        <f t="shared" si="0"/>
        <v>1209.3619999999999</v>
      </c>
      <c r="F6" s="41">
        <f t="shared" si="0"/>
        <v>1373.8492399999998</v>
      </c>
      <c r="G6" s="41">
        <f t="shared" si="0"/>
        <v>1541.6262247999998</v>
      </c>
      <c r="H6" s="41">
        <f t="shared" si="0"/>
        <v>1712.7587492959999</v>
      </c>
      <c r="I6" s="41">
        <f t="shared" si="0"/>
        <v>1887.31392428192</v>
      </c>
      <c r="J6" s="41">
        <f t="shared" si="0"/>
        <v>2065.3602027675583</v>
      </c>
      <c r="K6" s="41">
        <f t="shared" si="0"/>
        <v>2246.9674068229097</v>
      </c>
      <c r="L6" s="41">
        <f t="shared" si="0"/>
        <v>2432.206754959368</v>
      </c>
      <c r="N6" s="9" t="s">
        <v>107</v>
      </c>
      <c r="O6" s="49">
        <f>1/O5</f>
        <v>6.6666666666666666E-2</v>
      </c>
    </row>
    <row r="7" spans="1:15" x14ac:dyDescent="0.25">
      <c r="A7" t="s">
        <v>102</v>
      </c>
      <c r="C7" s="41">
        <f>C25</f>
        <v>158.1</v>
      </c>
      <c r="D7" s="41">
        <f t="shared" ref="D7:L7" si="1">D25</f>
        <v>161.262</v>
      </c>
      <c r="E7" s="41">
        <f t="shared" si="1"/>
        <v>164.48723999999999</v>
      </c>
      <c r="F7" s="41">
        <f t="shared" si="1"/>
        <v>167.77698479999998</v>
      </c>
      <c r="G7" s="41">
        <f t="shared" si="1"/>
        <v>171.132524496</v>
      </c>
      <c r="H7" s="41">
        <f t="shared" si="1"/>
        <v>174.55517498592002</v>
      </c>
      <c r="I7" s="41">
        <f t="shared" si="1"/>
        <v>178.0462784856384</v>
      </c>
      <c r="J7" s="41">
        <f t="shared" si="1"/>
        <v>181.60720405535119</v>
      </c>
      <c r="K7" s="41">
        <f t="shared" si="1"/>
        <v>185.2393481364582</v>
      </c>
      <c r="L7" s="41">
        <f t="shared" si="1"/>
        <v>188.94413509918738</v>
      </c>
      <c r="N7" s="9" t="s">
        <v>149</v>
      </c>
      <c r="O7" s="50">
        <v>0.1</v>
      </c>
    </row>
    <row r="8" spans="1:15" x14ac:dyDescent="0.25">
      <c r="A8" t="s">
        <v>106</v>
      </c>
      <c r="B8" s="22">
        <f>Statements!B39</f>
        <v>890</v>
      </c>
      <c r="C8" s="41">
        <f>C6+C7</f>
        <v>1048.0999999999999</v>
      </c>
      <c r="D8" s="41">
        <f t="shared" ref="D8:L8" si="2">D6+D7</f>
        <v>1209.3619999999999</v>
      </c>
      <c r="E8" s="41">
        <f t="shared" si="2"/>
        <v>1373.8492399999998</v>
      </c>
      <c r="F8" s="41">
        <f t="shared" si="2"/>
        <v>1541.6262247999998</v>
      </c>
      <c r="G8" s="41">
        <f t="shared" si="2"/>
        <v>1712.7587492959999</v>
      </c>
      <c r="H8" s="41">
        <f t="shared" si="2"/>
        <v>1887.31392428192</v>
      </c>
      <c r="I8" s="41">
        <f t="shared" si="2"/>
        <v>2065.3602027675583</v>
      </c>
      <c r="J8" s="41">
        <f t="shared" si="2"/>
        <v>2246.9674068229097</v>
      </c>
      <c r="K8" s="41">
        <f t="shared" si="2"/>
        <v>2432.206754959368</v>
      </c>
      <c r="L8" s="41">
        <f t="shared" si="2"/>
        <v>2621.1508900585554</v>
      </c>
    </row>
    <row r="9" spans="1:15" x14ac:dyDescent="0.25">
      <c r="C9" s="41"/>
      <c r="D9" s="41"/>
      <c r="E9" s="41"/>
      <c r="F9" s="41"/>
      <c r="G9" s="41"/>
      <c r="H9" s="41"/>
      <c r="I9" s="41"/>
      <c r="J9" s="41"/>
      <c r="K9" s="41"/>
      <c r="L9" s="41"/>
    </row>
    <row r="10" spans="1:15" x14ac:dyDescent="0.25">
      <c r="A10" t="s">
        <v>22</v>
      </c>
      <c r="C10" s="67">
        <f>(C6*$O$6)+(C7*$O$6/2)</f>
        <v>64.603333333333339</v>
      </c>
      <c r="D10" s="67">
        <f t="shared" ref="D10:L10" si="3">(D6*$O$6)+(D7*$O$6/2)</f>
        <v>75.24873333333332</v>
      </c>
      <c r="E10" s="67">
        <f t="shared" si="3"/>
        <v>86.107041333333314</v>
      </c>
      <c r="F10" s="67">
        <f t="shared" si="3"/>
        <v>97.182515493333327</v>
      </c>
      <c r="G10" s="67">
        <f t="shared" si="3"/>
        <v>108.47949913653332</v>
      </c>
      <c r="H10" s="67">
        <f t="shared" si="3"/>
        <v>120.00242245259733</v>
      </c>
      <c r="I10" s="67">
        <f t="shared" si="3"/>
        <v>131.75580423498261</v>
      </c>
      <c r="J10" s="67">
        <f t="shared" si="3"/>
        <v>143.74425365301559</v>
      </c>
      <c r="K10" s="67">
        <f t="shared" si="3"/>
        <v>155.97247205940926</v>
      </c>
      <c r="L10" s="67">
        <f t="shared" si="3"/>
        <v>168.44525483393076</v>
      </c>
    </row>
    <row r="11" spans="1:15" x14ac:dyDescent="0.25">
      <c r="A11" t="s">
        <v>47</v>
      </c>
      <c r="B11" s="22">
        <f>-Statements!B40</f>
        <v>280</v>
      </c>
      <c r="C11" s="41">
        <f>B11+C10</f>
        <v>344.60333333333335</v>
      </c>
      <c r="D11" s="41">
        <f t="shared" ref="D11:L11" si="4">C11+D10</f>
        <v>419.8520666666667</v>
      </c>
      <c r="E11" s="41">
        <f t="shared" si="4"/>
        <v>505.95910800000001</v>
      </c>
      <c r="F11" s="41">
        <f t="shared" si="4"/>
        <v>603.14162349333333</v>
      </c>
      <c r="G11" s="41">
        <f t="shared" si="4"/>
        <v>711.6211226298667</v>
      </c>
      <c r="H11" s="41">
        <f t="shared" si="4"/>
        <v>831.62354508246403</v>
      </c>
      <c r="I11" s="41">
        <f t="shared" si="4"/>
        <v>963.37934931744667</v>
      </c>
      <c r="J11" s="41">
        <f t="shared" si="4"/>
        <v>1107.1236029704623</v>
      </c>
      <c r="K11" s="41">
        <f t="shared" si="4"/>
        <v>1263.0960750298716</v>
      </c>
      <c r="L11" s="41">
        <f t="shared" si="4"/>
        <v>1431.5413298638023</v>
      </c>
    </row>
    <row r="12" spans="1:15" x14ac:dyDescent="0.25">
      <c r="A12" t="s">
        <v>108</v>
      </c>
      <c r="B12" s="17"/>
      <c r="C12" s="41">
        <f>C8-C11</f>
        <v>703.49666666666656</v>
      </c>
      <c r="D12" s="41">
        <f t="shared" ref="D12:L12" si="5">D8-D11</f>
        <v>789.50993333333315</v>
      </c>
      <c r="E12" s="41">
        <f t="shared" si="5"/>
        <v>867.89013199999977</v>
      </c>
      <c r="F12" s="41">
        <f t="shared" si="5"/>
        <v>938.48460130666649</v>
      </c>
      <c r="G12" s="41">
        <f t="shared" si="5"/>
        <v>1001.1376266661332</v>
      </c>
      <c r="H12" s="41">
        <f t="shared" si="5"/>
        <v>1055.6903791994559</v>
      </c>
      <c r="I12" s="41">
        <f t="shared" si="5"/>
        <v>1101.9808534501117</v>
      </c>
      <c r="J12" s="41">
        <f t="shared" si="5"/>
        <v>1139.8438038524473</v>
      </c>
      <c r="K12" s="41">
        <f t="shared" si="5"/>
        <v>1169.1106799294964</v>
      </c>
      <c r="L12" s="41">
        <f t="shared" si="5"/>
        <v>1189.6095601947532</v>
      </c>
    </row>
    <row r="14" spans="1:15" x14ac:dyDescent="0.25">
      <c r="A14" s="1" t="s">
        <v>148</v>
      </c>
    </row>
    <row r="15" spans="1:15" x14ac:dyDescent="0.25">
      <c r="A15" t="s">
        <v>143</v>
      </c>
      <c r="C15" s="20">
        <f>B17</f>
        <v>610</v>
      </c>
      <c r="D15" s="20">
        <f t="shared" ref="D15:L15" si="6">C17</f>
        <v>768.1</v>
      </c>
      <c r="E15" s="20">
        <f t="shared" si="6"/>
        <v>929.36200000000008</v>
      </c>
      <c r="F15" s="20">
        <f t="shared" si="6"/>
        <v>1093.84924</v>
      </c>
      <c r="G15" s="20">
        <f t="shared" si="6"/>
        <v>1261.6262248</v>
      </c>
      <c r="H15" s="20">
        <f t="shared" si="6"/>
        <v>1432.7587492960001</v>
      </c>
      <c r="I15" s="20">
        <f t="shared" si="6"/>
        <v>1607.3139242819202</v>
      </c>
      <c r="J15" s="20">
        <f t="shared" si="6"/>
        <v>1785.3602027675586</v>
      </c>
      <c r="K15" s="20">
        <f t="shared" si="6"/>
        <v>1966.9674068229097</v>
      </c>
      <c r="L15" s="20">
        <f t="shared" si="6"/>
        <v>2152.206754959368</v>
      </c>
      <c r="N15" t="s">
        <v>109</v>
      </c>
    </row>
    <row r="16" spans="1:15" x14ac:dyDescent="0.25">
      <c r="A16" t="s">
        <v>102</v>
      </c>
      <c r="B16" s="17"/>
      <c r="C16" s="41">
        <f>C25</f>
        <v>158.1</v>
      </c>
      <c r="D16" s="41">
        <f t="shared" ref="D16:L16" si="7">D25</f>
        <v>161.262</v>
      </c>
      <c r="E16" s="41">
        <f t="shared" si="7"/>
        <v>164.48723999999999</v>
      </c>
      <c r="F16" s="41">
        <f t="shared" si="7"/>
        <v>167.77698479999998</v>
      </c>
      <c r="G16" s="41">
        <f t="shared" si="7"/>
        <v>171.132524496</v>
      </c>
      <c r="H16" s="41">
        <f t="shared" si="7"/>
        <v>174.55517498592002</v>
      </c>
      <c r="I16" s="41">
        <f t="shared" si="7"/>
        <v>178.0462784856384</v>
      </c>
      <c r="J16" s="41">
        <f t="shared" si="7"/>
        <v>181.60720405535119</v>
      </c>
      <c r="K16" s="41">
        <f t="shared" si="7"/>
        <v>185.2393481364582</v>
      </c>
      <c r="L16" s="41">
        <f t="shared" si="7"/>
        <v>188.94413509918738</v>
      </c>
      <c r="N16" t="s">
        <v>110</v>
      </c>
    </row>
    <row r="17" spans="1:14" x14ac:dyDescent="0.25">
      <c r="A17" t="s">
        <v>144</v>
      </c>
      <c r="B17" s="22">
        <f>Statements!B41</f>
        <v>610</v>
      </c>
      <c r="C17" s="41">
        <f>SUM(C15:C16)</f>
        <v>768.1</v>
      </c>
      <c r="D17" s="41">
        <f t="shared" ref="D17:L17" si="8">SUM(D15:D16)</f>
        <v>929.36200000000008</v>
      </c>
      <c r="E17" s="41">
        <f t="shared" si="8"/>
        <v>1093.84924</v>
      </c>
      <c r="F17" s="41">
        <f t="shared" si="8"/>
        <v>1261.6262248</v>
      </c>
      <c r="G17" s="41">
        <f t="shared" si="8"/>
        <v>1432.7587492960001</v>
      </c>
      <c r="H17" s="41">
        <f t="shared" si="8"/>
        <v>1607.3139242819202</v>
      </c>
      <c r="I17" s="41">
        <f t="shared" si="8"/>
        <v>1785.3602027675586</v>
      </c>
      <c r="J17" s="41">
        <f t="shared" si="8"/>
        <v>1966.9674068229097</v>
      </c>
      <c r="K17" s="41">
        <f t="shared" si="8"/>
        <v>2152.206754959368</v>
      </c>
      <c r="L17" s="41">
        <f t="shared" si="8"/>
        <v>2341.1508900585554</v>
      </c>
      <c r="N17" t="s">
        <v>111</v>
      </c>
    </row>
    <row r="18" spans="1:14" x14ac:dyDescent="0.25">
      <c r="B18" s="17"/>
      <c r="C18" s="3"/>
      <c r="D18" s="3"/>
      <c r="E18" s="3"/>
      <c r="F18" s="3"/>
      <c r="G18" s="3"/>
      <c r="H18" s="3"/>
      <c r="I18" s="3"/>
      <c r="J18" s="3"/>
      <c r="K18" s="3"/>
      <c r="L18" s="3"/>
      <c r="N18" t="s">
        <v>112</v>
      </c>
    </row>
    <row r="19" spans="1:14" x14ac:dyDescent="0.25">
      <c r="A19" t="s">
        <v>22</v>
      </c>
      <c r="B19" s="17"/>
      <c r="C19" s="67">
        <f>(C15*$O$7)+(C16*$O$7/2)</f>
        <v>68.905000000000001</v>
      </c>
      <c r="D19" s="67">
        <f t="shared" ref="D19:L19" si="9">(D15*$O$7)+(D16*$O$7/2)</f>
        <v>84.873100000000008</v>
      </c>
      <c r="E19" s="67">
        <f t="shared" si="9"/>
        <v>101.16056200000001</v>
      </c>
      <c r="F19" s="67">
        <f t="shared" si="9"/>
        <v>117.77377324000001</v>
      </c>
      <c r="G19" s="67">
        <f t="shared" si="9"/>
        <v>134.71924870480001</v>
      </c>
      <c r="H19" s="67">
        <f t="shared" si="9"/>
        <v>152.00363367889599</v>
      </c>
      <c r="I19" s="67">
        <f t="shared" si="9"/>
        <v>169.63370635247395</v>
      </c>
      <c r="J19" s="67">
        <f t="shared" si="9"/>
        <v>187.61638047952343</v>
      </c>
      <c r="K19" s="67">
        <f t="shared" si="9"/>
        <v>205.95870808911388</v>
      </c>
      <c r="L19" s="67">
        <f t="shared" si="9"/>
        <v>224.66788225089618</v>
      </c>
    </row>
    <row r="20" spans="1:14" x14ac:dyDescent="0.25">
      <c r="A20" t="s">
        <v>47</v>
      </c>
      <c r="B20" s="22">
        <f>-Statements!B40</f>
        <v>280</v>
      </c>
      <c r="C20" s="41"/>
      <c r="D20" s="41"/>
      <c r="E20" s="41"/>
      <c r="F20" s="41"/>
      <c r="G20" s="41"/>
      <c r="H20" s="41"/>
      <c r="I20" s="41"/>
      <c r="J20" s="41"/>
      <c r="K20" s="41"/>
      <c r="L20" s="41"/>
    </row>
    <row r="21" spans="1:14" x14ac:dyDescent="0.25">
      <c r="A21" t="s">
        <v>108</v>
      </c>
      <c r="B21" s="17"/>
      <c r="C21" s="41">
        <f>C17-C19</f>
        <v>699.19500000000005</v>
      </c>
      <c r="D21" s="41">
        <f t="shared" ref="D21:L21" si="10">D17-D19</f>
        <v>844.48890000000006</v>
      </c>
      <c r="E21" s="41">
        <f t="shared" si="10"/>
        <v>992.68867799999998</v>
      </c>
      <c r="F21" s="41">
        <f t="shared" si="10"/>
        <v>1143.85245156</v>
      </c>
      <c r="G21" s="41">
        <f t="shared" si="10"/>
        <v>1298.0395005912001</v>
      </c>
      <c r="H21" s="41">
        <f t="shared" si="10"/>
        <v>1455.3102906030242</v>
      </c>
      <c r="I21" s="41">
        <f t="shared" si="10"/>
        <v>1615.7264964150845</v>
      </c>
      <c r="J21" s="41">
        <f t="shared" si="10"/>
        <v>1779.3510263433861</v>
      </c>
      <c r="K21" s="41">
        <f t="shared" si="10"/>
        <v>1946.2480468702543</v>
      </c>
      <c r="L21" s="41">
        <f t="shared" si="10"/>
        <v>2116.4830078076593</v>
      </c>
    </row>
    <row r="24" spans="1:14" x14ac:dyDescent="0.25">
      <c r="A24" t="s">
        <v>9</v>
      </c>
      <c r="B24" s="22">
        <f>Statements!B6</f>
        <v>1400</v>
      </c>
      <c r="C24" s="64">
        <f>Statements!C6</f>
        <v>1428</v>
      </c>
      <c r="D24" s="64">
        <f>Statements!D6</f>
        <v>1456.56</v>
      </c>
      <c r="E24" s="64">
        <f>Statements!E6</f>
        <v>1485.6912</v>
      </c>
      <c r="F24" s="64">
        <f>Statements!F6</f>
        <v>1515.4050239999999</v>
      </c>
      <c r="G24" s="64">
        <f>Statements!G6</f>
        <v>1545.71312448</v>
      </c>
      <c r="H24" s="64">
        <f>Statements!H6</f>
        <v>1576.6273869696001</v>
      </c>
      <c r="I24" s="64">
        <f>Statements!I6</f>
        <v>1608.1599347089921</v>
      </c>
      <c r="J24" s="64">
        <f>Statements!J6</f>
        <v>1640.3231334031721</v>
      </c>
      <c r="K24" s="64">
        <f>Statements!K6</f>
        <v>1673.1295960712355</v>
      </c>
      <c r="L24" s="64">
        <f>Statements!L6</f>
        <v>1706.5921879926602</v>
      </c>
      <c r="M24" s="64"/>
    </row>
    <row r="25" spans="1:14" x14ac:dyDescent="0.25">
      <c r="A25" t="s">
        <v>39</v>
      </c>
      <c r="B25" s="22">
        <f>-Statements!B91</f>
        <v>155</v>
      </c>
      <c r="C25" s="51">
        <f>C24*C26</f>
        <v>158.1</v>
      </c>
      <c r="D25" s="51">
        <f t="shared" ref="D25:L25" si="11">D24*D26</f>
        <v>161.262</v>
      </c>
      <c r="E25" s="51">
        <f t="shared" si="11"/>
        <v>164.48723999999999</v>
      </c>
      <c r="F25" s="51">
        <f t="shared" si="11"/>
        <v>167.77698479999998</v>
      </c>
      <c r="G25" s="51">
        <f t="shared" si="11"/>
        <v>171.132524496</v>
      </c>
      <c r="H25" s="51">
        <f t="shared" si="11"/>
        <v>174.55517498592002</v>
      </c>
      <c r="I25" s="51">
        <f t="shared" si="11"/>
        <v>178.0462784856384</v>
      </c>
      <c r="J25" s="51">
        <f t="shared" si="11"/>
        <v>181.60720405535119</v>
      </c>
      <c r="K25" s="51">
        <f t="shared" si="11"/>
        <v>185.2393481364582</v>
      </c>
      <c r="L25" s="51">
        <f t="shared" si="11"/>
        <v>188.94413509918738</v>
      </c>
      <c r="M25" s="64"/>
    </row>
    <row r="26" spans="1:14" x14ac:dyDescent="0.25">
      <c r="A26" t="s">
        <v>145</v>
      </c>
      <c r="B26" s="63">
        <f>B25/B24</f>
        <v>0.11071428571428571</v>
      </c>
      <c r="C26" s="66">
        <f>B26</f>
        <v>0.11071428571428571</v>
      </c>
      <c r="D26" s="66">
        <f t="shared" ref="D26:L26" si="12">C26</f>
        <v>0.11071428571428571</v>
      </c>
      <c r="E26" s="66">
        <f t="shared" si="12"/>
        <v>0.11071428571428571</v>
      </c>
      <c r="F26" s="66">
        <f t="shared" si="12"/>
        <v>0.11071428571428571</v>
      </c>
      <c r="G26" s="66">
        <f t="shared" si="12"/>
        <v>0.11071428571428571</v>
      </c>
      <c r="H26" s="66">
        <f t="shared" si="12"/>
        <v>0.11071428571428571</v>
      </c>
      <c r="I26" s="66">
        <f t="shared" si="12"/>
        <v>0.11071428571428571</v>
      </c>
      <c r="J26" s="66">
        <f t="shared" si="12"/>
        <v>0.11071428571428571</v>
      </c>
      <c r="K26" s="66">
        <f t="shared" si="12"/>
        <v>0.11071428571428571</v>
      </c>
      <c r="L26" s="66">
        <f t="shared" si="12"/>
        <v>0.11071428571428571</v>
      </c>
      <c r="M26" s="65"/>
    </row>
    <row r="28" spans="1:14" x14ac:dyDescent="0.25">
      <c r="B28" s="17"/>
      <c r="C28" s="3"/>
      <c r="D28" s="3"/>
      <c r="E28" s="3"/>
      <c r="F28" s="3"/>
      <c r="G28" s="3"/>
      <c r="H28" s="3"/>
      <c r="I28" s="3"/>
      <c r="J28" s="3"/>
      <c r="K28" s="3"/>
      <c r="L28" s="3"/>
    </row>
    <row r="29" spans="1:14" x14ac:dyDescent="0.25">
      <c r="B29" s="17"/>
      <c r="C29" s="3"/>
      <c r="D29" s="3"/>
      <c r="E29" s="3"/>
      <c r="F29" s="3"/>
      <c r="G29" s="3"/>
      <c r="H29" s="3"/>
      <c r="I29" s="3"/>
      <c r="J29" s="3"/>
      <c r="K29" s="3"/>
      <c r="L29" s="3"/>
    </row>
    <row r="30" spans="1:14" x14ac:dyDescent="0.25">
      <c r="B30" s="17"/>
      <c r="C30" s="3"/>
      <c r="D30" s="3"/>
      <c r="E30" s="3"/>
      <c r="F30" s="3"/>
      <c r="G30" s="3"/>
      <c r="H30" s="3"/>
      <c r="I30" s="3"/>
      <c r="J30" s="3"/>
      <c r="K30" s="3"/>
      <c r="L30" s="3"/>
    </row>
    <row r="31" spans="1:14" x14ac:dyDescent="0.25">
      <c r="B31" s="17"/>
      <c r="C31" s="3"/>
      <c r="D31" s="3"/>
      <c r="E31" s="3"/>
      <c r="F31" s="3"/>
      <c r="G31" s="3"/>
      <c r="H31" s="3"/>
      <c r="I31" s="3"/>
      <c r="J31" s="3"/>
      <c r="K31" s="3"/>
      <c r="L31" s="3"/>
    </row>
    <row r="32" spans="1:14" x14ac:dyDescent="0.25">
      <c r="B32" s="17"/>
      <c r="C32" s="3"/>
      <c r="D32" s="3"/>
      <c r="E32" s="3"/>
      <c r="F32" s="3"/>
      <c r="G32" s="3"/>
      <c r="H32" s="3"/>
      <c r="I32" s="3"/>
      <c r="J32" s="3"/>
      <c r="K32" s="3"/>
      <c r="L32" s="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4"/>
  <sheetViews>
    <sheetView showGridLines="0" workbookViewId="0">
      <selection activeCell="H12" sqref="H12"/>
    </sheetView>
  </sheetViews>
  <sheetFormatPr defaultRowHeight="15" x14ac:dyDescent="0.25"/>
  <cols>
    <col min="1" max="1" width="53.140625" bestFit="1" customWidth="1"/>
    <col min="2" max="2" width="11.28515625" style="11" customWidth="1"/>
    <col min="3" max="12" width="11.28515625" customWidth="1"/>
  </cols>
  <sheetData>
    <row r="2" spans="1:12" x14ac:dyDescent="0.25">
      <c r="A2" s="58" t="s">
        <v>36</v>
      </c>
    </row>
    <row r="3" spans="1:12" x14ac:dyDescent="0.25">
      <c r="A3" s="7" t="s">
        <v>8</v>
      </c>
      <c r="B3" s="12" t="s">
        <v>98</v>
      </c>
      <c r="C3" s="62" t="s">
        <v>1</v>
      </c>
      <c r="D3" s="62" t="s">
        <v>2</v>
      </c>
      <c r="E3" s="62" t="s">
        <v>3</v>
      </c>
      <c r="F3" s="62" t="s">
        <v>4</v>
      </c>
      <c r="G3" s="62" t="s">
        <v>5</v>
      </c>
      <c r="H3" s="62" t="s">
        <v>6</v>
      </c>
      <c r="I3" s="62" t="s">
        <v>7</v>
      </c>
      <c r="J3" s="62" t="s">
        <v>99</v>
      </c>
      <c r="K3" s="62" t="s">
        <v>100</v>
      </c>
      <c r="L3" s="62" t="s">
        <v>101</v>
      </c>
    </row>
    <row r="4" spans="1:12" x14ac:dyDescent="0.25">
      <c r="A4" s="9"/>
      <c r="B4" s="15"/>
      <c r="C4" s="2"/>
      <c r="D4" s="2"/>
      <c r="E4" s="2"/>
      <c r="F4" s="2"/>
      <c r="G4" s="2"/>
      <c r="H4" s="2"/>
      <c r="I4" s="2"/>
      <c r="J4" s="2"/>
      <c r="K4" s="2"/>
      <c r="L4" s="2"/>
    </row>
    <row r="5" spans="1:12" x14ac:dyDescent="0.25">
      <c r="A5" s="37" t="s">
        <v>90</v>
      </c>
      <c r="B5" s="13"/>
      <c r="C5" s="2"/>
      <c r="D5" s="2"/>
      <c r="E5" s="2"/>
      <c r="F5" s="2"/>
      <c r="G5" s="2"/>
      <c r="H5" s="2"/>
      <c r="I5" s="2"/>
      <c r="J5" s="2"/>
      <c r="K5" s="2"/>
      <c r="L5" s="2"/>
    </row>
    <row r="6" spans="1:12" x14ac:dyDescent="0.25">
      <c r="A6" s="9" t="s">
        <v>91</v>
      </c>
      <c r="C6" s="2">
        <f>B9</f>
        <v>800</v>
      </c>
      <c r="D6" s="2">
        <f t="shared" ref="D6:L6" si="0">C9</f>
        <v>750</v>
      </c>
      <c r="E6" s="2">
        <f t="shared" si="0"/>
        <v>700</v>
      </c>
      <c r="F6" s="2">
        <f t="shared" si="0"/>
        <v>650</v>
      </c>
      <c r="G6" s="2">
        <f t="shared" si="0"/>
        <v>600</v>
      </c>
      <c r="H6" s="2">
        <f t="shared" si="0"/>
        <v>550</v>
      </c>
      <c r="I6" s="2">
        <f t="shared" si="0"/>
        <v>500</v>
      </c>
      <c r="J6" s="2">
        <f t="shared" si="0"/>
        <v>450</v>
      </c>
      <c r="K6" s="2">
        <f t="shared" si="0"/>
        <v>400</v>
      </c>
      <c r="L6" s="2">
        <f t="shared" si="0"/>
        <v>350</v>
      </c>
    </row>
    <row r="7" spans="1:12" x14ac:dyDescent="0.25">
      <c r="A7" s="9" t="s">
        <v>115</v>
      </c>
      <c r="C7" s="57">
        <v>0</v>
      </c>
      <c r="D7" s="57">
        <v>0</v>
      </c>
      <c r="E7" s="57">
        <v>0</v>
      </c>
      <c r="F7" s="57">
        <v>0</v>
      </c>
      <c r="G7" s="57">
        <v>0</v>
      </c>
      <c r="H7" s="57">
        <v>0</v>
      </c>
      <c r="I7" s="57">
        <v>0</v>
      </c>
      <c r="J7" s="57">
        <v>0</v>
      </c>
      <c r="K7" s="57">
        <v>0</v>
      </c>
      <c r="L7" s="57">
        <v>0</v>
      </c>
    </row>
    <row r="8" spans="1:12" s="40" customFormat="1" x14ac:dyDescent="0.25">
      <c r="A8" s="9" t="s">
        <v>116</v>
      </c>
      <c r="B8" s="39"/>
      <c r="C8" s="57">
        <f>-50</f>
        <v>-50</v>
      </c>
      <c r="D8" s="57">
        <f t="shared" ref="D8:L8" si="1">-50</f>
        <v>-50</v>
      </c>
      <c r="E8" s="57">
        <f t="shared" si="1"/>
        <v>-50</v>
      </c>
      <c r="F8" s="57">
        <f t="shared" si="1"/>
        <v>-50</v>
      </c>
      <c r="G8" s="57">
        <f t="shared" si="1"/>
        <v>-50</v>
      </c>
      <c r="H8" s="57">
        <f t="shared" si="1"/>
        <v>-50</v>
      </c>
      <c r="I8" s="57">
        <f t="shared" si="1"/>
        <v>-50</v>
      </c>
      <c r="J8" s="57">
        <f t="shared" si="1"/>
        <v>-50</v>
      </c>
      <c r="K8" s="57">
        <f t="shared" si="1"/>
        <v>-50</v>
      </c>
      <c r="L8" s="57">
        <f t="shared" si="1"/>
        <v>-50</v>
      </c>
    </row>
    <row r="9" spans="1:12" x14ac:dyDescent="0.25">
      <c r="A9" s="10" t="s">
        <v>89</v>
      </c>
      <c r="B9" s="24">
        <f>Statements!B52</f>
        <v>800</v>
      </c>
      <c r="C9" s="25">
        <f>SUM(C6:C8)</f>
        <v>750</v>
      </c>
      <c r="D9" s="25">
        <f t="shared" ref="D9:L9" si="2">SUM(D6:D8)</f>
        <v>700</v>
      </c>
      <c r="E9" s="25">
        <f t="shared" si="2"/>
        <v>650</v>
      </c>
      <c r="F9" s="25">
        <f t="shared" si="2"/>
        <v>600</v>
      </c>
      <c r="G9" s="25">
        <f t="shared" si="2"/>
        <v>550</v>
      </c>
      <c r="H9" s="25">
        <f t="shared" si="2"/>
        <v>500</v>
      </c>
      <c r="I9" s="25">
        <f t="shared" si="2"/>
        <v>450</v>
      </c>
      <c r="J9" s="25">
        <f t="shared" si="2"/>
        <v>400</v>
      </c>
      <c r="K9" s="25">
        <f t="shared" si="2"/>
        <v>350</v>
      </c>
      <c r="L9" s="25">
        <f t="shared" si="2"/>
        <v>300</v>
      </c>
    </row>
    <row r="10" spans="1:12" x14ac:dyDescent="0.25">
      <c r="A10" s="9" t="s">
        <v>92</v>
      </c>
      <c r="B10" s="38">
        <v>0.06</v>
      </c>
    </row>
    <row r="11" spans="1:12" x14ac:dyDescent="0.25">
      <c r="A11" s="9" t="s">
        <v>15</v>
      </c>
      <c r="B11" s="17"/>
      <c r="C11" s="2">
        <f>$B$10*AVERAGE(C6,C9)</f>
        <v>46.5</v>
      </c>
      <c r="D11" s="2">
        <f t="shared" ref="D11:L11" si="3">$B$10*AVERAGE(D6,D9)</f>
        <v>43.5</v>
      </c>
      <c r="E11" s="2">
        <f t="shared" si="3"/>
        <v>40.5</v>
      </c>
      <c r="F11" s="2">
        <f t="shared" si="3"/>
        <v>37.5</v>
      </c>
      <c r="G11" s="2">
        <f t="shared" si="3"/>
        <v>34.5</v>
      </c>
      <c r="H11" s="2">
        <f t="shared" si="3"/>
        <v>31.5</v>
      </c>
      <c r="I11" s="2">
        <f t="shared" si="3"/>
        <v>28.5</v>
      </c>
      <c r="J11" s="2">
        <f t="shared" si="3"/>
        <v>25.5</v>
      </c>
      <c r="K11" s="2">
        <f t="shared" si="3"/>
        <v>22.5</v>
      </c>
      <c r="L11" s="2">
        <f t="shared" si="3"/>
        <v>19.5</v>
      </c>
    </row>
    <row r="12" spans="1:12" x14ac:dyDescent="0.25">
      <c r="A12" s="9"/>
      <c r="B12" s="17"/>
      <c r="C12" s="3"/>
      <c r="D12" s="3"/>
      <c r="E12" s="3"/>
      <c r="F12" s="3"/>
      <c r="G12" s="3"/>
      <c r="H12" s="3"/>
      <c r="I12" s="3"/>
      <c r="J12" s="3"/>
      <c r="K12" s="3"/>
      <c r="L12" s="3"/>
    </row>
    <row r="13" spans="1:12" x14ac:dyDescent="0.25">
      <c r="B13" s="17"/>
      <c r="C13" s="3"/>
      <c r="D13" s="3"/>
      <c r="E13" s="3"/>
      <c r="F13" s="3"/>
      <c r="G13" s="3"/>
      <c r="H13" s="3"/>
      <c r="I13" s="3"/>
      <c r="J13" s="3"/>
      <c r="K13" s="3"/>
      <c r="L13" s="3"/>
    </row>
    <row r="14" spans="1:12" x14ac:dyDescent="0.25">
      <c r="B14" s="17"/>
      <c r="C14" s="3"/>
      <c r="D14" s="3"/>
      <c r="E14" s="3"/>
      <c r="F14" s="3"/>
      <c r="G14" s="3"/>
      <c r="H14" s="3"/>
      <c r="I14" s="3"/>
      <c r="J14" s="3"/>
      <c r="K14" s="3"/>
      <c r="L14" s="3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3"/>
  <sheetViews>
    <sheetView showGridLines="0" topLeftCell="A2" workbookViewId="0">
      <selection activeCell="A17" sqref="A17"/>
    </sheetView>
  </sheetViews>
  <sheetFormatPr defaultRowHeight="15" x14ac:dyDescent="0.25"/>
  <cols>
    <col min="1" max="1" width="53.140625" bestFit="1" customWidth="1"/>
    <col min="2" max="2" width="11.28515625" style="11" customWidth="1"/>
    <col min="3" max="12" width="11.28515625" customWidth="1"/>
  </cols>
  <sheetData>
    <row r="2" spans="1:12" x14ac:dyDescent="0.25">
      <c r="A2" s="58" t="s">
        <v>64</v>
      </c>
    </row>
    <row r="3" spans="1:12" x14ac:dyDescent="0.25">
      <c r="A3" s="7" t="s">
        <v>8</v>
      </c>
      <c r="B3" s="12" t="s">
        <v>98</v>
      </c>
      <c r="C3" s="62" t="s">
        <v>1</v>
      </c>
      <c r="D3" s="62" t="s">
        <v>2</v>
      </c>
      <c r="E3" s="62" t="s">
        <v>3</v>
      </c>
      <c r="F3" s="62" t="s">
        <v>4</v>
      </c>
      <c r="G3" s="62" t="s">
        <v>5</v>
      </c>
      <c r="H3" s="62" t="s">
        <v>6</v>
      </c>
      <c r="I3" s="62" t="s">
        <v>7</v>
      </c>
      <c r="J3" s="62" t="s">
        <v>99</v>
      </c>
      <c r="K3" s="62" t="s">
        <v>100</v>
      </c>
      <c r="L3" s="62" t="s">
        <v>101</v>
      </c>
    </row>
    <row r="4" spans="1:12" x14ac:dyDescent="0.25">
      <c r="A4" s="9"/>
      <c r="B4" s="15"/>
      <c r="C4" s="2"/>
      <c r="D4" s="2"/>
      <c r="E4" s="2"/>
      <c r="F4" s="2"/>
      <c r="G4" s="2"/>
      <c r="H4" s="2"/>
      <c r="I4" s="2"/>
      <c r="J4" s="2"/>
      <c r="K4" s="2"/>
      <c r="L4" s="2"/>
    </row>
    <row r="5" spans="1:12" x14ac:dyDescent="0.25">
      <c r="A5" s="37" t="s">
        <v>62</v>
      </c>
      <c r="B5" s="13"/>
      <c r="C5" s="2"/>
      <c r="D5" s="2"/>
      <c r="E5" s="2"/>
      <c r="F5" s="2"/>
      <c r="G5" s="2"/>
      <c r="H5" s="2"/>
      <c r="I5" s="2"/>
      <c r="J5" s="2"/>
      <c r="K5" s="2"/>
      <c r="L5" s="2"/>
    </row>
    <row r="6" spans="1:12" x14ac:dyDescent="0.25">
      <c r="A6" s="9" t="s">
        <v>91</v>
      </c>
      <c r="C6" s="2">
        <f>B9</f>
        <v>450</v>
      </c>
      <c r="D6" s="2">
        <f t="shared" ref="D6:L6" si="0">C9</f>
        <v>575</v>
      </c>
      <c r="E6" s="2">
        <f t="shared" si="0"/>
        <v>275</v>
      </c>
      <c r="F6" s="2">
        <f t="shared" si="0"/>
        <v>275</v>
      </c>
      <c r="G6" s="2">
        <f t="shared" si="0"/>
        <v>275</v>
      </c>
      <c r="H6" s="2">
        <f t="shared" si="0"/>
        <v>275</v>
      </c>
      <c r="I6" s="2">
        <f t="shared" si="0"/>
        <v>275</v>
      </c>
      <c r="J6" s="2">
        <f t="shared" si="0"/>
        <v>775</v>
      </c>
      <c r="K6" s="2">
        <f t="shared" si="0"/>
        <v>775</v>
      </c>
      <c r="L6" s="2">
        <f t="shared" si="0"/>
        <v>775</v>
      </c>
    </row>
    <row r="7" spans="1:12" x14ac:dyDescent="0.25">
      <c r="A7" s="9" t="s">
        <v>126</v>
      </c>
      <c r="C7" s="41">
        <f>C12*C13</f>
        <v>125</v>
      </c>
      <c r="D7" s="41">
        <f t="shared" ref="D7:L7" si="1">D12*D13</f>
        <v>0</v>
      </c>
      <c r="E7" s="41">
        <f t="shared" si="1"/>
        <v>0</v>
      </c>
      <c r="F7" s="41">
        <f t="shared" si="1"/>
        <v>0</v>
      </c>
      <c r="G7" s="41">
        <f t="shared" si="1"/>
        <v>0</v>
      </c>
      <c r="H7" s="41">
        <f t="shared" si="1"/>
        <v>0</v>
      </c>
      <c r="I7" s="41">
        <f t="shared" si="1"/>
        <v>500</v>
      </c>
      <c r="J7" s="41">
        <f t="shared" si="1"/>
        <v>0</v>
      </c>
      <c r="K7" s="41">
        <f t="shared" si="1"/>
        <v>0</v>
      </c>
      <c r="L7" s="41">
        <f t="shared" si="1"/>
        <v>0</v>
      </c>
    </row>
    <row r="8" spans="1:12" s="40" customFormat="1" x14ac:dyDescent="0.25">
      <c r="A8" s="9" t="s">
        <v>127</v>
      </c>
      <c r="B8" s="39"/>
      <c r="C8" s="41">
        <f>-C16*C17</f>
        <v>0</v>
      </c>
      <c r="D8" s="41">
        <f t="shared" ref="D8:L8" si="2">-D16*D17</f>
        <v>-300</v>
      </c>
      <c r="E8" s="41">
        <f t="shared" si="2"/>
        <v>0</v>
      </c>
      <c r="F8" s="41">
        <f t="shared" si="2"/>
        <v>0</v>
      </c>
      <c r="G8" s="41">
        <f t="shared" si="2"/>
        <v>0</v>
      </c>
      <c r="H8" s="41">
        <f t="shared" si="2"/>
        <v>0</v>
      </c>
      <c r="I8" s="41">
        <f t="shared" si="2"/>
        <v>0</v>
      </c>
      <c r="J8" s="41">
        <f t="shared" si="2"/>
        <v>0</v>
      </c>
      <c r="K8" s="41">
        <f t="shared" si="2"/>
        <v>0</v>
      </c>
      <c r="L8" s="41">
        <f t="shared" si="2"/>
        <v>0</v>
      </c>
    </row>
    <row r="9" spans="1:12" x14ac:dyDescent="0.25">
      <c r="A9" s="10" t="s">
        <v>89</v>
      </c>
      <c r="B9" s="24">
        <f>Statements!B56</f>
        <v>450</v>
      </c>
      <c r="C9" s="25">
        <f>SUM(C6:C8)</f>
        <v>575</v>
      </c>
      <c r="D9" s="25">
        <f t="shared" ref="D9:L9" si="3">SUM(D6:D8)</f>
        <v>275</v>
      </c>
      <c r="E9" s="25">
        <f t="shared" si="3"/>
        <v>275</v>
      </c>
      <c r="F9" s="25">
        <f t="shared" si="3"/>
        <v>275</v>
      </c>
      <c r="G9" s="25">
        <f t="shared" si="3"/>
        <v>275</v>
      </c>
      <c r="H9" s="25">
        <f t="shared" si="3"/>
        <v>275</v>
      </c>
      <c r="I9" s="25">
        <f t="shared" si="3"/>
        <v>775</v>
      </c>
      <c r="J9" s="25">
        <f t="shared" si="3"/>
        <v>775</v>
      </c>
      <c r="K9" s="25">
        <f t="shared" si="3"/>
        <v>775</v>
      </c>
      <c r="L9" s="25">
        <f t="shared" si="3"/>
        <v>775</v>
      </c>
    </row>
    <row r="10" spans="1:12" x14ac:dyDescent="0.25">
      <c r="A10" s="9"/>
      <c r="B10" s="17"/>
      <c r="C10" s="3"/>
      <c r="D10" s="3"/>
      <c r="E10" s="3"/>
      <c r="F10" s="3"/>
      <c r="G10" s="3"/>
      <c r="H10" s="3"/>
      <c r="I10" s="3"/>
      <c r="J10" s="3"/>
      <c r="K10" s="3"/>
      <c r="L10" s="3"/>
    </row>
    <row r="11" spans="1:12" x14ac:dyDescent="0.25">
      <c r="A11" s="37" t="s">
        <v>120</v>
      </c>
      <c r="B11" s="17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1:12" x14ac:dyDescent="0.25">
      <c r="A12" s="9" t="s">
        <v>121</v>
      </c>
      <c r="B12" s="17"/>
      <c r="C12" s="57">
        <v>5</v>
      </c>
      <c r="D12" s="57">
        <v>0</v>
      </c>
      <c r="E12" s="57">
        <v>0</v>
      </c>
      <c r="F12" s="57">
        <v>0</v>
      </c>
      <c r="G12" s="57">
        <v>0</v>
      </c>
      <c r="H12" s="57">
        <v>0</v>
      </c>
      <c r="I12" s="57">
        <v>5</v>
      </c>
      <c r="J12" s="57">
        <v>0</v>
      </c>
      <c r="K12" s="57">
        <v>0</v>
      </c>
      <c r="L12" s="57">
        <v>0</v>
      </c>
    </row>
    <row r="13" spans="1:12" x14ac:dyDescent="0.25">
      <c r="A13" s="9" t="s">
        <v>122</v>
      </c>
      <c r="C13" s="57">
        <v>25</v>
      </c>
      <c r="D13" s="57">
        <v>0</v>
      </c>
      <c r="E13" s="57">
        <v>0</v>
      </c>
      <c r="F13" s="57">
        <v>0</v>
      </c>
      <c r="G13" s="57">
        <v>0</v>
      </c>
      <c r="H13" s="57">
        <v>0</v>
      </c>
      <c r="I13" s="57">
        <v>100</v>
      </c>
      <c r="J13" s="57">
        <v>0</v>
      </c>
      <c r="K13" s="57">
        <v>0</v>
      </c>
      <c r="L13" s="57">
        <v>0</v>
      </c>
    </row>
    <row r="15" spans="1:12" x14ac:dyDescent="0.25">
      <c r="A15" s="37" t="s">
        <v>123</v>
      </c>
    </row>
    <row r="16" spans="1:12" x14ac:dyDescent="0.25">
      <c r="A16" s="9" t="s">
        <v>124</v>
      </c>
      <c r="C16" s="57">
        <v>0</v>
      </c>
      <c r="D16" s="57">
        <v>10</v>
      </c>
      <c r="E16" s="57">
        <v>0</v>
      </c>
      <c r="F16" s="57">
        <v>0</v>
      </c>
      <c r="G16" s="57">
        <v>0</v>
      </c>
      <c r="H16" s="57">
        <v>0</v>
      </c>
      <c r="I16" s="57">
        <v>0</v>
      </c>
      <c r="J16" s="57">
        <v>0</v>
      </c>
      <c r="K16" s="57">
        <v>0</v>
      </c>
      <c r="L16" s="57">
        <v>0</v>
      </c>
    </row>
    <row r="17" spans="1:12" x14ac:dyDescent="0.25">
      <c r="A17" s="9" t="s">
        <v>122</v>
      </c>
      <c r="C17" s="57">
        <v>0</v>
      </c>
      <c r="D17" s="57">
        <v>30</v>
      </c>
      <c r="E17" s="57">
        <v>0</v>
      </c>
      <c r="F17" s="57">
        <v>0</v>
      </c>
      <c r="G17" s="57">
        <v>0</v>
      </c>
      <c r="H17" s="57">
        <v>0</v>
      </c>
      <c r="I17" s="57">
        <v>0</v>
      </c>
      <c r="J17" s="57">
        <v>0</v>
      </c>
      <c r="K17" s="57">
        <v>0</v>
      </c>
      <c r="L17" s="57">
        <v>0</v>
      </c>
    </row>
    <row r="19" spans="1:12" x14ac:dyDescent="0.25">
      <c r="A19" s="1" t="s">
        <v>142</v>
      </c>
    </row>
    <row r="20" spans="1:12" x14ac:dyDescent="0.25">
      <c r="A20" t="s">
        <v>125</v>
      </c>
      <c r="C20" s="2">
        <f>B23</f>
        <v>130</v>
      </c>
      <c r="D20" s="2">
        <f t="shared" ref="D20:L20" si="4">C23</f>
        <v>135</v>
      </c>
      <c r="E20" s="2">
        <f t="shared" si="4"/>
        <v>125</v>
      </c>
      <c r="F20" s="2">
        <f t="shared" si="4"/>
        <v>125</v>
      </c>
      <c r="G20" s="2">
        <f t="shared" si="4"/>
        <v>125</v>
      </c>
      <c r="H20" s="2">
        <f t="shared" si="4"/>
        <v>125</v>
      </c>
      <c r="I20" s="2">
        <f t="shared" si="4"/>
        <v>125</v>
      </c>
      <c r="J20" s="2">
        <f t="shared" si="4"/>
        <v>130</v>
      </c>
      <c r="K20" s="2">
        <f t="shared" si="4"/>
        <v>130</v>
      </c>
      <c r="L20" s="2">
        <f t="shared" si="4"/>
        <v>130</v>
      </c>
    </row>
    <row r="21" spans="1:12" x14ac:dyDescent="0.25">
      <c r="A21" s="9" t="s">
        <v>118</v>
      </c>
      <c r="C21" s="2">
        <f>C12</f>
        <v>5</v>
      </c>
      <c r="D21" s="2">
        <f t="shared" ref="D21:L21" si="5">D12</f>
        <v>0</v>
      </c>
      <c r="E21" s="2">
        <f t="shared" si="5"/>
        <v>0</v>
      </c>
      <c r="F21" s="2">
        <f t="shared" si="5"/>
        <v>0</v>
      </c>
      <c r="G21" s="2">
        <f t="shared" si="5"/>
        <v>0</v>
      </c>
      <c r="H21" s="2">
        <f t="shared" si="5"/>
        <v>0</v>
      </c>
      <c r="I21" s="2">
        <f t="shared" si="5"/>
        <v>5</v>
      </c>
      <c r="J21" s="2">
        <f t="shared" si="5"/>
        <v>0</v>
      </c>
      <c r="K21" s="2">
        <f t="shared" si="5"/>
        <v>0</v>
      </c>
      <c r="L21" s="2">
        <f t="shared" si="5"/>
        <v>0</v>
      </c>
    </row>
    <row r="22" spans="1:12" x14ac:dyDescent="0.25">
      <c r="A22" s="9" t="s">
        <v>119</v>
      </c>
      <c r="C22" s="2">
        <f>-C16</f>
        <v>0</v>
      </c>
      <c r="D22" s="2">
        <f t="shared" ref="D22:L22" si="6">-D16</f>
        <v>-10</v>
      </c>
      <c r="E22" s="2">
        <f t="shared" si="6"/>
        <v>0</v>
      </c>
      <c r="F22" s="2">
        <f t="shared" si="6"/>
        <v>0</v>
      </c>
      <c r="G22" s="2">
        <f t="shared" si="6"/>
        <v>0</v>
      </c>
      <c r="H22" s="2">
        <f t="shared" si="6"/>
        <v>0</v>
      </c>
      <c r="I22" s="2">
        <f t="shared" si="6"/>
        <v>0</v>
      </c>
      <c r="J22" s="2">
        <f t="shared" si="6"/>
        <v>0</v>
      </c>
      <c r="K22" s="2">
        <f t="shared" si="6"/>
        <v>0</v>
      </c>
      <c r="L22" s="2">
        <f t="shared" si="6"/>
        <v>0</v>
      </c>
    </row>
    <row r="23" spans="1:12" x14ac:dyDescent="0.25">
      <c r="A23" s="10" t="s">
        <v>89</v>
      </c>
      <c r="B23" s="24">
        <f>Statements!B18</f>
        <v>130</v>
      </c>
      <c r="C23" s="25">
        <f>SUM(C20:C22)</f>
        <v>135</v>
      </c>
      <c r="D23" s="25">
        <f t="shared" ref="D23:L23" si="7">SUM(D20:D22)</f>
        <v>125</v>
      </c>
      <c r="E23" s="25">
        <f t="shared" si="7"/>
        <v>125</v>
      </c>
      <c r="F23" s="25">
        <f t="shared" si="7"/>
        <v>125</v>
      </c>
      <c r="G23" s="25">
        <f t="shared" si="7"/>
        <v>125</v>
      </c>
      <c r="H23" s="25">
        <f t="shared" si="7"/>
        <v>125</v>
      </c>
      <c r="I23" s="25">
        <f t="shared" si="7"/>
        <v>130</v>
      </c>
      <c r="J23" s="25">
        <f t="shared" si="7"/>
        <v>130</v>
      </c>
      <c r="K23" s="25">
        <f t="shared" si="7"/>
        <v>130</v>
      </c>
      <c r="L23" s="25">
        <f t="shared" si="7"/>
        <v>130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6"/>
  <sheetViews>
    <sheetView showGridLines="0" zoomScale="80" zoomScaleNormal="80" workbookViewId="0">
      <selection activeCell="Q11" sqref="Q11"/>
    </sheetView>
  </sheetViews>
  <sheetFormatPr defaultRowHeight="15" x14ac:dyDescent="0.25"/>
  <cols>
    <col min="1" max="1" width="28.7109375" customWidth="1"/>
    <col min="2" max="2" width="13.140625" style="11" bestFit="1" customWidth="1"/>
    <col min="3" max="12" width="11.28515625" customWidth="1"/>
  </cols>
  <sheetData>
    <row r="3" spans="1:13" x14ac:dyDescent="0.25">
      <c r="A3" s="7" t="s">
        <v>8</v>
      </c>
      <c r="B3" s="12" t="s">
        <v>98</v>
      </c>
      <c r="C3" s="62" t="s">
        <v>1</v>
      </c>
      <c r="D3" s="62" t="s">
        <v>2</v>
      </c>
      <c r="E3" s="62" t="s">
        <v>3</v>
      </c>
      <c r="F3" s="62" t="s">
        <v>4</v>
      </c>
      <c r="G3" s="62" t="s">
        <v>5</v>
      </c>
      <c r="H3" s="62" t="s">
        <v>6</v>
      </c>
      <c r="I3" s="62" t="s">
        <v>7</v>
      </c>
      <c r="J3" s="62" t="s">
        <v>99</v>
      </c>
      <c r="K3" s="62" t="s">
        <v>100</v>
      </c>
      <c r="L3" s="62" t="s">
        <v>101</v>
      </c>
    </row>
    <row r="4" spans="1:13" x14ac:dyDescent="0.25">
      <c r="B4" s="17"/>
      <c r="C4" s="3"/>
      <c r="D4" s="3"/>
      <c r="E4" s="3"/>
      <c r="F4" s="3"/>
      <c r="G4" s="3"/>
      <c r="H4" s="3"/>
      <c r="I4" s="3"/>
      <c r="J4" s="3"/>
      <c r="K4" s="3"/>
      <c r="L4" s="3"/>
    </row>
    <row r="5" spans="1:13" x14ac:dyDescent="0.25">
      <c r="A5" s="4" t="s">
        <v>9</v>
      </c>
      <c r="B5" s="17"/>
      <c r="C5" s="3">
        <f>CHOOSE(Statements!$D$2,Scenarios!C15,Scenarios!C23,Scenarios!C31)</f>
        <v>0.02</v>
      </c>
      <c r="D5" s="3">
        <f>CHOOSE(Statements!$D$2,Scenarios!D15,Scenarios!D23,Scenarios!D31)</f>
        <v>0.02</v>
      </c>
      <c r="E5" s="3">
        <f>CHOOSE(Statements!$D$2,Scenarios!E15,Scenarios!E23,Scenarios!E31)</f>
        <v>0.02</v>
      </c>
      <c r="F5" s="3">
        <f>CHOOSE(Statements!$D$2,Scenarios!F15,Scenarios!F23,Scenarios!F31)</f>
        <v>0.02</v>
      </c>
      <c r="G5" s="3">
        <f>CHOOSE(Statements!$D$2,Scenarios!G15,Scenarios!G23,Scenarios!G31)</f>
        <v>0.02</v>
      </c>
      <c r="H5" s="3">
        <f>CHOOSE(Statements!$D$2,Scenarios!H15,Scenarios!H23,Scenarios!H31)</f>
        <v>0.02</v>
      </c>
      <c r="I5" s="3">
        <f>CHOOSE(Statements!$D$2,Scenarios!I15,Scenarios!I23,Scenarios!I31)</f>
        <v>0.02</v>
      </c>
      <c r="J5" s="3">
        <f>CHOOSE(Statements!$D$2,Scenarios!J15,Scenarios!J23,Scenarios!J31)</f>
        <v>0.02</v>
      </c>
      <c r="K5" s="3">
        <f>CHOOSE(Statements!$D$2,Scenarios!K15,Scenarios!K23,Scenarios!K31)</f>
        <v>0.02</v>
      </c>
      <c r="L5" s="3">
        <f>CHOOSE(Statements!$D$2,Scenarios!L15,Scenarios!L23,Scenarios!L31)</f>
        <v>0.02</v>
      </c>
    </row>
    <row r="6" spans="1:13" x14ac:dyDescent="0.25">
      <c r="A6" s="4" t="s">
        <v>25</v>
      </c>
      <c r="B6" s="17"/>
      <c r="C6" s="3">
        <f>CHOOSE(Statements!$D$2,Scenarios!C16,Scenarios!C24,Scenarios!C32)</f>
        <v>0.245</v>
      </c>
      <c r="D6" s="3">
        <f>CHOOSE(Statements!$D$2,Scenarios!D16,Scenarios!D24,Scenarios!D32)</f>
        <v>0.245</v>
      </c>
      <c r="E6" s="3">
        <f>CHOOSE(Statements!$D$2,Scenarios!E16,Scenarios!E24,Scenarios!E32)</f>
        <v>0.245</v>
      </c>
      <c r="F6" s="3">
        <f>CHOOSE(Statements!$D$2,Scenarios!F16,Scenarios!F24,Scenarios!F32)</f>
        <v>0.245</v>
      </c>
      <c r="G6" s="3">
        <f>CHOOSE(Statements!$D$2,Scenarios!G16,Scenarios!G24,Scenarios!G32)</f>
        <v>0.245</v>
      </c>
      <c r="H6" s="3">
        <f>CHOOSE(Statements!$D$2,Scenarios!H16,Scenarios!H24,Scenarios!H32)</f>
        <v>0.245</v>
      </c>
      <c r="I6" s="3">
        <f>CHOOSE(Statements!$D$2,Scenarios!I16,Scenarios!I24,Scenarios!I32)</f>
        <v>0.245</v>
      </c>
      <c r="J6" s="3">
        <f>CHOOSE(Statements!$D$2,Scenarios!J16,Scenarios!J24,Scenarios!J32)</f>
        <v>0.245</v>
      </c>
      <c r="K6" s="3">
        <f>CHOOSE(Statements!$D$2,Scenarios!K16,Scenarios!K24,Scenarios!K32)</f>
        <v>0.245</v>
      </c>
      <c r="L6" s="3">
        <f>CHOOSE(Statements!$D$2,Scenarios!L16,Scenarios!L24,Scenarios!L32)</f>
        <v>0.245</v>
      </c>
    </row>
    <row r="7" spans="1:13" x14ac:dyDescent="0.25">
      <c r="A7" s="4" t="s">
        <v>26</v>
      </c>
      <c r="B7" s="17"/>
      <c r="C7" s="3">
        <f>CHOOSE(Statements!$D$2,Scenarios!C17,Scenarios!C25,Scenarios!C33)</f>
        <v>0.38</v>
      </c>
      <c r="D7" s="3">
        <f>CHOOSE(Statements!$D$2,Scenarios!D17,Scenarios!D25,Scenarios!D33)</f>
        <v>0.38</v>
      </c>
      <c r="E7" s="3">
        <f>CHOOSE(Statements!$D$2,Scenarios!E17,Scenarios!E25,Scenarios!E33)</f>
        <v>0.38</v>
      </c>
      <c r="F7" s="3">
        <f>CHOOSE(Statements!$D$2,Scenarios!F17,Scenarios!F25,Scenarios!F33)</f>
        <v>0.38</v>
      </c>
      <c r="G7" s="3">
        <f>CHOOSE(Statements!$D$2,Scenarios!G17,Scenarios!G25,Scenarios!G33)</f>
        <v>0.38</v>
      </c>
      <c r="H7" s="3">
        <f>CHOOSE(Statements!$D$2,Scenarios!H17,Scenarios!H25,Scenarios!H33)</f>
        <v>0.38</v>
      </c>
      <c r="I7" s="3">
        <f>CHOOSE(Statements!$D$2,Scenarios!I17,Scenarios!I25,Scenarios!I33)</f>
        <v>0.38</v>
      </c>
      <c r="J7" s="3">
        <f>CHOOSE(Statements!$D$2,Scenarios!J17,Scenarios!J25,Scenarios!J33)</f>
        <v>0.38</v>
      </c>
      <c r="K7" s="3">
        <f>CHOOSE(Statements!$D$2,Scenarios!K17,Scenarios!K25,Scenarios!K33)</f>
        <v>0.38</v>
      </c>
      <c r="L7" s="3">
        <f>CHOOSE(Statements!$D$2,Scenarios!L17,Scenarios!L25,Scenarios!L33)</f>
        <v>0.38</v>
      </c>
    </row>
    <row r="8" spans="1:13" x14ac:dyDescent="0.25">
      <c r="A8" s="4" t="s">
        <v>27</v>
      </c>
      <c r="B8" s="17"/>
      <c r="C8" s="3">
        <f>CHOOSE(Statements!$D$2,Scenarios!C18,Scenarios!C26,Scenarios!C34)</f>
        <v>0.125</v>
      </c>
      <c r="D8" s="3">
        <f>CHOOSE(Statements!$D$2,Scenarios!D18,Scenarios!D26,Scenarios!D34)</f>
        <v>0.125</v>
      </c>
      <c r="E8" s="3">
        <f>CHOOSE(Statements!$D$2,Scenarios!E18,Scenarios!E26,Scenarios!E34)</f>
        <v>0.125</v>
      </c>
      <c r="F8" s="3">
        <f>CHOOSE(Statements!$D$2,Scenarios!F18,Scenarios!F26,Scenarios!F34)</f>
        <v>0.125</v>
      </c>
      <c r="G8" s="3">
        <f>CHOOSE(Statements!$D$2,Scenarios!G18,Scenarios!G26,Scenarios!G34)</f>
        <v>0.125</v>
      </c>
      <c r="H8" s="3">
        <f>CHOOSE(Statements!$D$2,Scenarios!H18,Scenarios!H26,Scenarios!H34)</f>
        <v>0.125</v>
      </c>
      <c r="I8" s="3">
        <f>CHOOSE(Statements!$D$2,Scenarios!I18,Scenarios!I26,Scenarios!I34)</f>
        <v>0.125</v>
      </c>
      <c r="J8" s="3">
        <f>CHOOSE(Statements!$D$2,Scenarios!J18,Scenarios!J26,Scenarios!J34)</f>
        <v>0.125</v>
      </c>
      <c r="K8" s="3">
        <f>CHOOSE(Statements!$D$2,Scenarios!K18,Scenarios!K26,Scenarios!K34)</f>
        <v>0.125</v>
      </c>
      <c r="L8" s="3">
        <f>CHOOSE(Statements!$D$2,Scenarios!L18,Scenarios!L26,Scenarios!L34)</f>
        <v>0.125</v>
      </c>
    </row>
    <row r="9" spans="1:13" x14ac:dyDescent="0.25">
      <c r="A9" s="4" t="s">
        <v>38</v>
      </c>
      <c r="B9" s="17"/>
      <c r="C9" s="3">
        <f>CHOOSE(Statements!$D$2,Scenarios!C19,Scenarios!C27,Scenarios!C35)</f>
        <v>0.26500000000000001</v>
      </c>
      <c r="D9" s="3">
        <f>CHOOSE(Statements!$D$2,Scenarios!D19,Scenarios!D27,Scenarios!D35)</f>
        <v>0.26500000000000001</v>
      </c>
      <c r="E9" s="3">
        <f>CHOOSE(Statements!$D$2,Scenarios!E19,Scenarios!E27,Scenarios!E35)</f>
        <v>0.26500000000000001</v>
      </c>
      <c r="F9" s="3">
        <f>CHOOSE(Statements!$D$2,Scenarios!F19,Scenarios!F27,Scenarios!F35)</f>
        <v>0.26500000000000001</v>
      </c>
      <c r="G9" s="3">
        <f>CHOOSE(Statements!$D$2,Scenarios!G19,Scenarios!G27,Scenarios!G35)</f>
        <v>0.26500000000000001</v>
      </c>
      <c r="H9" s="3">
        <f>CHOOSE(Statements!$D$2,Scenarios!H19,Scenarios!H27,Scenarios!H35)</f>
        <v>0.26500000000000001</v>
      </c>
      <c r="I9" s="3">
        <f>CHOOSE(Statements!$D$2,Scenarios!I19,Scenarios!I27,Scenarios!I35)</f>
        <v>0.26500000000000001</v>
      </c>
      <c r="J9" s="3">
        <f>CHOOSE(Statements!$D$2,Scenarios!J19,Scenarios!J27,Scenarios!J35)</f>
        <v>0.26500000000000001</v>
      </c>
      <c r="K9" s="3">
        <f>CHOOSE(Statements!$D$2,Scenarios!K19,Scenarios!K27,Scenarios!K35)</f>
        <v>0.26500000000000001</v>
      </c>
      <c r="L9" s="3">
        <f>CHOOSE(Statements!$D$2,Scenarios!L19,Scenarios!L27,Scenarios!L35)</f>
        <v>0.26500000000000001</v>
      </c>
    </row>
    <row r="10" spans="1:13" x14ac:dyDescent="0.25">
      <c r="A10" s="4" t="s">
        <v>39</v>
      </c>
      <c r="B10" s="17"/>
      <c r="C10" s="3">
        <f>CHOOSE(Statements!$D$2,Scenarios!C20,Scenarios!C28,Scenarios!C36)</f>
        <v>0.105</v>
      </c>
      <c r="D10" s="3">
        <f>CHOOSE(Statements!$D$2,Scenarios!D20,Scenarios!D28,Scenarios!D36)</f>
        <v>0.105</v>
      </c>
      <c r="E10" s="3">
        <f>CHOOSE(Statements!$D$2,Scenarios!E20,Scenarios!E28,Scenarios!E36)</f>
        <v>0.105</v>
      </c>
      <c r="F10" s="3">
        <f>CHOOSE(Statements!$D$2,Scenarios!F20,Scenarios!F28,Scenarios!F36)</f>
        <v>0.105</v>
      </c>
      <c r="G10" s="3">
        <f>CHOOSE(Statements!$D$2,Scenarios!G20,Scenarios!G28,Scenarios!G36)</f>
        <v>0.105</v>
      </c>
      <c r="H10" s="3">
        <f>CHOOSE(Statements!$D$2,Scenarios!H20,Scenarios!H28,Scenarios!H36)</f>
        <v>0.105</v>
      </c>
      <c r="I10" s="3">
        <f>CHOOSE(Statements!$D$2,Scenarios!I20,Scenarios!I28,Scenarios!I36)</f>
        <v>0.105</v>
      </c>
      <c r="J10" s="3">
        <f>CHOOSE(Statements!$D$2,Scenarios!J20,Scenarios!J28,Scenarios!J36)</f>
        <v>0.105</v>
      </c>
      <c r="K10" s="3">
        <f>CHOOSE(Statements!$D$2,Scenarios!K20,Scenarios!K28,Scenarios!K36)</f>
        <v>0.105</v>
      </c>
      <c r="L10" s="3">
        <f>CHOOSE(Statements!$D$2,Scenarios!L20,Scenarios!L28,Scenarios!L36)</f>
        <v>0.105</v>
      </c>
    </row>
    <row r="11" spans="1:13" x14ac:dyDescent="0.25">
      <c r="A11" s="4"/>
      <c r="B11" s="17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1:13" x14ac:dyDescent="0.25">
      <c r="A12" t="s">
        <v>137</v>
      </c>
      <c r="B12" s="17"/>
      <c r="C12" s="44">
        <v>0.5</v>
      </c>
      <c r="D12" s="44">
        <v>0.5</v>
      </c>
      <c r="E12" s="44">
        <v>0.5</v>
      </c>
      <c r="F12" s="44">
        <v>0.5</v>
      </c>
      <c r="G12" s="44">
        <v>0.5</v>
      </c>
      <c r="H12" s="44">
        <v>0.5</v>
      </c>
      <c r="I12" s="44">
        <v>0.5</v>
      </c>
      <c r="J12" s="44">
        <v>0.5</v>
      </c>
      <c r="K12" s="44">
        <v>0.5</v>
      </c>
      <c r="L12" s="44">
        <v>0.5</v>
      </c>
    </row>
    <row r="13" spans="1:13" x14ac:dyDescent="0.25">
      <c r="A13" s="4"/>
      <c r="B13" s="17"/>
      <c r="C13" s="3"/>
      <c r="D13" s="3"/>
      <c r="E13" s="3"/>
      <c r="F13" s="3"/>
      <c r="G13" s="3"/>
      <c r="H13" s="3"/>
      <c r="I13" s="3"/>
      <c r="J13" s="3"/>
      <c r="K13" s="3"/>
      <c r="L13" s="3"/>
    </row>
    <row r="14" spans="1:13" x14ac:dyDescent="0.25">
      <c r="A14" s="1" t="s">
        <v>93</v>
      </c>
      <c r="B14" s="17"/>
      <c r="C14" s="3"/>
      <c r="D14" s="3"/>
      <c r="E14" s="3"/>
      <c r="F14" s="3"/>
      <c r="G14" s="3"/>
      <c r="H14" s="3"/>
      <c r="I14" s="3"/>
      <c r="J14" s="3"/>
      <c r="K14" s="3"/>
      <c r="L14" s="3"/>
      <c r="M14" s="8" t="s">
        <v>61</v>
      </c>
    </row>
    <row r="15" spans="1:13" x14ac:dyDescent="0.25">
      <c r="A15" s="4" t="s">
        <v>9</v>
      </c>
      <c r="B15" s="42"/>
      <c r="C15" s="44">
        <v>0.2</v>
      </c>
      <c r="D15" s="3">
        <f>C15-$M$15</f>
        <v>0.19</v>
      </c>
      <c r="E15" s="3">
        <f t="shared" ref="E15:L15" si="0">D15-$M$15</f>
        <v>0.18</v>
      </c>
      <c r="F15" s="3">
        <f t="shared" si="0"/>
        <v>0.16999999999999998</v>
      </c>
      <c r="G15" s="3">
        <f t="shared" si="0"/>
        <v>0.15999999999999998</v>
      </c>
      <c r="H15" s="3">
        <f t="shared" si="0"/>
        <v>0.14999999999999997</v>
      </c>
      <c r="I15" s="3">
        <f t="shared" si="0"/>
        <v>0.13999999999999996</v>
      </c>
      <c r="J15" s="3">
        <f t="shared" si="0"/>
        <v>0.12999999999999995</v>
      </c>
      <c r="K15" s="3">
        <f t="shared" si="0"/>
        <v>0.11999999999999995</v>
      </c>
      <c r="L15" s="3">
        <f t="shared" si="0"/>
        <v>0.10999999999999996</v>
      </c>
      <c r="M15" s="43">
        <v>0.01</v>
      </c>
    </row>
    <row r="16" spans="1:13" x14ac:dyDescent="0.25">
      <c r="A16" s="4" t="s">
        <v>25</v>
      </c>
      <c r="B16" s="42">
        <f>-(Statements!B8)/Statements!B6</f>
        <v>0.24285714285714285</v>
      </c>
      <c r="C16" s="44">
        <v>0.24</v>
      </c>
      <c r="D16" s="44">
        <v>0.24</v>
      </c>
      <c r="E16" s="44">
        <v>0.24</v>
      </c>
      <c r="F16" s="44">
        <v>0.24</v>
      </c>
      <c r="G16" s="44">
        <v>0.24</v>
      </c>
      <c r="H16" s="44">
        <v>0.24</v>
      </c>
      <c r="I16" s="44">
        <v>0.24</v>
      </c>
      <c r="J16" s="44">
        <v>0.24</v>
      </c>
      <c r="K16" s="44">
        <v>0.24</v>
      </c>
      <c r="L16" s="44">
        <v>0.24</v>
      </c>
    </row>
    <row r="17" spans="1:12" x14ac:dyDescent="0.25">
      <c r="A17" s="4" t="s">
        <v>26</v>
      </c>
      <c r="B17" s="42">
        <f>-(Statements!B10)/Statements!B6</f>
        <v>0.37857142857142856</v>
      </c>
      <c r="C17" s="44">
        <v>0.375</v>
      </c>
      <c r="D17" s="44">
        <v>0.375</v>
      </c>
      <c r="E17" s="44">
        <v>0.375</v>
      </c>
      <c r="F17" s="44">
        <v>0.375</v>
      </c>
      <c r="G17" s="44">
        <v>0.375</v>
      </c>
      <c r="H17" s="44">
        <v>0.375</v>
      </c>
      <c r="I17" s="44">
        <v>0.375</v>
      </c>
      <c r="J17" s="44">
        <v>0.375</v>
      </c>
      <c r="K17" s="44">
        <v>0.375</v>
      </c>
      <c r="L17" s="44">
        <v>0.375</v>
      </c>
    </row>
    <row r="18" spans="1:12" x14ac:dyDescent="0.25">
      <c r="A18" s="4" t="s">
        <v>27</v>
      </c>
      <c r="B18" s="42">
        <f>-(Statements!B11)/Statements!B6</f>
        <v>0.12857142857142856</v>
      </c>
      <c r="C18" s="44">
        <v>0.129</v>
      </c>
      <c r="D18" s="44">
        <v>0.129</v>
      </c>
      <c r="E18" s="44">
        <v>0.129</v>
      </c>
      <c r="F18" s="44">
        <v>0.129</v>
      </c>
      <c r="G18" s="44">
        <v>0.129</v>
      </c>
      <c r="H18" s="44">
        <v>0.129</v>
      </c>
      <c r="I18" s="44">
        <v>0.129</v>
      </c>
      <c r="J18" s="44">
        <v>0.129</v>
      </c>
      <c r="K18" s="44">
        <v>0.129</v>
      </c>
      <c r="L18" s="44">
        <v>0.129</v>
      </c>
    </row>
    <row r="19" spans="1:12" x14ac:dyDescent="0.25">
      <c r="A19" s="4" t="s">
        <v>38</v>
      </c>
      <c r="B19" s="42">
        <f>-Statements!B16/Statements!B15</f>
        <v>0.26486486486486488</v>
      </c>
      <c r="C19" s="44">
        <v>0.26500000000000001</v>
      </c>
      <c r="D19" s="44">
        <v>0.26500000000000001</v>
      </c>
      <c r="E19" s="44">
        <v>0.26500000000000001</v>
      </c>
      <c r="F19" s="44">
        <v>0.26500000000000001</v>
      </c>
      <c r="G19" s="44">
        <v>0.26500000000000001</v>
      </c>
      <c r="H19" s="44">
        <v>0.26500000000000001</v>
      </c>
      <c r="I19" s="44">
        <v>0.26500000000000001</v>
      </c>
      <c r="J19" s="44">
        <v>0.26500000000000001</v>
      </c>
      <c r="K19" s="44">
        <v>0.26500000000000001</v>
      </c>
      <c r="L19" s="44">
        <v>0.26500000000000001</v>
      </c>
    </row>
    <row r="20" spans="1:12" x14ac:dyDescent="0.25">
      <c r="A20" s="4" t="s">
        <v>39</v>
      </c>
      <c r="B20" s="42">
        <f>Statements!B91/Statements!B6</f>
        <v>-0.11071428571428571</v>
      </c>
      <c r="C20" s="44">
        <v>0.112</v>
      </c>
      <c r="D20" s="44">
        <v>0.112</v>
      </c>
      <c r="E20" s="44">
        <v>0.112</v>
      </c>
      <c r="F20" s="44">
        <v>0.112</v>
      </c>
      <c r="G20" s="44">
        <v>0.112</v>
      </c>
      <c r="H20" s="44">
        <v>0.112</v>
      </c>
      <c r="I20" s="44">
        <v>0.112</v>
      </c>
      <c r="J20" s="44">
        <v>0.112</v>
      </c>
      <c r="K20" s="44">
        <v>0.112</v>
      </c>
      <c r="L20" s="44">
        <v>0.112</v>
      </c>
    </row>
    <row r="21" spans="1:12" x14ac:dyDescent="0.25">
      <c r="B21" s="17"/>
      <c r="C21" s="3"/>
      <c r="D21" s="3"/>
      <c r="E21" s="3"/>
      <c r="F21" s="3"/>
      <c r="G21" s="3"/>
      <c r="H21" s="3"/>
      <c r="I21" s="3"/>
      <c r="J21" s="3"/>
      <c r="K21" s="3"/>
      <c r="L21" s="3"/>
    </row>
    <row r="22" spans="1:12" x14ac:dyDescent="0.25">
      <c r="A22" s="1" t="s">
        <v>94</v>
      </c>
      <c r="B22" s="17"/>
      <c r="C22" s="3"/>
      <c r="D22" s="3"/>
      <c r="E22" s="3"/>
      <c r="F22" s="3"/>
      <c r="G22" s="3"/>
      <c r="H22" s="3"/>
      <c r="I22" s="3"/>
      <c r="J22" s="3"/>
      <c r="K22" s="3"/>
      <c r="L22" s="3"/>
    </row>
    <row r="23" spans="1:12" x14ac:dyDescent="0.25">
      <c r="A23" s="4" t="s">
        <v>9</v>
      </c>
      <c r="B23" s="17"/>
      <c r="C23" s="44">
        <v>0.02</v>
      </c>
      <c r="D23" s="44">
        <v>0.02</v>
      </c>
      <c r="E23" s="44">
        <v>0.02</v>
      </c>
      <c r="F23" s="44">
        <v>0.02</v>
      </c>
      <c r="G23" s="44">
        <v>0.02</v>
      </c>
      <c r="H23" s="44">
        <v>0.02</v>
      </c>
      <c r="I23" s="44">
        <v>0.02</v>
      </c>
      <c r="J23" s="44">
        <v>0.02</v>
      </c>
      <c r="K23" s="44">
        <v>0.02</v>
      </c>
      <c r="L23" s="44">
        <v>0.02</v>
      </c>
    </row>
    <row r="24" spans="1:12" x14ac:dyDescent="0.25">
      <c r="A24" s="4" t="s">
        <v>25</v>
      </c>
      <c r="B24" s="17">
        <f t="shared" ref="B24:B28" si="1">B16</f>
        <v>0.24285714285714285</v>
      </c>
      <c r="C24" s="44">
        <v>0.245</v>
      </c>
      <c r="D24" s="44">
        <v>0.245</v>
      </c>
      <c r="E24" s="44">
        <v>0.245</v>
      </c>
      <c r="F24" s="44">
        <v>0.245</v>
      </c>
      <c r="G24" s="44">
        <v>0.245</v>
      </c>
      <c r="H24" s="44">
        <v>0.245</v>
      </c>
      <c r="I24" s="44">
        <v>0.245</v>
      </c>
      <c r="J24" s="44">
        <v>0.245</v>
      </c>
      <c r="K24" s="44">
        <v>0.245</v>
      </c>
      <c r="L24" s="44">
        <v>0.245</v>
      </c>
    </row>
    <row r="25" spans="1:12" x14ac:dyDescent="0.25">
      <c r="A25" s="4" t="s">
        <v>26</v>
      </c>
      <c r="B25" s="17">
        <f t="shared" si="1"/>
        <v>0.37857142857142856</v>
      </c>
      <c r="C25" s="44">
        <v>0.38</v>
      </c>
      <c r="D25" s="44">
        <v>0.38</v>
      </c>
      <c r="E25" s="44">
        <v>0.38</v>
      </c>
      <c r="F25" s="44">
        <v>0.38</v>
      </c>
      <c r="G25" s="44">
        <v>0.38</v>
      </c>
      <c r="H25" s="44">
        <v>0.38</v>
      </c>
      <c r="I25" s="44">
        <v>0.38</v>
      </c>
      <c r="J25" s="44">
        <v>0.38</v>
      </c>
      <c r="K25" s="44">
        <v>0.38</v>
      </c>
      <c r="L25" s="44">
        <v>0.38</v>
      </c>
    </row>
    <row r="26" spans="1:12" x14ac:dyDescent="0.25">
      <c r="A26" s="4" t="s">
        <v>27</v>
      </c>
      <c r="B26" s="17">
        <f t="shared" si="1"/>
        <v>0.12857142857142856</v>
      </c>
      <c r="C26" s="44">
        <v>0.125</v>
      </c>
      <c r="D26" s="44">
        <v>0.125</v>
      </c>
      <c r="E26" s="44">
        <v>0.125</v>
      </c>
      <c r="F26" s="44">
        <v>0.125</v>
      </c>
      <c r="G26" s="44">
        <v>0.125</v>
      </c>
      <c r="H26" s="44">
        <v>0.125</v>
      </c>
      <c r="I26" s="44">
        <v>0.125</v>
      </c>
      <c r="J26" s="44">
        <v>0.125</v>
      </c>
      <c r="K26" s="44">
        <v>0.125</v>
      </c>
      <c r="L26" s="44">
        <v>0.125</v>
      </c>
    </row>
    <row r="27" spans="1:12" x14ac:dyDescent="0.25">
      <c r="A27" s="4" t="s">
        <v>38</v>
      </c>
      <c r="B27" s="17">
        <f t="shared" si="1"/>
        <v>0.26486486486486488</v>
      </c>
      <c r="C27" s="44">
        <v>0.26500000000000001</v>
      </c>
      <c r="D27" s="44">
        <v>0.26500000000000001</v>
      </c>
      <c r="E27" s="44">
        <v>0.26500000000000001</v>
      </c>
      <c r="F27" s="44">
        <v>0.26500000000000001</v>
      </c>
      <c r="G27" s="44">
        <v>0.26500000000000001</v>
      </c>
      <c r="H27" s="44">
        <v>0.26500000000000001</v>
      </c>
      <c r="I27" s="44">
        <v>0.26500000000000001</v>
      </c>
      <c r="J27" s="44">
        <v>0.26500000000000001</v>
      </c>
      <c r="K27" s="44">
        <v>0.26500000000000001</v>
      </c>
      <c r="L27" s="44">
        <v>0.26500000000000001</v>
      </c>
    </row>
    <row r="28" spans="1:12" x14ac:dyDescent="0.25">
      <c r="A28" s="4" t="s">
        <v>39</v>
      </c>
      <c r="B28" s="17">
        <f t="shared" si="1"/>
        <v>-0.11071428571428571</v>
      </c>
      <c r="C28" s="44">
        <v>0.105</v>
      </c>
      <c r="D28" s="44">
        <v>0.105</v>
      </c>
      <c r="E28" s="44">
        <v>0.105</v>
      </c>
      <c r="F28" s="44">
        <v>0.105</v>
      </c>
      <c r="G28" s="44">
        <v>0.105</v>
      </c>
      <c r="H28" s="44">
        <v>0.105</v>
      </c>
      <c r="I28" s="44">
        <v>0.105</v>
      </c>
      <c r="J28" s="44">
        <v>0.105</v>
      </c>
      <c r="K28" s="44">
        <v>0.105</v>
      </c>
      <c r="L28" s="44">
        <v>0.105</v>
      </c>
    </row>
    <row r="29" spans="1:12" x14ac:dyDescent="0.25">
      <c r="B29" s="17"/>
      <c r="C29" s="44"/>
      <c r="D29" s="44"/>
      <c r="E29" s="44"/>
      <c r="F29" s="44"/>
      <c r="G29" s="44"/>
      <c r="H29" s="44"/>
      <c r="I29" s="44"/>
      <c r="J29" s="44"/>
      <c r="K29" s="44"/>
      <c r="L29" s="44"/>
    </row>
    <row r="30" spans="1:12" x14ac:dyDescent="0.25">
      <c r="A30" s="1" t="s">
        <v>95</v>
      </c>
      <c r="B30" s="17"/>
      <c r="C30" s="44"/>
      <c r="D30" s="44"/>
      <c r="E30" s="44"/>
      <c r="F30" s="44"/>
      <c r="G30" s="44"/>
      <c r="H30" s="44"/>
      <c r="I30" s="44"/>
      <c r="J30" s="44"/>
      <c r="K30" s="44"/>
      <c r="L30" s="44"/>
    </row>
    <row r="31" spans="1:12" x14ac:dyDescent="0.25">
      <c r="A31" s="4" t="s">
        <v>9</v>
      </c>
      <c r="B31" s="17"/>
      <c r="C31" s="44">
        <v>0.12</v>
      </c>
      <c r="D31" s="44">
        <v>0.125</v>
      </c>
      <c r="E31" s="44">
        <v>0.11</v>
      </c>
      <c r="F31" s="44">
        <v>0.1</v>
      </c>
      <c r="G31" s="44">
        <v>0.09</v>
      </c>
      <c r="H31" s="44">
        <v>0.08</v>
      </c>
      <c r="I31" s="44">
        <v>7.4999999999999997E-2</v>
      </c>
      <c r="J31" s="44">
        <v>6.5000000000000002E-2</v>
      </c>
      <c r="K31" s="44">
        <v>5.5E-2</v>
      </c>
      <c r="L31" s="44">
        <v>4.4999999999999998E-2</v>
      </c>
    </row>
    <row r="32" spans="1:12" x14ac:dyDescent="0.25">
      <c r="A32" s="4" t="s">
        <v>25</v>
      </c>
      <c r="B32" s="17">
        <f t="shared" ref="B32:B36" si="2">B16</f>
        <v>0.24285714285714285</v>
      </c>
      <c r="C32" s="44">
        <v>0.24285714285714285</v>
      </c>
      <c r="D32" s="44">
        <v>0.24285714285714285</v>
      </c>
      <c r="E32" s="44">
        <v>0.24285714285714285</v>
      </c>
      <c r="F32" s="44">
        <v>0.24285714285714285</v>
      </c>
      <c r="G32" s="44">
        <v>0.24285714285714285</v>
      </c>
      <c r="H32" s="44">
        <v>0.24285714285714285</v>
      </c>
      <c r="I32" s="44">
        <v>0.24285714285714285</v>
      </c>
      <c r="J32" s="44">
        <v>0.24285714285714285</v>
      </c>
      <c r="K32" s="44">
        <v>0.24285714285714285</v>
      </c>
      <c r="L32" s="44">
        <v>0.24285714285714285</v>
      </c>
    </row>
    <row r="33" spans="1:12" x14ac:dyDescent="0.25">
      <c r="A33" s="4" t="s">
        <v>26</v>
      </c>
      <c r="B33" s="17">
        <f t="shared" si="2"/>
        <v>0.37857142857142856</v>
      </c>
      <c r="C33" s="44">
        <v>0.37857142857142856</v>
      </c>
      <c r="D33" s="44">
        <v>0.37857142857142856</v>
      </c>
      <c r="E33" s="44">
        <v>0.37857142857142856</v>
      </c>
      <c r="F33" s="44">
        <v>0.37857142857142856</v>
      </c>
      <c r="G33" s="44">
        <v>0.37857142857142856</v>
      </c>
      <c r="H33" s="44">
        <v>0.37857142857142856</v>
      </c>
      <c r="I33" s="44">
        <v>0.37857142857142856</v>
      </c>
      <c r="J33" s="44">
        <v>0.37857142857142856</v>
      </c>
      <c r="K33" s="44">
        <v>0.37857142857142856</v>
      </c>
      <c r="L33" s="44">
        <v>0.37857142857142856</v>
      </c>
    </row>
    <row r="34" spans="1:12" x14ac:dyDescent="0.25">
      <c r="A34" s="4" t="s">
        <v>27</v>
      </c>
      <c r="B34" s="17">
        <f t="shared" si="2"/>
        <v>0.12857142857142856</v>
      </c>
      <c r="C34" s="44">
        <v>0.12857142857142856</v>
      </c>
      <c r="D34" s="44">
        <v>0.12857142857142856</v>
      </c>
      <c r="E34" s="44">
        <v>0.12857142857142856</v>
      </c>
      <c r="F34" s="44">
        <v>0.12857142857142856</v>
      </c>
      <c r="G34" s="44">
        <v>0.12857142857142856</v>
      </c>
      <c r="H34" s="44">
        <v>0.12857142857142856</v>
      </c>
      <c r="I34" s="44">
        <v>0.12857142857142856</v>
      </c>
      <c r="J34" s="44">
        <v>0.12857142857142856</v>
      </c>
      <c r="K34" s="44">
        <v>0.12857142857142856</v>
      </c>
      <c r="L34" s="44">
        <v>0.12857142857142856</v>
      </c>
    </row>
    <row r="35" spans="1:12" x14ac:dyDescent="0.25">
      <c r="A35" s="4" t="s">
        <v>38</v>
      </c>
      <c r="B35" s="17">
        <f t="shared" si="2"/>
        <v>0.26486486486486488</v>
      </c>
      <c r="C35" s="44">
        <v>0.26486486486486488</v>
      </c>
      <c r="D35" s="44">
        <v>0.26486486486486488</v>
      </c>
      <c r="E35" s="44">
        <v>0.26486486486486488</v>
      </c>
      <c r="F35" s="44">
        <v>0.26486486486486488</v>
      </c>
      <c r="G35" s="44">
        <v>0.26486486486486488</v>
      </c>
      <c r="H35" s="44">
        <v>0.26486486486486488</v>
      </c>
      <c r="I35" s="44">
        <v>0.26486486486486488</v>
      </c>
      <c r="J35" s="44">
        <v>0.26486486486486488</v>
      </c>
      <c r="K35" s="44">
        <v>0.26486486486486488</v>
      </c>
      <c r="L35" s="44">
        <v>0.26486486486486488</v>
      </c>
    </row>
    <row r="36" spans="1:12" x14ac:dyDescent="0.25">
      <c r="A36" s="4" t="s">
        <v>39</v>
      </c>
      <c r="B36" s="17">
        <f t="shared" si="2"/>
        <v>-0.11071428571428571</v>
      </c>
      <c r="C36" s="44">
        <v>0.11071428571428571</v>
      </c>
      <c r="D36" s="44">
        <v>0.11071428571428571</v>
      </c>
      <c r="E36" s="44">
        <v>0.11071428571428571</v>
      </c>
      <c r="F36" s="44">
        <v>0.11071428571428571</v>
      </c>
      <c r="G36" s="44">
        <v>0.11071428571428571</v>
      </c>
      <c r="H36" s="44">
        <v>0.11071428571428571</v>
      </c>
      <c r="I36" s="44">
        <v>0.11071428571428571</v>
      </c>
      <c r="J36" s="44">
        <v>0.11071428571428571</v>
      </c>
      <c r="K36" s="44">
        <v>0.11071428571428571</v>
      </c>
      <c r="L36" s="44">
        <v>0.11071428571428571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Statements</vt:lpstr>
      <vt:lpstr>Depreciation Schedule</vt:lpstr>
      <vt:lpstr>Debt Schedule</vt:lpstr>
      <vt:lpstr>Stockholder's Equity</vt:lpstr>
      <vt:lpstr>Scenarios</vt:lpstr>
    </vt:vector>
  </TitlesOfParts>
  <Company>IIT Delhi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</dc:creator>
  <cp:lastModifiedBy>Dhiraj Kumar</cp:lastModifiedBy>
  <dcterms:created xsi:type="dcterms:W3CDTF">2022-08-24T10:49:25Z</dcterms:created>
  <dcterms:modified xsi:type="dcterms:W3CDTF">2025-05-29T05:56:55Z</dcterms:modified>
</cp:coreProperties>
</file>