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hiraj Kumar\OneDrive\Desktop\"/>
    </mc:Choice>
  </mc:AlternateContent>
  <bookViews>
    <workbookView xWindow="0" yWindow="0" windowWidth="20490" windowHeight="7650" tabRatio="728" firstSheet="2" activeTab="7"/>
  </bookViews>
  <sheets>
    <sheet name="Assumption" sheetId="1" r:id="rId1"/>
    <sheet name="Income statement Historical" sheetId="2" r:id="rId2"/>
    <sheet name="Common Size Statement" sheetId="4" r:id="rId3"/>
    <sheet name="Revenue Buildup" sheetId="8" r:id="rId4"/>
    <sheet name="Cost Buildup" sheetId="9" r:id="rId5"/>
    <sheet name="FAS" sheetId="10" r:id="rId6"/>
    <sheet name="Balance Sheet Historical " sheetId="3" r:id="rId7"/>
    <sheet name="Income Statement" sheetId="5" r:id="rId8"/>
    <sheet name="Balance sheet " sheetId="6" r:id="rId9"/>
    <sheet name="Balancesheet Forecasted" sheetId="11" r:id="rId10"/>
    <sheet name="Cashflow statement" sheetId="7" r:id="rId11"/>
    <sheet name="equity market return" sheetId="12" r:id="rId12"/>
    <sheet name="Beta Calaculation" sheetId="13" r:id="rId13"/>
    <sheet name="comps data " sheetId="15" r:id="rId14"/>
    <sheet name="Comps Valuation" sheetId="14" r:id="rId15"/>
    <sheet name="WACC" sheetId="16" r:id="rId16"/>
    <sheet name="DCF Valutaion" sheetId="17" r:id="rId17"/>
    <sheet name="Football Analysis" sheetId="18" r:id="rId18"/>
    <sheet name="Ratio Analysis" sheetId="19" r:id="rId19"/>
    <sheet name="Charts" sheetId="20" r:id="rId20"/>
  </sheets>
  <externalReferences>
    <externalReference r:id="rId21"/>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1" i="17" l="1"/>
  <c r="G27" i="19"/>
  <c r="F27" i="19"/>
  <c r="E27" i="19"/>
  <c r="D27" i="19"/>
  <c r="G26" i="19"/>
  <c r="F26" i="19"/>
  <c r="E26" i="19"/>
  <c r="D26" i="19"/>
  <c r="C26" i="19"/>
  <c r="G22" i="19"/>
  <c r="F22" i="19"/>
  <c r="E22" i="19"/>
  <c r="D22" i="19"/>
  <c r="G21" i="19"/>
  <c r="F21" i="19"/>
  <c r="E21" i="19"/>
  <c r="D21" i="19"/>
  <c r="G20" i="19"/>
  <c r="F20" i="19"/>
  <c r="E20" i="19"/>
  <c r="D20" i="19"/>
  <c r="C22" i="19"/>
  <c r="C21" i="19"/>
  <c r="C20" i="19"/>
  <c r="G19" i="19"/>
  <c r="F19" i="19"/>
  <c r="E19" i="19"/>
  <c r="D19" i="19"/>
  <c r="Q18" i="19"/>
  <c r="P18" i="19"/>
  <c r="O18" i="19"/>
  <c r="N18" i="19"/>
  <c r="M18" i="19"/>
  <c r="L18" i="19"/>
  <c r="K18" i="19"/>
  <c r="J18" i="19"/>
  <c r="I18" i="19"/>
  <c r="H18" i="19"/>
  <c r="G18" i="19"/>
  <c r="F18" i="19"/>
  <c r="E18" i="19"/>
  <c r="D18" i="19"/>
  <c r="C19" i="19"/>
  <c r="C18" i="19"/>
  <c r="G17" i="19"/>
  <c r="F17" i="19"/>
  <c r="E17" i="19"/>
  <c r="D17" i="19"/>
  <c r="G16" i="19"/>
  <c r="F16" i="19"/>
  <c r="E16" i="19"/>
  <c r="D16" i="19"/>
  <c r="G15" i="19"/>
  <c r="F15" i="19"/>
  <c r="E15" i="19"/>
  <c r="D15" i="19"/>
  <c r="C17" i="19"/>
  <c r="C16" i="19"/>
  <c r="G14" i="19"/>
  <c r="F14" i="19"/>
  <c r="E14" i="19"/>
  <c r="D14" i="19"/>
  <c r="C14" i="19"/>
  <c r="C15" i="19"/>
  <c r="D33" i="7"/>
  <c r="E33" i="7"/>
  <c r="F33" i="7"/>
  <c r="G33" i="7"/>
  <c r="H33" i="7"/>
  <c r="I33" i="7"/>
  <c r="J33" i="7"/>
  <c r="K33" i="7"/>
  <c r="L33" i="7"/>
  <c r="M33" i="7"/>
  <c r="N33" i="7"/>
  <c r="O33" i="7"/>
  <c r="P33" i="7"/>
  <c r="Q33" i="7"/>
  <c r="D35" i="7"/>
  <c r="E35" i="7"/>
  <c r="F35" i="7"/>
  <c r="G35" i="7"/>
  <c r="D36" i="7"/>
  <c r="E36" i="7"/>
  <c r="F36" i="7"/>
  <c r="G36" i="7"/>
  <c r="H36" i="7"/>
  <c r="I36" i="7"/>
  <c r="J36" i="7"/>
  <c r="K36" i="7"/>
  <c r="L36" i="7"/>
  <c r="M36" i="7"/>
  <c r="N36" i="7"/>
  <c r="O36" i="7"/>
  <c r="P36" i="7"/>
  <c r="Q36" i="7"/>
  <c r="I11" i="18"/>
  <c r="I13" i="18"/>
  <c r="H13" i="18"/>
  <c r="H11" i="18"/>
  <c r="G13" i="18"/>
  <c r="G11" i="18"/>
  <c r="F13" i="18"/>
  <c r="F12" i="18"/>
  <c r="F11" i="18"/>
  <c r="F10" i="18"/>
  <c r="M21" i="17" l="1"/>
  <c r="N21" i="17" s="1"/>
  <c r="K21" i="17"/>
  <c r="J21" i="17" s="1"/>
  <c r="I25" i="17"/>
  <c r="I26" i="17" s="1"/>
  <c r="I23" i="17"/>
  <c r="I22" i="17" s="1"/>
  <c r="C27" i="17"/>
  <c r="C29" i="17"/>
  <c r="J46" i="16"/>
  <c r="O12" i="15"/>
  <c r="O11" i="15"/>
  <c r="O10" i="15"/>
  <c r="O9" i="15"/>
  <c r="O8" i="15"/>
  <c r="O7" i="15"/>
  <c r="F16" i="15"/>
  <c r="M12" i="15"/>
  <c r="M11" i="15"/>
  <c r="M10" i="15"/>
  <c r="M9" i="15"/>
  <c r="M8" i="15"/>
  <c r="M7" i="15"/>
  <c r="E45" i="16"/>
  <c r="E44" i="16"/>
  <c r="E46" i="16" s="1"/>
  <c r="E40" i="16"/>
  <c r="G23" i="16"/>
  <c r="E35" i="16" s="1"/>
  <c r="C28" i="17" s="1"/>
  <c r="K20" i="16"/>
  <c r="J20" i="16"/>
  <c r="K19" i="16"/>
  <c r="J19" i="16"/>
  <c r="G12" i="16"/>
  <c r="G16" i="16"/>
  <c r="G15" i="16"/>
  <c r="G14" i="16"/>
  <c r="G13" i="16"/>
  <c r="F16" i="16"/>
  <c r="F12" i="16"/>
  <c r="I12" i="16" s="1"/>
  <c r="I36" i="14"/>
  <c r="I35" i="14"/>
  <c r="I34" i="14"/>
  <c r="H36" i="14"/>
  <c r="J36" i="14" s="1"/>
  <c r="G36" i="14"/>
  <c r="F36" i="14" s="1"/>
  <c r="G35" i="14"/>
  <c r="G34" i="14"/>
  <c r="F35" i="14"/>
  <c r="F34" i="14"/>
  <c r="R29" i="14"/>
  <c r="J29" i="14"/>
  <c r="P29" i="14" s="1"/>
  <c r="G29" i="14"/>
  <c r="F23" i="16" s="1"/>
  <c r="E34" i="16" s="1"/>
  <c r="R18" i="14"/>
  <c r="R15" i="14"/>
  <c r="R14" i="14"/>
  <c r="J15" i="14"/>
  <c r="Q15" i="14" s="1"/>
  <c r="G18" i="14"/>
  <c r="J18" i="14" s="1"/>
  <c r="P18" i="14" s="1"/>
  <c r="G17" i="14"/>
  <c r="F15" i="16" s="1"/>
  <c r="G16" i="14"/>
  <c r="R16" i="14" s="1"/>
  <c r="G15" i="14"/>
  <c r="F13" i="16" s="1"/>
  <c r="G14" i="14"/>
  <c r="J14" i="14" s="1"/>
  <c r="P14" i="14" s="1"/>
  <c r="H34" i="14" l="1"/>
  <c r="J34" i="14" s="1"/>
  <c r="F14" i="16"/>
  <c r="H14" i="16" s="1"/>
  <c r="L14" i="16" s="1"/>
  <c r="I14" i="16"/>
  <c r="J16" i="14"/>
  <c r="Q16" i="14" s="1"/>
  <c r="J17" i="14"/>
  <c r="Q17" i="14" s="1"/>
  <c r="R17" i="14"/>
  <c r="R23" i="14" s="1"/>
  <c r="J48" i="16"/>
  <c r="H35" i="14"/>
  <c r="J35" i="14" s="1"/>
  <c r="Q29" i="14"/>
  <c r="H23" i="16"/>
  <c r="P15" i="14"/>
  <c r="Q18" i="14"/>
  <c r="Q14" i="14"/>
  <c r="P16" i="14"/>
  <c r="E36" i="16"/>
  <c r="H16" i="16"/>
  <c r="L16" i="16" s="1"/>
  <c r="I13" i="16"/>
  <c r="I23" i="16"/>
  <c r="I15" i="16"/>
  <c r="H15" i="16"/>
  <c r="L15" i="16" s="1"/>
  <c r="I16" i="16"/>
  <c r="H13" i="16"/>
  <c r="L13" i="16" s="1"/>
  <c r="H12" i="16"/>
  <c r="R22" i="14" l="1"/>
  <c r="Q25" i="14"/>
  <c r="R24" i="14"/>
  <c r="P17" i="14"/>
  <c r="P22" i="14" s="1"/>
  <c r="R21" i="14"/>
  <c r="R25" i="14"/>
  <c r="R26" i="14"/>
  <c r="Q22" i="14"/>
  <c r="Q23" i="14"/>
  <c r="Q26" i="14"/>
  <c r="Q24" i="14"/>
  <c r="P26" i="14"/>
  <c r="Q21" i="14"/>
  <c r="P24" i="14"/>
  <c r="I19" i="16"/>
  <c r="E31" i="16" s="1"/>
  <c r="I20" i="16"/>
  <c r="L12" i="16"/>
  <c r="H20" i="16"/>
  <c r="H19" i="16"/>
  <c r="P25" i="14" l="1"/>
  <c r="P23" i="14"/>
  <c r="P21" i="14"/>
  <c r="E32" i="16"/>
  <c r="L20" i="16"/>
  <c r="L19" i="16"/>
  <c r="E47" i="16" l="1"/>
  <c r="E48" i="16" s="1"/>
  <c r="J12" i="13" l="1"/>
  <c r="M12" i="12" l="1"/>
  <c r="M14" i="12" s="1"/>
  <c r="F68" i="13"/>
  <c r="F67" i="13"/>
  <c r="F66" i="13"/>
  <c r="F65" i="13"/>
  <c r="F64" i="13"/>
  <c r="F63" i="13"/>
  <c r="F62" i="13"/>
  <c r="F61" i="13"/>
  <c r="F60" i="13"/>
  <c r="F59" i="13"/>
  <c r="F58" i="13"/>
  <c r="F57" i="13"/>
  <c r="F56" i="13"/>
  <c r="F55" i="13"/>
  <c r="F54" i="13"/>
  <c r="F53" i="13"/>
  <c r="F52" i="13"/>
  <c r="F51" i="13"/>
  <c r="F50" i="13"/>
  <c r="F49" i="13"/>
  <c r="F48" i="13"/>
  <c r="F47" i="13"/>
  <c r="F46" i="13"/>
  <c r="F45" i="13"/>
  <c r="F44" i="13"/>
  <c r="F43" i="13"/>
  <c r="F42" i="13"/>
  <c r="F41" i="13"/>
  <c r="F40" i="13"/>
  <c r="F39" i="13"/>
  <c r="F38" i="13"/>
  <c r="F37" i="13"/>
  <c r="F36" i="13"/>
  <c r="F35" i="13"/>
  <c r="F34" i="13"/>
  <c r="F33" i="13"/>
  <c r="F32" i="13"/>
  <c r="F31" i="13"/>
  <c r="F30" i="13"/>
  <c r="F29" i="13"/>
  <c r="F28" i="13"/>
  <c r="F27" i="13"/>
  <c r="F26" i="13"/>
  <c r="F25" i="13"/>
  <c r="F24" i="13"/>
  <c r="F23" i="13"/>
  <c r="F22" i="13"/>
  <c r="F21" i="13"/>
  <c r="F20" i="13"/>
  <c r="F19" i="13"/>
  <c r="F18" i="13"/>
  <c r="F17" i="13"/>
  <c r="F16" i="13"/>
  <c r="F15" i="13"/>
  <c r="F14" i="13"/>
  <c r="F13" i="13"/>
  <c r="F12" i="13"/>
  <c r="F11" i="13"/>
  <c r="F10"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O11" i="13" s="1"/>
  <c r="F14" i="12"/>
  <c r="F12" i="12"/>
  <c r="Q43" i="7"/>
  <c r="P43" i="7"/>
  <c r="O43" i="7"/>
  <c r="N43" i="7"/>
  <c r="M43" i="7"/>
  <c r="L43" i="7"/>
  <c r="K43" i="7"/>
  <c r="J43" i="7"/>
  <c r="I43" i="7"/>
  <c r="H43" i="7"/>
  <c r="G43" i="7"/>
  <c r="F43" i="7"/>
  <c r="E43" i="7"/>
  <c r="Q41" i="7"/>
  <c r="P41" i="7"/>
  <c r="O41" i="7"/>
  <c r="N41" i="7"/>
  <c r="M41" i="7"/>
  <c r="L41" i="7"/>
  <c r="K41" i="7"/>
  <c r="J41" i="7"/>
  <c r="I41" i="7"/>
  <c r="H41" i="7"/>
  <c r="G41" i="7"/>
  <c r="F41" i="7"/>
  <c r="E41" i="7"/>
  <c r="Q28" i="7"/>
  <c r="P28" i="7"/>
  <c r="O28" i="7"/>
  <c r="N28" i="7"/>
  <c r="M28" i="7"/>
  <c r="L28" i="7"/>
  <c r="K28" i="7"/>
  <c r="J28" i="7"/>
  <c r="I28" i="7"/>
  <c r="H28" i="7"/>
  <c r="G28" i="7"/>
  <c r="F28" i="7"/>
  <c r="E28" i="7"/>
  <c r="G27" i="7"/>
  <c r="F27" i="7"/>
  <c r="E27" i="7"/>
  <c r="G26" i="7"/>
  <c r="F26" i="7"/>
  <c r="E26" i="7"/>
  <c r="G25" i="7"/>
  <c r="F25" i="7"/>
  <c r="E25" i="7"/>
  <c r="G20" i="7"/>
  <c r="F20" i="7"/>
  <c r="E20" i="7"/>
  <c r="G19" i="7"/>
  <c r="F19" i="7"/>
  <c r="E19" i="7"/>
  <c r="G18" i="7"/>
  <c r="F18" i="7"/>
  <c r="E18" i="7"/>
  <c r="D49" i="7"/>
  <c r="C50" i="7"/>
  <c r="D43" i="7"/>
  <c r="D41" i="7"/>
  <c r="D28" i="7"/>
  <c r="D27" i="7"/>
  <c r="D26" i="7"/>
  <c r="D25" i="7"/>
  <c r="D20" i="7"/>
  <c r="D19" i="7"/>
  <c r="D18" i="7"/>
  <c r="G37" i="11"/>
  <c r="F37" i="11"/>
  <c r="E37" i="11"/>
  <c r="D37" i="11"/>
  <c r="C37" i="11"/>
  <c r="J27" i="11"/>
  <c r="K27" i="11" s="1"/>
  <c r="L27" i="11" s="1"/>
  <c r="M27" i="11" s="1"/>
  <c r="N27" i="11" s="1"/>
  <c r="O27" i="11" s="1"/>
  <c r="P27" i="11" s="1"/>
  <c r="Q27" i="11" s="1"/>
  <c r="I27" i="11"/>
  <c r="I26" i="11"/>
  <c r="J26" i="11" s="1"/>
  <c r="K26" i="11" s="1"/>
  <c r="L26" i="11" s="1"/>
  <c r="M26" i="11" s="1"/>
  <c r="N26" i="11" s="1"/>
  <c r="O26" i="11" s="1"/>
  <c r="P26" i="11" s="1"/>
  <c r="Q26" i="11" s="1"/>
  <c r="H37" i="6"/>
  <c r="G37" i="6"/>
  <c r="F37" i="6"/>
  <c r="E37" i="6"/>
  <c r="D37" i="6"/>
  <c r="J15" i="11"/>
  <c r="I15" i="11"/>
  <c r="H15" i="11"/>
  <c r="J20" i="11"/>
  <c r="K20" i="11" s="1"/>
  <c r="L20" i="11" s="1"/>
  <c r="M20" i="11" s="1"/>
  <c r="N20" i="11" s="1"/>
  <c r="O20" i="11" s="1"/>
  <c r="P20" i="11" s="1"/>
  <c r="Q20" i="11" s="1"/>
  <c r="I20" i="11"/>
  <c r="H27" i="11"/>
  <c r="H26" i="11"/>
  <c r="H20" i="11"/>
  <c r="H34" i="6"/>
  <c r="G34" i="6"/>
  <c r="F34" i="6"/>
  <c r="E34" i="6"/>
  <c r="D34" i="6"/>
  <c r="G22" i="11"/>
  <c r="F22" i="11"/>
  <c r="E22" i="11"/>
  <c r="D22" i="11"/>
  <c r="G35" i="11"/>
  <c r="F35" i="11"/>
  <c r="E35" i="11"/>
  <c r="D35" i="11"/>
  <c r="C35" i="11"/>
  <c r="C22" i="11"/>
  <c r="G33" i="11"/>
  <c r="F33" i="11"/>
  <c r="E33" i="11"/>
  <c r="D33" i="11"/>
  <c r="C33" i="11"/>
  <c r="G32" i="11"/>
  <c r="F32" i="11"/>
  <c r="E32" i="11"/>
  <c r="D32" i="11"/>
  <c r="C32" i="11"/>
  <c r="G31" i="11"/>
  <c r="F31" i="11"/>
  <c r="E31" i="11"/>
  <c r="D31" i="11"/>
  <c r="C31" i="11"/>
  <c r="G30" i="11"/>
  <c r="F30" i="11"/>
  <c r="E30" i="11"/>
  <c r="D30" i="11"/>
  <c r="C30" i="11"/>
  <c r="G29" i="11"/>
  <c r="F29" i="11"/>
  <c r="E29" i="11"/>
  <c r="D29" i="11"/>
  <c r="C29" i="11"/>
  <c r="G28" i="11"/>
  <c r="F28" i="11"/>
  <c r="E28" i="11"/>
  <c r="D28" i="11"/>
  <c r="C28" i="11"/>
  <c r="G27" i="11"/>
  <c r="F27" i="11"/>
  <c r="E27" i="11"/>
  <c r="D27" i="11"/>
  <c r="C27" i="11"/>
  <c r="G26" i="11"/>
  <c r="F26" i="11"/>
  <c r="E26" i="11"/>
  <c r="D26" i="11"/>
  <c r="C26" i="11"/>
  <c r="G20" i="11"/>
  <c r="F20" i="11"/>
  <c r="E20" i="11"/>
  <c r="D20" i="11"/>
  <c r="C20" i="11"/>
  <c r="G19" i="11"/>
  <c r="F19" i="11"/>
  <c r="E19" i="11"/>
  <c r="D19" i="11"/>
  <c r="C19" i="11"/>
  <c r="G18" i="11"/>
  <c r="F18" i="11"/>
  <c r="E18" i="11"/>
  <c r="D18" i="11"/>
  <c r="C18" i="11"/>
  <c r="G17" i="11"/>
  <c r="F17" i="11"/>
  <c r="E17" i="11"/>
  <c r="D17" i="11"/>
  <c r="C17" i="11"/>
  <c r="G16" i="11"/>
  <c r="F16" i="11"/>
  <c r="E16" i="11"/>
  <c r="D16" i="11"/>
  <c r="C16" i="11"/>
  <c r="G15" i="11"/>
  <c r="F15" i="11"/>
  <c r="E15" i="11"/>
  <c r="D15" i="11"/>
  <c r="C15" i="11"/>
  <c r="G14" i="11"/>
  <c r="F14" i="11"/>
  <c r="E14" i="11"/>
  <c r="D14" i="11"/>
  <c r="C14" i="11"/>
  <c r="D16" i="7"/>
  <c r="E8" i="6"/>
  <c r="F8" i="6" s="1"/>
  <c r="G8" i="6" s="1"/>
  <c r="H8" i="6" s="1"/>
  <c r="I8" i="6" s="1"/>
  <c r="J8" i="6" s="1"/>
  <c r="K8" i="6" s="1"/>
  <c r="L8" i="6" s="1"/>
  <c r="M8" i="6" s="1"/>
  <c r="N8" i="6" s="1"/>
  <c r="O8" i="6" s="1"/>
  <c r="P8" i="6" s="1"/>
  <c r="Q8" i="6" s="1"/>
  <c r="R8" i="6" s="1"/>
  <c r="E8" i="5"/>
  <c r="F8" i="5" s="1"/>
  <c r="G8" i="5" s="1"/>
  <c r="H8" i="5" s="1"/>
  <c r="I8" i="5" s="1"/>
  <c r="J8" i="5" s="1"/>
  <c r="K8" i="5" s="1"/>
  <c r="L8" i="5" s="1"/>
  <c r="M8" i="5" s="1"/>
  <c r="N8" i="5" s="1"/>
  <c r="O8" i="5" s="1"/>
  <c r="P8" i="5" s="1"/>
  <c r="Q8" i="5" s="1"/>
  <c r="R8" i="5" s="1"/>
  <c r="H31" i="6"/>
  <c r="G31" i="6"/>
  <c r="F31" i="6"/>
  <c r="E31" i="6"/>
  <c r="H28" i="6"/>
  <c r="G28" i="6"/>
  <c r="F28" i="6"/>
  <c r="E28" i="6"/>
  <c r="H25" i="6"/>
  <c r="G25" i="6"/>
  <c r="F25" i="6"/>
  <c r="E25" i="6"/>
  <c r="H22" i="6"/>
  <c r="G22" i="6"/>
  <c r="F22" i="6"/>
  <c r="E22" i="6"/>
  <c r="H19" i="6"/>
  <c r="G19" i="6"/>
  <c r="F19" i="6"/>
  <c r="E19" i="6"/>
  <c r="H16" i="6"/>
  <c r="G16" i="6"/>
  <c r="F16" i="6"/>
  <c r="E16" i="6"/>
  <c r="H13" i="6"/>
  <c r="G13" i="6"/>
  <c r="F13" i="6"/>
  <c r="E13" i="6"/>
  <c r="D31" i="6"/>
  <c r="D28" i="6"/>
  <c r="D25" i="6"/>
  <c r="D22" i="6"/>
  <c r="D19" i="6"/>
  <c r="D16" i="6"/>
  <c r="D13" i="6"/>
  <c r="H31" i="5"/>
  <c r="G31" i="5"/>
  <c r="F11" i="17" s="1"/>
  <c r="F31" i="5"/>
  <c r="E11" i="17" s="1"/>
  <c r="E31" i="5"/>
  <c r="D31" i="5"/>
  <c r="H27" i="5"/>
  <c r="G27" i="5"/>
  <c r="F27" i="5"/>
  <c r="E27" i="5"/>
  <c r="D27" i="5"/>
  <c r="H26" i="5"/>
  <c r="G26" i="5"/>
  <c r="F37" i="7" s="1"/>
  <c r="F26" i="5"/>
  <c r="E22" i="7" s="1"/>
  <c r="E26" i="5"/>
  <c r="D22" i="7" s="1"/>
  <c r="D26" i="5"/>
  <c r="H25" i="5"/>
  <c r="G45" i="7" s="1"/>
  <c r="G25" i="5"/>
  <c r="F45" i="7" s="1"/>
  <c r="F25" i="5"/>
  <c r="E25" i="5"/>
  <c r="D45" i="7" s="1"/>
  <c r="D25" i="5"/>
  <c r="H21" i="5"/>
  <c r="G13" i="17" s="1"/>
  <c r="G21" i="5"/>
  <c r="F21" i="5"/>
  <c r="E13" i="17" s="1"/>
  <c r="E21" i="5"/>
  <c r="D21" i="5"/>
  <c r="H16" i="5"/>
  <c r="G16" i="5"/>
  <c r="F16" i="5"/>
  <c r="E16" i="5"/>
  <c r="D16" i="5"/>
  <c r="H15" i="5"/>
  <c r="G15" i="5"/>
  <c r="F15" i="5"/>
  <c r="E15" i="5"/>
  <c r="D15" i="5"/>
  <c r="H14" i="5"/>
  <c r="G14" i="5"/>
  <c r="F14" i="5"/>
  <c r="E14" i="5"/>
  <c r="D14" i="5"/>
  <c r="G59" i="10"/>
  <c r="F59" i="10"/>
  <c r="E59" i="10"/>
  <c r="D59" i="10"/>
  <c r="C59" i="10"/>
  <c r="H15" i="10"/>
  <c r="I15" i="10" s="1"/>
  <c r="J15" i="10" s="1"/>
  <c r="K15" i="10" s="1"/>
  <c r="L15" i="10" s="1"/>
  <c r="M15" i="10" s="1"/>
  <c r="N15" i="10" s="1"/>
  <c r="O15" i="10" s="1"/>
  <c r="P15" i="10" s="1"/>
  <c r="Q15" i="10" s="1"/>
  <c r="H19" i="10"/>
  <c r="I19" i="10" s="1"/>
  <c r="J19" i="10" s="1"/>
  <c r="K19" i="10" s="1"/>
  <c r="L19" i="10" s="1"/>
  <c r="M19" i="10" s="1"/>
  <c r="N19" i="10" s="1"/>
  <c r="O19" i="10" s="1"/>
  <c r="P19" i="10" s="1"/>
  <c r="Q19" i="10" s="1"/>
  <c r="G51" i="10"/>
  <c r="F51" i="10"/>
  <c r="E51" i="10"/>
  <c r="D51" i="10"/>
  <c r="Q49" i="10"/>
  <c r="P49" i="10"/>
  <c r="O49" i="10"/>
  <c r="N49" i="10"/>
  <c r="M49" i="10"/>
  <c r="L49" i="10"/>
  <c r="K49" i="10"/>
  <c r="J49" i="10"/>
  <c r="I49" i="10"/>
  <c r="H49" i="10"/>
  <c r="G49" i="10"/>
  <c r="F49" i="10"/>
  <c r="E49" i="10"/>
  <c r="D49" i="10"/>
  <c r="G48" i="10"/>
  <c r="F48" i="10"/>
  <c r="E48" i="10"/>
  <c r="D48" i="10"/>
  <c r="C51" i="10"/>
  <c r="C49" i="10"/>
  <c r="C48" i="10"/>
  <c r="C47" i="10"/>
  <c r="H41" i="10"/>
  <c r="H37" i="10"/>
  <c r="I37" i="10" s="1"/>
  <c r="J37" i="10" s="1"/>
  <c r="K37" i="10" s="1"/>
  <c r="L37" i="10" s="1"/>
  <c r="M37" i="10" s="1"/>
  <c r="N37" i="10" s="1"/>
  <c r="O37" i="10" s="1"/>
  <c r="P37" i="10" s="1"/>
  <c r="Q37" i="10" s="1"/>
  <c r="H30" i="10"/>
  <c r="I30" i="10" s="1"/>
  <c r="J30" i="10" s="1"/>
  <c r="K30" i="10" s="1"/>
  <c r="L30" i="10" s="1"/>
  <c r="M30" i="10" s="1"/>
  <c r="N30" i="10" s="1"/>
  <c r="O30" i="10" s="1"/>
  <c r="P30" i="10" s="1"/>
  <c r="Q30" i="10" s="1"/>
  <c r="H26" i="10"/>
  <c r="I26" i="10" s="1"/>
  <c r="J26" i="10" s="1"/>
  <c r="K26" i="10" s="1"/>
  <c r="L26" i="10" s="1"/>
  <c r="M26" i="10" s="1"/>
  <c r="N26" i="10" s="1"/>
  <c r="O26" i="10" s="1"/>
  <c r="P26" i="10" s="1"/>
  <c r="Q26" i="10" s="1"/>
  <c r="E38" i="1"/>
  <c r="D36" i="10"/>
  <c r="D39" i="10" s="1"/>
  <c r="D43" i="10" s="1"/>
  <c r="C39" i="10"/>
  <c r="C43" i="10" s="1"/>
  <c r="C28" i="10"/>
  <c r="D25" i="10" s="1"/>
  <c r="D28" i="10" s="1"/>
  <c r="C17" i="10"/>
  <c r="C21" i="10" s="1"/>
  <c r="H30" i="9"/>
  <c r="H31" i="9" s="1"/>
  <c r="E37" i="1" s="1"/>
  <c r="G30" i="9"/>
  <c r="G31" i="9" s="1"/>
  <c r="F30" i="9"/>
  <c r="F31" i="9" s="1"/>
  <c r="E30" i="9"/>
  <c r="E31" i="9" s="1"/>
  <c r="H26" i="9"/>
  <c r="H27" i="9" s="1"/>
  <c r="G26" i="9"/>
  <c r="G27" i="9" s="1"/>
  <c r="F26" i="9"/>
  <c r="F27" i="9" s="1"/>
  <c r="E26" i="9"/>
  <c r="E27" i="9" s="1"/>
  <c r="H22" i="9"/>
  <c r="G22" i="9"/>
  <c r="F22" i="9"/>
  <c r="E22" i="9"/>
  <c r="H19" i="9"/>
  <c r="G19" i="9"/>
  <c r="F19" i="9"/>
  <c r="E19" i="9"/>
  <c r="H16" i="9"/>
  <c r="G16" i="9"/>
  <c r="F16" i="9"/>
  <c r="E16" i="9"/>
  <c r="H91" i="8"/>
  <c r="G91" i="8"/>
  <c r="F91" i="8"/>
  <c r="E91" i="8"/>
  <c r="E92" i="8" s="1"/>
  <c r="H88" i="8"/>
  <c r="G88" i="8"/>
  <c r="F88" i="8"/>
  <c r="E88" i="8"/>
  <c r="D91" i="8"/>
  <c r="D88" i="8"/>
  <c r="D30" i="9"/>
  <c r="D31" i="9" s="1"/>
  <c r="D26" i="9"/>
  <c r="D27" i="9" s="1"/>
  <c r="D22" i="9"/>
  <c r="D19" i="9"/>
  <c r="D16" i="9"/>
  <c r="E25" i="1"/>
  <c r="Q63" i="8" s="1" a="1"/>
  <c r="Q63" i="8" s="1"/>
  <c r="J85" i="8"/>
  <c r="I85" i="8"/>
  <c r="J76" i="8"/>
  <c r="I76" i="8"/>
  <c r="K68" i="8"/>
  <c r="L68" i="8" s="1"/>
  <c r="M68" i="8" s="1"/>
  <c r="N68" i="8" s="1"/>
  <c r="O68" i="8" s="1"/>
  <c r="P68" i="8" s="1"/>
  <c r="Q68" i="8" s="1"/>
  <c r="R68" i="8" s="1"/>
  <c r="J68" i="8"/>
  <c r="J67" i="8"/>
  <c r="K67" i="8" s="1"/>
  <c r="L67" i="8" s="1"/>
  <c r="M67" i="8" s="1"/>
  <c r="N67" i="8" s="1"/>
  <c r="O67" i="8" s="1"/>
  <c r="P67" i="8" s="1"/>
  <c r="Q67" i="8" s="1"/>
  <c r="R67" i="8" s="1"/>
  <c r="J66" i="8"/>
  <c r="K66" i="8" s="1"/>
  <c r="L66" i="8" s="1"/>
  <c r="M66" i="8" s="1"/>
  <c r="N66" i="8" s="1"/>
  <c r="O66" i="8" s="1"/>
  <c r="P66" i="8" s="1"/>
  <c r="Q66" i="8" s="1"/>
  <c r="R66" i="8" s="1"/>
  <c r="G63" i="8"/>
  <c r="H63" i="8" s="1"/>
  <c r="I49" i="8"/>
  <c r="I48" i="8" s="1"/>
  <c r="J48" i="8" s="1"/>
  <c r="K48" i="8" s="1"/>
  <c r="L48" i="8" s="1"/>
  <c r="M48" i="8" s="1"/>
  <c r="N48" i="8" s="1"/>
  <c r="O48" i="8" s="1"/>
  <c r="P48" i="8" s="1"/>
  <c r="Q48" i="8" s="1"/>
  <c r="R48" i="8" s="1"/>
  <c r="J22" i="8"/>
  <c r="K22" i="8"/>
  <c r="L22" i="8"/>
  <c r="M22" i="8"/>
  <c r="N22" i="8" s="1"/>
  <c r="O22" i="8" s="1"/>
  <c r="P22" i="8" s="1"/>
  <c r="Q22" i="8" s="1"/>
  <c r="R22" i="8" s="1"/>
  <c r="I40" i="8"/>
  <c r="I39" i="8" s="1"/>
  <c r="J39" i="8" s="1"/>
  <c r="K39" i="8" s="1"/>
  <c r="L39" i="8" s="1"/>
  <c r="M39" i="8" s="1"/>
  <c r="N39" i="8" s="1"/>
  <c r="O39" i="8" s="1"/>
  <c r="P39" i="8" s="1"/>
  <c r="Q39" i="8" s="1"/>
  <c r="R39" i="8" s="1"/>
  <c r="I22" i="8"/>
  <c r="C18" i="8"/>
  <c r="I23" i="8" s="1"/>
  <c r="J23" i="8" s="1"/>
  <c r="K23" i="8" s="1"/>
  <c r="L23" i="8" s="1"/>
  <c r="M23" i="8" s="1"/>
  <c r="N23" i="8" s="1"/>
  <c r="O23" i="8" s="1"/>
  <c r="P23" i="8" s="1"/>
  <c r="Q23" i="8" s="1"/>
  <c r="R23" i="8" s="1"/>
  <c r="J72" i="8" l="1" a="1"/>
  <c r="J72" i="8" s="1"/>
  <c r="I18" i="8" a="1"/>
  <c r="I18" i="8" s="1"/>
  <c r="I17" i="8" s="1"/>
  <c r="R63" i="8" a="1"/>
  <c r="R63" i="8" s="1"/>
  <c r="I72" i="8" a="1"/>
  <c r="I72" i="8" s="1"/>
  <c r="I71" i="8" s="1"/>
  <c r="I63" i="8" a="1"/>
  <c r="I63" i="8" s="1"/>
  <c r="I62" i="8" s="1"/>
  <c r="I81" i="8" a="1"/>
  <c r="I81" i="8" s="1"/>
  <c r="I80" i="8" s="1"/>
  <c r="J81" i="8" a="1"/>
  <c r="J81" i="8" s="1"/>
  <c r="M63" i="8" a="1"/>
  <c r="M63" i="8" s="1"/>
  <c r="H51" i="10"/>
  <c r="H59" i="10" s="1"/>
  <c r="I41" i="10"/>
  <c r="J41" i="10" s="1"/>
  <c r="K41" i="10" s="1"/>
  <c r="L41" i="10" s="1"/>
  <c r="M41" i="10" s="1"/>
  <c r="N41" i="10" s="1"/>
  <c r="O41" i="10" s="1"/>
  <c r="P41" i="10" s="1"/>
  <c r="Q41" i="10" s="1"/>
  <c r="J10" i="13"/>
  <c r="O10" i="13"/>
  <c r="J11" i="13" s="1"/>
  <c r="E23" i="7"/>
  <c r="D32" i="10"/>
  <c r="E25" i="10"/>
  <c r="E28" i="10" s="1"/>
  <c r="E32" i="10" s="1"/>
  <c r="E61" i="10"/>
  <c r="C32" i="10"/>
  <c r="C61" i="10"/>
  <c r="D61" i="10"/>
  <c r="H89" i="8"/>
  <c r="H92" i="8"/>
  <c r="G15" i="7"/>
  <c r="F92" i="8"/>
  <c r="G61" i="10"/>
  <c r="G22" i="7"/>
  <c r="D37" i="7"/>
  <c r="E37" i="7"/>
  <c r="E15" i="7"/>
  <c r="G16" i="7"/>
  <c r="F61" i="10"/>
  <c r="D13" i="17"/>
  <c r="D15" i="7"/>
  <c r="D11" i="17"/>
  <c r="D23" i="7"/>
  <c r="F22" i="7"/>
  <c r="G89" i="8"/>
  <c r="I89" i="8" s="1"/>
  <c r="G92" i="8"/>
  <c r="F13" i="17"/>
  <c r="F15" i="7"/>
  <c r="E16" i="7"/>
  <c r="E45" i="7"/>
  <c r="I27" i="9"/>
  <c r="G11" i="17"/>
  <c r="G23" i="7"/>
  <c r="F16" i="7"/>
  <c r="F23" i="7"/>
  <c r="G37" i="7"/>
  <c r="E17" i="5"/>
  <c r="K15" i="11"/>
  <c r="J89" i="8"/>
  <c r="K89" i="8" s="1"/>
  <c r="L89" i="8" s="1"/>
  <c r="M89" i="8" s="1"/>
  <c r="N89" i="8" s="1"/>
  <c r="O89" i="8" s="1"/>
  <c r="P89" i="8" s="1"/>
  <c r="Q89" i="8" s="1"/>
  <c r="R89" i="8" s="1"/>
  <c r="I88" i="8"/>
  <c r="I45" i="8" a="1"/>
  <c r="I45" i="8" s="1"/>
  <c r="I44" i="8" s="1"/>
  <c r="J49" i="8"/>
  <c r="I36" i="8" a="1"/>
  <c r="I36" i="8" s="1"/>
  <c r="I35" i="8" s="1"/>
  <c r="J40" i="8"/>
  <c r="I41" i="8"/>
  <c r="J41" i="8" s="1"/>
  <c r="K41" i="8" s="1"/>
  <c r="L41" i="8" s="1"/>
  <c r="M41" i="8" s="1"/>
  <c r="N41" i="8" s="1"/>
  <c r="O41" i="8" s="1"/>
  <c r="P41" i="8" s="1"/>
  <c r="Q41" i="8" s="1"/>
  <c r="R41" i="8" s="1"/>
  <c r="I21" i="8"/>
  <c r="J21" i="8" s="1"/>
  <c r="K21" i="8" s="1"/>
  <c r="L21" i="8" s="1"/>
  <c r="M21" i="8" s="1"/>
  <c r="N21" i="8" s="1"/>
  <c r="O21" i="8" s="1"/>
  <c r="P21" i="8" s="1"/>
  <c r="Q21" i="8" s="1"/>
  <c r="R21" i="8" s="1"/>
  <c r="K85" i="8"/>
  <c r="K76" i="8"/>
  <c r="J63" i="8" a="1"/>
  <c r="J63" i="8" s="1"/>
  <c r="N63" i="8" a="1"/>
  <c r="N63" i="8" s="1"/>
  <c r="K63" i="8" a="1"/>
  <c r="K63" i="8" s="1"/>
  <c r="O63" i="8" a="1"/>
  <c r="O63" i="8" s="1"/>
  <c r="L63" i="8" a="1"/>
  <c r="L63" i="8" s="1"/>
  <c r="P63" i="8" a="1"/>
  <c r="P63" i="8" s="1"/>
  <c r="I31" i="9"/>
  <c r="J31" i="9" s="1"/>
  <c r="K31" i="9" s="1"/>
  <c r="L31" i="9" s="1"/>
  <c r="M31" i="9" s="1"/>
  <c r="N31" i="9" s="1"/>
  <c r="O31" i="9" s="1"/>
  <c r="P31" i="9" s="1"/>
  <c r="Q31" i="9" s="1"/>
  <c r="R31" i="9" s="1"/>
  <c r="F17" i="5"/>
  <c r="G17" i="5"/>
  <c r="D17" i="5"/>
  <c r="H17" i="5"/>
  <c r="D14" i="10"/>
  <c r="D47" i="10" s="1"/>
  <c r="D50" i="10" s="1"/>
  <c r="D52" i="10" s="1"/>
  <c r="D57" i="10" s="1"/>
  <c r="D14" i="17" s="1"/>
  <c r="C50" i="10"/>
  <c r="C52" i="10" s="1"/>
  <c r="I48" i="10"/>
  <c r="D17" i="10"/>
  <c r="E14" i="10" s="1"/>
  <c r="H48" i="10"/>
  <c r="E36" i="10"/>
  <c r="F25" i="10"/>
  <c r="L18" i="8"/>
  <c r="Q18" i="8"/>
  <c r="K18" i="8" l="1"/>
  <c r="R18" i="8"/>
  <c r="J62" i="8"/>
  <c r="K62" i="8" s="1"/>
  <c r="L62" i="8" s="1"/>
  <c r="M62" i="8" s="1"/>
  <c r="N62" i="8" s="1"/>
  <c r="O62" i="8" s="1"/>
  <c r="P62" i="8" s="1"/>
  <c r="Q62" i="8" s="1"/>
  <c r="R62" i="8" s="1"/>
  <c r="J71" i="8"/>
  <c r="O18" i="8"/>
  <c r="P18" i="8"/>
  <c r="M18" i="8"/>
  <c r="J18" i="8"/>
  <c r="J17" i="8" s="1"/>
  <c r="K17" i="8" s="1"/>
  <c r="L17" i="8" s="1"/>
  <c r="M17" i="8" s="1"/>
  <c r="N18" i="8"/>
  <c r="J80" i="8"/>
  <c r="I51" i="10"/>
  <c r="I59" i="10" s="1"/>
  <c r="I92" i="8"/>
  <c r="J92" i="8"/>
  <c r="K92" i="8" s="1"/>
  <c r="L92" i="8" s="1"/>
  <c r="M92" i="8" s="1"/>
  <c r="N92" i="8" s="1"/>
  <c r="O92" i="8" s="1"/>
  <c r="P92" i="8" s="1"/>
  <c r="Q92" i="8" s="1"/>
  <c r="R92" i="8" s="1"/>
  <c r="I91" i="8"/>
  <c r="I27" i="5" s="1"/>
  <c r="H61" i="10"/>
  <c r="I21" i="5"/>
  <c r="J27" i="9"/>
  <c r="K27" i="9" s="1"/>
  <c r="L27" i="9" s="1"/>
  <c r="M27" i="9" s="1"/>
  <c r="N27" i="9" s="1"/>
  <c r="O27" i="9" s="1"/>
  <c r="P27" i="9" s="1"/>
  <c r="Q27" i="9" s="1"/>
  <c r="R27" i="9" s="1"/>
  <c r="E39" i="16"/>
  <c r="E41" i="16" s="1"/>
  <c r="L15" i="11"/>
  <c r="J88" i="8"/>
  <c r="I26" i="5"/>
  <c r="J45" i="8" a="1"/>
  <c r="J45" i="8" s="1"/>
  <c r="J44" i="8" s="1"/>
  <c r="K49" i="8"/>
  <c r="J36" i="8" a="1"/>
  <c r="J36" i="8" s="1"/>
  <c r="J35" i="8" s="1"/>
  <c r="K40" i="8"/>
  <c r="L85" i="8"/>
  <c r="K81" i="8" a="1"/>
  <c r="K81" i="8" s="1"/>
  <c r="K80" i="8" s="1"/>
  <c r="L76" i="8"/>
  <c r="K72" i="8" a="1"/>
  <c r="K72" i="8" s="1"/>
  <c r="J51" i="10"/>
  <c r="D21" i="10"/>
  <c r="J48" i="10"/>
  <c r="E39" i="10"/>
  <c r="F28" i="10"/>
  <c r="K71" i="8" l="1"/>
  <c r="N17" i="8"/>
  <c r="O17" i="8" s="1"/>
  <c r="P17" i="8" s="1"/>
  <c r="Q17" i="8" s="1"/>
  <c r="R17" i="8" s="1"/>
  <c r="J91" i="8"/>
  <c r="J50" i="16"/>
  <c r="E50" i="16"/>
  <c r="H13" i="17"/>
  <c r="H15" i="7"/>
  <c r="H22" i="7"/>
  <c r="J21" i="5"/>
  <c r="J59" i="10"/>
  <c r="I61" i="10"/>
  <c r="M15" i="11"/>
  <c r="J26" i="5"/>
  <c r="K88" i="8"/>
  <c r="L49" i="8"/>
  <c r="K45" i="8" a="1"/>
  <c r="K45" i="8" s="1"/>
  <c r="K44" i="8" s="1"/>
  <c r="L40" i="8"/>
  <c r="K36" i="8" a="1"/>
  <c r="K36" i="8" s="1"/>
  <c r="K35" i="8" s="1"/>
  <c r="J27" i="5"/>
  <c r="K91" i="8"/>
  <c r="M85" i="8"/>
  <c r="L81" i="8" a="1"/>
  <c r="L81" i="8" s="1"/>
  <c r="L80" i="8" s="1"/>
  <c r="M76" i="8"/>
  <c r="L72" i="8" a="1"/>
  <c r="L72" i="8" s="1"/>
  <c r="K51" i="10"/>
  <c r="K48" i="10"/>
  <c r="E17" i="10"/>
  <c r="F14" i="10" s="1"/>
  <c r="E47" i="10"/>
  <c r="E50" i="10" s="1"/>
  <c r="E52" i="10" s="1"/>
  <c r="E57" i="10" s="1"/>
  <c r="E14" i="17" s="1"/>
  <c r="E43" i="10"/>
  <c r="F36" i="10"/>
  <c r="F32" i="10"/>
  <c r="G25" i="10"/>
  <c r="L71" i="8" l="1"/>
  <c r="K59" i="10"/>
  <c r="K21" i="5"/>
  <c r="J61" i="10"/>
  <c r="I13" i="17"/>
  <c r="I15" i="7"/>
  <c r="I22" i="7"/>
  <c r="N15" i="11"/>
  <c r="L88" i="8"/>
  <c r="K26" i="5"/>
  <c r="M49" i="8"/>
  <c r="L45" i="8" a="1"/>
  <c r="L45" i="8" s="1"/>
  <c r="L44" i="8" s="1"/>
  <c r="M40" i="8"/>
  <c r="L36" i="8" a="1"/>
  <c r="L36" i="8" s="1"/>
  <c r="L35" i="8" s="1"/>
  <c r="L91" i="8"/>
  <c r="K27" i="5"/>
  <c r="N85" i="8"/>
  <c r="M81" i="8" a="1"/>
  <c r="M81" i="8" s="1"/>
  <c r="M80" i="8" s="1"/>
  <c r="N76" i="8"/>
  <c r="M72" i="8" a="1"/>
  <c r="M72" i="8" s="1"/>
  <c r="M71" i="8" s="1"/>
  <c r="L51" i="10"/>
  <c r="E21" i="10"/>
  <c r="L48" i="10"/>
  <c r="F39" i="10"/>
  <c r="G28" i="10"/>
  <c r="J22" i="7" l="1"/>
  <c r="J13" i="17"/>
  <c r="J15" i="7"/>
  <c r="L21" i="5"/>
  <c r="K61" i="10"/>
  <c r="L59" i="10"/>
  <c r="O15" i="11"/>
  <c r="M88" i="8"/>
  <c r="L26" i="5"/>
  <c r="N49" i="8"/>
  <c r="M45" i="8" a="1"/>
  <c r="M45" i="8" s="1"/>
  <c r="M44" i="8" s="1"/>
  <c r="N40" i="8"/>
  <c r="M36" i="8" a="1"/>
  <c r="M36" i="8" s="1"/>
  <c r="M35" i="8" s="1"/>
  <c r="M91" i="8"/>
  <c r="L27" i="5"/>
  <c r="O85" i="8"/>
  <c r="N81" i="8" a="1"/>
  <c r="N81" i="8" s="1"/>
  <c r="N80" i="8" s="1"/>
  <c r="O76" i="8"/>
  <c r="N72" i="8" a="1"/>
  <c r="N72" i="8" s="1"/>
  <c r="N71" i="8" s="1"/>
  <c r="M51" i="10"/>
  <c r="M48" i="10"/>
  <c r="F47" i="10"/>
  <c r="F50" i="10" s="1"/>
  <c r="F52" i="10" s="1"/>
  <c r="F57" i="10" s="1"/>
  <c r="F14" i="17" s="1"/>
  <c r="F17" i="10"/>
  <c r="G14" i="10" s="1"/>
  <c r="F43" i="10"/>
  <c r="G36" i="10"/>
  <c r="G32" i="10"/>
  <c r="H25" i="10"/>
  <c r="H28" i="10" s="1"/>
  <c r="K13" i="17" l="1"/>
  <c r="K15" i="7"/>
  <c r="K22" i="7"/>
  <c r="M21" i="5"/>
  <c r="M59" i="10"/>
  <c r="L61" i="10"/>
  <c r="P15" i="11"/>
  <c r="N88" i="8"/>
  <c r="M26" i="5"/>
  <c r="O49" i="8"/>
  <c r="N45" i="8" a="1"/>
  <c r="N45" i="8" s="1"/>
  <c r="N44" i="8" s="1"/>
  <c r="O40" i="8"/>
  <c r="N36" i="8" a="1"/>
  <c r="N36" i="8" s="1"/>
  <c r="N35" i="8" s="1"/>
  <c r="N91" i="8"/>
  <c r="M27" i="5"/>
  <c r="P85" i="8"/>
  <c r="O81" i="8" a="1"/>
  <c r="O81" i="8" s="1"/>
  <c r="O80" i="8" s="1"/>
  <c r="P76" i="8"/>
  <c r="O72" i="8" a="1"/>
  <c r="O72" i="8" s="1"/>
  <c r="O71" i="8" s="1"/>
  <c r="N51" i="10"/>
  <c r="F21" i="10"/>
  <c r="N48" i="10"/>
  <c r="I25" i="10"/>
  <c r="I28" i="10" s="1"/>
  <c r="H32" i="10"/>
  <c r="G39" i="10"/>
  <c r="L22" i="7" l="1"/>
  <c r="N21" i="5"/>
  <c r="M61" i="10"/>
  <c r="N59" i="10"/>
  <c r="L13" i="17"/>
  <c r="L15" i="7"/>
  <c r="Q15" i="11"/>
  <c r="O88" i="8"/>
  <c r="N26" i="5"/>
  <c r="P49" i="8"/>
  <c r="O45" i="8" a="1"/>
  <c r="O45" i="8" s="1"/>
  <c r="O44" i="8" s="1"/>
  <c r="P40" i="8"/>
  <c r="O36" i="8" a="1"/>
  <c r="O36" i="8" s="1"/>
  <c r="O35" i="8" s="1"/>
  <c r="O91" i="8"/>
  <c r="N27" i="5"/>
  <c r="Q85" i="8"/>
  <c r="P81" i="8" a="1"/>
  <c r="P81" i="8" s="1"/>
  <c r="P80" i="8" s="1"/>
  <c r="Q76" i="8"/>
  <c r="P72" i="8" a="1"/>
  <c r="P72" i="8" s="1"/>
  <c r="P71" i="8" s="1"/>
  <c r="O51" i="10"/>
  <c r="O48" i="10"/>
  <c r="G47" i="10"/>
  <c r="G50" i="10" s="1"/>
  <c r="G52" i="10" s="1"/>
  <c r="G57" i="10" s="1"/>
  <c r="G14" i="17" s="1"/>
  <c r="G17" i="10"/>
  <c r="H14" i="10" s="1"/>
  <c r="J25" i="10"/>
  <c r="J28" i="10" s="1"/>
  <c r="I32" i="10"/>
  <c r="G43" i="10"/>
  <c r="H36" i="10"/>
  <c r="H39" i="10" s="1"/>
  <c r="M22" i="7" l="1"/>
  <c r="M13" i="17"/>
  <c r="M15" i="7"/>
  <c r="O21" i="5"/>
  <c r="N61" i="10"/>
  <c r="O59" i="10"/>
  <c r="P88" i="8"/>
  <c r="O26" i="5"/>
  <c r="Q49" i="8"/>
  <c r="P45" i="8" a="1"/>
  <c r="P45" i="8" s="1"/>
  <c r="P44" i="8" s="1"/>
  <c r="Q40" i="8"/>
  <c r="P36" i="8" a="1"/>
  <c r="P36" i="8" s="1"/>
  <c r="P35" i="8" s="1"/>
  <c r="P91" i="8"/>
  <c r="O27" i="5"/>
  <c r="R85" i="8"/>
  <c r="R81" i="8" s="1" a="1"/>
  <c r="R81" i="8" s="1"/>
  <c r="Q81" i="8" a="1"/>
  <c r="Q81" i="8" s="1"/>
  <c r="Q80" i="8" s="1"/>
  <c r="R76" i="8"/>
  <c r="R72" i="8" s="1" a="1"/>
  <c r="R72" i="8" s="1"/>
  <c r="Q72" i="8" a="1"/>
  <c r="Q72" i="8" s="1"/>
  <c r="Q71" i="8" s="1"/>
  <c r="Q51" i="10"/>
  <c r="P51" i="10"/>
  <c r="G21" i="10"/>
  <c r="Q48" i="10"/>
  <c r="P48" i="10"/>
  <c r="I36" i="10"/>
  <c r="I39" i="10" s="1"/>
  <c r="H43" i="10"/>
  <c r="K25" i="10"/>
  <c r="K28" i="10" s="1"/>
  <c r="J32" i="10"/>
  <c r="R71" i="8" l="1"/>
  <c r="N13" i="17"/>
  <c r="N15" i="7"/>
  <c r="N22" i="7"/>
  <c r="P21" i="5"/>
  <c r="P59" i="10"/>
  <c r="O61" i="10"/>
  <c r="Q88" i="8"/>
  <c r="P26" i="5"/>
  <c r="R80" i="8"/>
  <c r="R49" i="8"/>
  <c r="R45" i="8" s="1" a="1"/>
  <c r="R45" i="8" s="1"/>
  <c r="Q45" i="8" a="1"/>
  <c r="Q45" i="8" s="1"/>
  <c r="Q44" i="8" s="1"/>
  <c r="R40" i="8"/>
  <c r="R36" i="8" s="1" a="1"/>
  <c r="R36" i="8" s="1"/>
  <c r="Q36" i="8" a="1"/>
  <c r="Q36" i="8" s="1"/>
  <c r="Q35" i="8" s="1"/>
  <c r="Q91" i="8"/>
  <c r="P27" i="5"/>
  <c r="H47" i="10"/>
  <c r="H50" i="10" s="1"/>
  <c r="H52" i="10" s="1"/>
  <c r="H17" i="10"/>
  <c r="I14" i="10" s="1"/>
  <c r="J36" i="10"/>
  <c r="J39" i="10" s="1"/>
  <c r="I43" i="10"/>
  <c r="L25" i="10"/>
  <c r="L28" i="10" s="1"/>
  <c r="K32" i="10"/>
  <c r="R44" i="8" l="1"/>
  <c r="R35" i="8"/>
  <c r="H18" i="11"/>
  <c r="H57" i="10"/>
  <c r="H14" i="17" s="1"/>
  <c r="O22" i="7"/>
  <c r="Q21" i="5"/>
  <c r="Q59" i="10"/>
  <c r="P61" i="10"/>
  <c r="O13" i="17"/>
  <c r="O15" i="7"/>
  <c r="R88" i="8"/>
  <c r="R26" i="5" s="1"/>
  <c r="Q26" i="5"/>
  <c r="R91" i="8"/>
  <c r="R27" i="5" s="1"/>
  <c r="Q27" i="5"/>
  <c r="H21" i="10"/>
  <c r="K36" i="10"/>
  <c r="K39" i="10" s="1"/>
  <c r="J43" i="10"/>
  <c r="M25" i="10"/>
  <c r="M28" i="10" s="1"/>
  <c r="L32" i="10"/>
  <c r="H35" i="7" l="1"/>
  <c r="H37" i="7" s="1"/>
  <c r="P22" i="7"/>
  <c r="P13" i="17"/>
  <c r="P15" i="7"/>
  <c r="Q22" i="7"/>
  <c r="Q61" i="10"/>
  <c r="R21" i="5"/>
  <c r="I47" i="10"/>
  <c r="I50" i="10" s="1"/>
  <c r="I52" i="10" s="1"/>
  <c r="I17" i="10"/>
  <c r="J14" i="10" s="1"/>
  <c r="L36" i="10"/>
  <c r="L39" i="10" s="1"/>
  <c r="K43" i="10"/>
  <c r="N25" i="10"/>
  <c r="N28" i="10" s="1"/>
  <c r="M32" i="10"/>
  <c r="I18" i="11" l="1"/>
  <c r="I57" i="10"/>
  <c r="I14" i="17" s="1"/>
  <c r="Q13" i="17"/>
  <c r="Q15" i="7"/>
  <c r="I21" i="10"/>
  <c r="M36" i="10"/>
  <c r="M39" i="10" s="1"/>
  <c r="L43" i="10"/>
  <c r="O25" i="10"/>
  <c r="O28" i="10" s="1"/>
  <c r="N32" i="10"/>
  <c r="I35" i="7" l="1"/>
  <c r="I37" i="7" s="1"/>
  <c r="J47" i="10"/>
  <c r="J50" i="10" s="1"/>
  <c r="J52" i="10" s="1"/>
  <c r="J17" i="10"/>
  <c r="K14" i="10" s="1"/>
  <c r="N36" i="10"/>
  <c r="N39" i="10" s="1"/>
  <c r="M43" i="10"/>
  <c r="P25" i="10"/>
  <c r="P28" i="10" s="1"/>
  <c r="O32" i="10"/>
  <c r="J18" i="11" l="1"/>
  <c r="J57" i="10"/>
  <c r="J14" i="17" s="1"/>
  <c r="J21" i="10"/>
  <c r="O36" i="10"/>
  <c r="O39" i="10" s="1"/>
  <c r="N43" i="10"/>
  <c r="Q25" i="10"/>
  <c r="Q28" i="10" s="1"/>
  <c r="Q32" i="10" s="1"/>
  <c r="P32" i="10"/>
  <c r="J35" i="7" l="1"/>
  <c r="J37" i="7" s="1"/>
  <c r="K47" i="10"/>
  <c r="K50" i="10" s="1"/>
  <c r="K52" i="10" s="1"/>
  <c r="K17" i="10"/>
  <c r="L14" i="10" s="1"/>
  <c r="P36" i="10"/>
  <c r="P39" i="10" s="1"/>
  <c r="O43" i="10"/>
  <c r="K18" i="11" l="1"/>
  <c r="K57" i="10"/>
  <c r="K14" i="17" s="1"/>
  <c r="K21" i="10"/>
  <c r="Q36" i="10"/>
  <c r="Q39" i="10" s="1"/>
  <c r="Q43" i="10" s="1"/>
  <c r="P43" i="10"/>
  <c r="K35" i="7" l="1"/>
  <c r="K37" i="7" s="1"/>
  <c r="L47" i="10"/>
  <c r="L50" i="10" s="1"/>
  <c r="L52" i="10" s="1"/>
  <c r="L17" i="10"/>
  <c r="M14" i="10" s="1"/>
  <c r="L18" i="11" l="1"/>
  <c r="L57" i="10"/>
  <c r="L14" i="17" s="1"/>
  <c r="L21" i="10"/>
  <c r="L35" i="7" l="1"/>
  <c r="L37" i="7" s="1"/>
  <c r="M47" i="10"/>
  <c r="M50" i="10" s="1"/>
  <c r="M52" i="10" s="1"/>
  <c r="M17" i="10"/>
  <c r="N14" i="10" s="1"/>
  <c r="M18" i="11" l="1"/>
  <c r="M57" i="10"/>
  <c r="M14" i="17" s="1"/>
  <c r="M21" i="10"/>
  <c r="M35" i="7" l="1"/>
  <c r="M37" i="7" s="1"/>
  <c r="N47" i="10"/>
  <c r="N50" i="10" s="1"/>
  <c r="N52" i="10" s="1"/>
  <c r="N17" i="10"/>
  <c r="O14" i="10" s="1"/>
  <c r="N18" i="11" l="1"/>
  <c r="N57" i="10"/>
  <c r="N14" i="17" s="1"/>
  <c r="N21" i="10"/>
  <c r="N35" i="7" l="1"/>
  <c r="N37" i="7" s="1"/>
  <c r="O47" i="10"/>
  <c r="O50" i="10" s="1"/>
  <c r="O52" i="10" s="1"/>
  <c r="O17" i="10"/>
  <c r="P14" i="10" s="1"/>
  <c r="O18" i="11" l="1"/>
  <c r="O57" i="10"/>
  <c r="O14" i="17" s="1"/>
  <c r="O21" i="10"/>
  <c r="O35" i="7" l="1"/>
  <c r="O37" i="7" s="1"/>
  <c r="P47" i="10"/>
  <c r="P50" i="10" s="1"/>
  <c r="P52" i="10" s="1"/>
  <c r="P17" i="10"/>
  <c r="Q14" i="10" s="1"/>
  <c r="P18" i="11" l="1"/>
  <c r="P57" i="10"/>
  <c r="P14" i="17" s="1"/>
  <c r="P21" i="10"/>
  <c r="P35" i="7" l="1"/>
  <c r="P37" i="7" s="1"/>
  <c r="Q47" i="10"/>
  <c r="Q50" i="10" s="1"/>
  <c r="Q52" i="10" s="1"/>
  <c r="Q17" i="10"/>
  <c r="Q21" i="10" s="1"/>
  <c r="Q18" i="11" l="1"/>
  <c r="Q57" i="10"/>
  <c r="Q14" i="17" s="1"/>
  <c r="Q35" i="7" l="1"/>
  <c r="Q37" i="7" s="1"/>
  <c r="H81" i="8" l="1"/>
  <c r="G81" i="8"/>
  <c r="F81" i="8"/>
  <c r="E81" i="8"/>
  <c r="H72" i="8"/>
  <c r="G72" i="8"/>
  <c r="F72" i="8"/>
  <c r="E72" i="8"/>
  <c r="E63" i="8"/>
  <c r="C63" i="8" s="1"/>
  <c r="H54" i="8"/>
  <c r="G54" i="8"/>
  <c r="F54" i="8"/>
  <c r="E54" i="8"/>
  <c r="H45" i="8"/>
  <c r="G45" i="8"/>
  <c r="F45" i="8"/>
  <c r="E45" i="8"/>
  <c r="H36" i="8"/>
  <c r="G36" i="8"/>
  <c r="F36" i="8"/>
  <c r="E36" i="8"/>
  <c r="C36" i="8" s="1"/>
  <c r="H27" i="8"/>
  <c r="G27" i="8"/>
  <c r="F27" i="8"/>
  <c r="E27" i="8"/>
  <c r="H18" i="8"/>
  <c r="G18" i="8"/>
  <c r="F18" i="8"/>
  <c r="E18" i="8"/>
  <c r="F12" i="8"/>
  <c r="H12" i="8"/>
  <c r="G12" i="8"/>
  <c r="E12" i="8"/>
  <c r="D12" i="8"/>
  <c r="D14" i="2"/>
  <c r="E14" i="2"/>
  <c r="F14" i="2"/>
  <c r="G14" i="2"/>
  <c r="G22" i="2" s="1"/>
  <c r="G26" i="2" s="1"/>
  <c r="G32" i="2" s="1"/>
  <c r="G36" i="2" s="1"/>
  <c r="H14" i="2"/>
  <c r="D20" i="2"/>
  <c r="E20" i="2"/>
  <c r="F20" i="2"/>
  <c r="F22" i="2" s="1"/>
  <c r="F26" i="2" s="1"/>
  <c r="F32" i="2" s="1"/>
  <c r="F36" i="2" s="1"/>
  <c r="G20" i="2"/>
  <c r="H20" i="2"/>
  <c r="H22" i="2" s="1"/>
  <c r="H26" i="2" s="1"/>
  <c r="H32" i="2" s="1"/>
  <c r="H36" i="2" s="1"/>
  <c r="D22" i="2"/>
  <c r="D26" i="2" s="1"/>
  <c r="D32" i="2" s="1"/>
  <c r="D36" i="2" s="1"/>
  <c r="E22" i="2"/>
  <c r="E26" i="2" s="1"/>
  <c r="E32" i="2" s="1"/>
  <c r="E36" i="2" s="1"/>
  <c r="I86" i="8" l="1"/>
  <c r="J86" i="8" s="1"/>
  <c r="K86" i="8" s="1"/>
  <c r="L86" i="8" s="1"/>
  <c r="M86" i="8" s="1"/>
  <c r="N86" i="8" s="1"/>
  <c r="O86" i="8" s="1"/>
  <c r="P86" i="8" s="1"/>
  <c r="Q86" i="8" s="1"/>
  <c r="R86" i="8" s="1"/>
  <c r="C81" i="8"/>
  <c r="I84" i="8" s="1"/>
  <c r="J84" i="8" s="1"/>
  <c r="K84" i="8" s="1"/>
  <c r="L84" i="8" s="1"/>
  <c r="M84" i="8" s="1"/>
  <c r="N84" i="8" s="1"/>
  <c r="O84" i="8" s="1"/>
  <c r="P84" i="8" s="1"/>
  <c r="Q84" i="8" s="1"/>
  <c r="R84" i="8" s="1"/>
  <c r="I77" i="8"/>
  <c r="J77" i="8" s="1"/>
  <c r="K77" i="8" s="1"/>
  <c r="L77" i="8" s="1"/>
  <c r="M77" i="8" s="1"/>
  <c r="N77" i="8" s="1"/>
  <c r="O77" i="8" s="1"/>
  <c r="P77" i="8" s="1"/>
  <c r="Q77" i="8" s="1"/>
  <c r="R77" i="8" s="1"/>
  <c r="C72" i="8"/>
  <c r="I75" i="8" s="1"/>
  <c r="J75" i="8" s="1"/>
  <c r="K75" i="8" s="1"/>
  <c r="L75" i="8" s="1"/>
  <c r="M75" i="8" s="1"/>
  <c r="N75" i="8" s="1"/>
  <c r="O75" i="8" s="1"/>
  <c r="P75" i="8" s="1"/>
  <c r="Q75" i="8" s="1"/>
  <c r="R75" i="8" s="1"/>
  <c r="C54" i="8"/>
  <c r="I58" i="8"/>
  <c r="C45" i="8"/>
  <c r="I50" i="8"/>
  <c r="J50" i="8" s="1"/>
  <c r="K50" i="8" s="1"/>
  <c r="L50" i="8" s="1"/>
  <c r="M50" i="8" s="1"/>
  <c r="N50" i="8" s="1"/>
  <c r="O50" i="8" s="1"/>
  <c r="P50" i="8" s="1"/>
  <c r="Q50" i="8" s="1"/>
  <c r="R50" i="8" s="1"/>
  <c r="E11" i="6"/>
  <c r="E13" i="9"/>
  <c r="E11" i="5"/>
  <c r="E19" i="5" s="1"/>
  <c r="E23" i="5" s="1"/>
  <c r="G13" i="9"/>
  <c r="G11" i="5"/>
  <c r="G19" i="5" s="1"/>
  <c r="G23" i="5" s="1"/>
  <c r="G11" i="6"/>
  <c r="H11" i="5"/>
  <c r="H19" i="5" s="1"/>
  <c r="H23" i="5" s="1"/>
  <c r="H13" i="9"/>
  <c r="H11" i="6"/>
  <c r="C27" i="8"/>
  <c r="I32" i="8"/>
  <c r="J32" i="8" s="1"/>
  <c r="K32" i="8" s="1"/>
  <c r="L32" i="8" s="1"/>
  <c r="M32" i="8" s="1"/>
  <c r="N32" i="8" s="1"/>
  <c r="O32" i="8" s="1"/>
  <c r="P32" i="8" s="1"/>
  <c r="Q32" i="8" s="1"/>
  <c r="R32" i="8" s="1"/>
  <c r="I31" i="8"/>
  <c r="D11" i="5"/>
  <c r="D19" i="5" s="1"/>
  <c r="D23" i="5" s="1"/>
  <c r="D29" i="5" s="1"/>
  <c r="D33" i="5" s="1"/>
  <c r="D36" i="5" s="1"/>
  <c r="D11" i="6"/>
  <c r="D13" i="9"/>
  <c r="F11" i="6"/>
  <c r="F11" i="5"/>
  <c r="F19" i="5" s="1"/>
  <c r="F23" i="5" s="1"/>
  <c r="F13" i="9"/>
  <c r="F35" i="6" l="1"/>
  <c r="F38" i="6"/>
  <c r="D38" i="6"/>
  <c r="D35" i="6"/>
  <c r="I35" i="6" s="1"/>
  <c r="J35" i="6" s="1"/>
  <c r="K35" i="6" s="1"/>
  <c r="L35" i="6" s="1"/>
  <c r="M35" i="6" s="1"/>
  <c r="N35" i="6" s="1"/>
  <c r="O35" i="6" s="1"/>
  <c r="P35" i="6" s="1"/>
  <c r="Q35" i="6" s="1"/>
  <c r="R35" i="6" s="1"/>
  <c r="G35" i="6"/>
  <c r="G38" i="6"/>
  <c r="H38" i="6"/>
  <c r="H35" i="6"/>
  <c r="E35" i="6"/>
  <c r="E38" i="6"/>
  <c r="H29" i="5"/>
  <c r="G10" i="17"/>
  <c r="G12" i="17" s="1"/>
  <c r="G15" i="17" s="1"/>
  <c r="E29" i="5"/>
  <c r="D10" i="17"/>
  <c r="D12" i="17" s="1"/>
  <c r="D15" i="17" s="1"/>
  <c r="F29" i="5"/>
  <c r="E10" i="17"/>
  <c r="E12" i="17" s="1"/>
  <c r="E15" i="17" s="1"/>
  <c r="G29" i="5"/>
  <c r="F10" i="17"/>
  <c r="F12" i="17" s="1"/>
  <c r="F15" i="17" s="1"/>
  <c r="I54" i="8" a="1"/>
  <c r="I54" i="8" s="1"/>
  <c r="I53" i="8" s="1"/>
  <c r="J58" i="8"/>
  <c r="I59" i="8"/>
  <c r="J59" i="8" s="1"/>
  <c r="K59" i="8" s="1"/>
  <c r="L59" i="8" s="1"/>
  <c r="M59" i="8" s="1"/>
  <c r="N59" i="8" s="1"/>
  <c r="O59" i="8" s="1"/>
  <c r="P59" i="8" s="1"/>
  <c r="Q59" i="8" s="1"/>
  <c r="R59" i="8" s="1"/>
  <c r="I57" i="8"/>
  <c r="J57" i="8" s="1"/>
  <c r="K57" i="8" s="1"/>
  <c r="L57" i="8" s="1"/>
  <c r="M57" i="8" s="1"/>
  <c r="N57" i="8" s="1"/>
  <c r="O57" i="8" s="1"/>
  <c r="P57" i="8" s="1"/>
  <c r="Q57" i="8" s="1"/>
  <c r="R57" i="8" s="1"/>
  <c r="F32" i="6"/>
  <c r="F26" i="6"/>
  <c r="F23" i="6"/>
  <c r="F20" i="6"/>
  <c r="F17" i="6"/>
  <c r="F14" i="6"/>
  <c r="F29" i="6"/>
  <c r="H20" i="9"/>
  <c r="H23" i="9"/>
  <c r="H17" i="9"/>
  <c r="I30" i="8"/>
  <c r="J30" i="8" s="1"/>
  <c r="K30" i="8" s="1"/>
  <c r="L30" i="8" s="1"/>
  <c r="M30" i="8" s="1"/>
  <c r="N30" i="8" s="1"/>
  <c r="O30" i="8" s="1"/>
  <c r="P30" i="8" s="1"/>
  <c r="Q30" i="8" s="1"/>
  <c r="R30" i="8" s="1"/>
  <c r="I27" i="8" a="1"/>
  <c r="I27" i="8" s="1"/>
  <c r="I26" i="8" s="1"/>
  <c r="J31" i="8"/>
  <c r="G23" i="9"/>
  <c r="G20" i="9"/>
  <c r="G17" i="9"/>
  <c r="D20" i="9"/>
  <c r="D23" i="9"/>
  <c r="D17" i="9"/>
  <c r="F23" i="9"/>
  <c r="F20" i="9"/>
  <c r="F17" i="9"/>
  <c r="D32" i="6"/>
  <c r="D20" i="6"/>
  <c r="D14" i="6"/>
  <c r="D23" i="6"/>
  <c r="D29" i="6"/>
  <c r="D17" i="6"/>
  <c r="D26" i="6"/>
  <c r="G32" i="6"/>
  <c r="G29" i="6"/>
  <c r="G26" i="6"/>
  <c r="G23" i="6"/>
  <c r="G20" i="6"/>
  <c r="G17" i="6"/>
  <c r="G14" i="6"/>
  <c r="E20" i="9"/>
  <c r="E23" i="9"/>
  <c r="E17" i="9"/>
  <c r="H32" i="6"/>
  <c r="H29" i="6"/>
  <c r="H26" i="6"/>
  <c r="H23" i="6"/>
  <c r="H20" i="6"/>
  <c r="H17" i="6"/>
  <c r="H14" i="6"/>
  <c r="E29" i="6"/>
  <c r="E23" i="6"/>
  <c r="E17" i="6"/>
  <c r="E32" i="6"/>
  <c r="E26" i="6"/>
  <c r="E20" i="6"/>
  <c r="E14" i="6"/>
  <c r="I12" i="8" l="1"/>
  <c r="I11" i="5" s="1"/>
  <c r="I38" i="6"/>
  <c r="J38" i="6" s="1"/>
  <c r="K38" i="6" s="1"/>
  <c r="L38" i="6" s="1"/>
  <c r="M38" i="6" s="1"/>
  <c r="N38" i="6" s="1"/>
  <c r="O38" i="6" s="1"/>
  <c r="P38" i="6" s="1"/>
  <c r="Q38" i="6" s="1"/>
  <c r="R38" i="6" s="1"/>
  <c r="I17" i="6"/>
  <c r="J17" i="6" s="1"/>
  <c r="K17" i="6" s="1"/>
  <c r="L17" i="6" s="1"/>
  <c r="M17" i="6" s="1"/>
  <c r="N17" i="6" s="1"/>
  <c r="O17" i="6" s="1"/>
  <c r="P17" i="6" s="1"/>
  <c r="Q17" i="6" s="1"/>
  <c r="R17" i="6" s="1"/>
  <c r="G33" i="5"/>
  <c r="F13" i="7"/>
  <c r="F29" i="7" s="1"/>
  <c r="E33" i="5"/>
  <c r="D13" i="7"/>
  <c r="D29" i="7" s="1"/>
  <c r="I23" i="9"/>
  <c r="J23" i="9" s="1"/>
  <c r="F33" i="5"/>
  <c r="E13" i="7"/>
  <c r="E29" i="7" s="1"/>
  <c r="H33" i="5"/>
  <c r="G13" i="7"/>
  <c r="G29" i="7" s="1"/>
  <c r="K58" i="8"/>
  <c r="J54" i="8" a="1"/>
  <c r="J54" i="8" s="1"/>
  <c r="J53" i="8" s="1"/>
  <c r="I29" i="6"/>
  <c r="J29" i="6" s="1"/>
  <c r="K29" i="6" s="1"/>
  <c r="L29" i="6" s="1"/>
  <c r="M29" i="6" s="1"/>
  <c r="N29" i="6" s="1"/>
  <c r="O29" i="6" s="1"/>
  <c r="P29" i="6" s="1"/>
  <c r="Q29" i="6" s="1"/>
  <c r="R29" i="6" s="1"/>
  <c r="I32" i="6"/>
  <c r="J32" i="6" s="1"/>
  <c r="K32" i="6" s="1"/>
  <c r="L32" i="6" s="1"/>
  <c r="M32" i="6" s="1"/>
  <c r="N32" i="6" s="1"/>
  <c r="O32" i="6" s="1"/>
  <c r="P32" i="6" s="1"/>
  <c r="Q32" i="6" s="1"/>
  <c r="R32" i="6" s="1"/>
  <c r="I17" i="9"/>
  <c r="I23" i="6"/>
  <c r="J23" i="6" s="1"/>
  <c r="K23" i="6" s="1"/>
  <c r="L23" i="6" s="1"/>
  <c r="M23" i="6" s="1"/>
  <c r="N23" i="6" s="1"/>
  <c r="O23" i="6" s="1"/>
  <c r="P23" i="6" s="1"/>
  <c r="Q23" i="6" s="1"/>
  <c r="R23" i="6" s="1"/>
  <c r="I20" i="6"/>
  <c r="J20" i="6" s="1"/>
  <c r="K20" i="6" s="1"/>
  <c r="L20" i="6" s="1"/>
  <c r="M20" i="6" s="1"/>
  <c r="N20" i="6" s="1"/>
  <c r="O20" i="6" s="1"/>
  <c r="P20" i="6" s="1"/>
  <c r="Q20" i="6" s="1"/>
  <c r="R20" i="6" s="1"/>
  <c r="I26" i="6"/>
  <c r="J26" i="6" s="1"/>
  <c r="K26" i="6" s="1"/>
  <c r="L26" i="6" s="1"/>
  <c r="M26" i="6" s="1"/>
  <c r="N26" i="6" s="1"/>
  <c r="O26" i="6" s="1"/>
  <c r="P26" i="6" s="1"/>
  <c r="Q26" i="6" s="1"/>
  <c r="R26" i="6" s="1"/>
  <c r="I14" i="6"/>
  <c r="J14" i="6" s="1"/>
  <c r="K14" i="6" s="1"/>
  <c r="L14" i="6" s="1"/>
  <c r="M14" i="6" s="1"/>
  <c r="N14" i="6" s="1"/>
  <c r="O14" i="6" s="1"/>
  <c r="P14" i="6" s="1"/>
  <c r="Q14" i="6" s="1"/>
  <c r="R14" i="6" s="1"/>
  <c r="I20" i="9"/>
  <c r="J27" i="8" a="1"/>
  <c r="J27" i="8" s="1"/>
  <c r="J26" i="8" s="1"/>
  <c r="K31" i="8"/>
  <c r="J12" i="8" l="1"/>
  <c r="J13" i="9" s="1"/>
  <c r="J22" i="9" s="1"/>
  <c r="J16" i="5" s="1"/>
  <c r="I13" i="9"/>
  <c r="I22" i="9" s="1"/>
  <c r="I16" i="5" s="1"/>
  <c r="I11" i="6"/>
  <c r="I34" i="6" s="1"/>
  <c r="G42" i="7"/>
  <c r="G46" i="7" s="1"/>
  <c r="G48" i="7" s="1"/>
  <c r="H36" i="5"/>
  <c r="E36" i="5"/>
  <c r="D42" i="7"/>
  <c r="D46" i="7" s="1"/>
  <c r="D48" i="7" s="1"/>
  <c r="D50" i="7" s="1"/>
  <c r="E49" i="7" s="1"/>
  <c r="F36" i="5"/>
  <c r="E42" i="7"/>
  <c r="E46" i="7" s="1"/>
  <c r="E48" i="7" s="1"/>
  <c r="G36" i="5"/>
  <c r="F42" i="7"/>
  <c r="F46" i="7" s="1"/>
  <c r="F48" i="7" s="1"/>
  <c r="L58" i="8"/>
  <c r="K54" i="8" a="1"/>
  <c r="K54" i="8" s="1"/>
  <c r="K53" i="8" s="1"/>
  <c r="J17" i="9"/>
  <c r="I28" i="6"/>
  <c r="H17" i="11" s="1"/>
  <c r="H26" i="7" s="1"/>
  <c r="J20" i="9"/>
  <c r="L31" i="8"/>
  <c r="K27" i="8" a="1"/>
  <c r="K27" i="8" s="1"/>
  <c r="K26" i="8" s="1"/>
  <c r="K23" i="9"/>
  <c r="K12" i="8" l="1"/>
  <c r="K11" i="5" s="1"/>
  <c r="I37" i="6"/>
  <c r="H29" i="11" s="1"/>
  <c r="J11" i="5"/>
  <c r="J11" i="6"/>
  <c r="J16" i="6" s="1"/>
  <c r="I25" i="6"/>
  <c r="H16" i="11" s="1"/>
  <c r="H25" i="7" s="1"/>
  <c r="I22" i="6"/>
  <c r="H33" i="11" s="1"/>
  <c r="I16" i="6"/>
  <c r="H31" i="11" s="1"/>
  <c r="H19" i="7" s="1"/>
  <c r="I31" i="6"/>
  <c r="H19" i="11" s="1"/>
  <c r="H27" i="7" s="1"/>
  <c r="I19" i="6"/>
  <c r="H32" i="11" s="1"/>
  <c r="I13" i="6"/>
  <c r="H30" i="11" s="1"/>
  <c r="H18" i="7" s="1"/>
  <c r="I16" i="9"/>
  <c r="I14" i="5" s="1"/>
  <c r="I19" i="9"/>
  <c r="I15" i="5" s="1"/>
  <c r="I36" i="5"/>
  <c r="J36" i="5" s="1"/>
  <c r="K36" i="5" s="1"/>
  <c r="L36" i="5" s="1"/>
  <c r="M36" i="5" s="1"/>
  <c r="N36" i="5" s="1"/>
  <c r="O36" i="5" s="1"/>
  <c r="P36" i="5" s="1"/>
  <c r="Q36" i="5" s="1"/>
  <c r="R36" i="5" s="1"/>
  <c r="E50" i="7"/>
  <c r="F49" i="7" s="1"/>
  <c r="F50" i="7" s="1"/>
  <c r="G49" i="7" s="1"/>
  <c r="G50" i="7" s="1"/>
  <c r="H49" i="7" s="1"/>
  <c r="I26" i="9"/>
  <c r="I25" i="5" s="1"/>
  <c r="H16" i="7" s="1"/>
  <c r="M58" i="8"/>
  <c r="L54" i="8" a="1"/>
  <c r="L54" i="8" s="1"/>
  <c r="L53" i="8" s="1"/>
  <c r="M31" i="8"/>
  <c r="L27" i="8" a="1"/>
  <c r="L27" i="8" s="1"/>
  <c r="L26" i="8" s="1"/>
  <c r="K11" i="6"/>
  <c r="K17" i="9"/>
  <c r="J16" i="9"/>
  <c r="J14" i="5" s="1"/>
  <c r="L23" i="9"/>
  <c r="K20" i="9"/>
  <c r="J19" i="9"/>
  <c r="J15" i="5" s="1"/>
  <c r="K13" i="9" l="1"/>
  <c r="K22" i="9" s="1"/>
  <c r="K16" i="5" s="1"/>
  <c r="I26" i="19"/>
  <c r="J37" i="6"/>
  <c r="I29" i="11" s="1"/>
  <c r="H26" i="19"/>
  <c r="H27" i="19"/>
  <c r="I27" i="19"/>
  <c r="J34" i="6"/>
  <c r="J22" i="6"/>
  <c r="I33" i="11" s="1"/>
  <c r="J31" i="6"/>
  <c r="I19" i="11" s="1"/>
  <c r="I27" i="7" s="1"/>
  <c r="J19" i="6"/>
  <c r="I32" i="11" s="1"/>
  <c r="J25" i="6"/>
  <c r="I16" i="11" s="1"/>
  <c r="I25" i="7" s="1"/>
  <c r="J28" i="6"/>
  <c r="I17" i="11" s="1"/>
  <c r="I26" i="7" s="1"/>
  <c r="I17" i="5"/>
  <c r="I19" i="5" s="1"/>
  <c r="J13" i="6"/>
  <c r="I30" i="11" s="1"/>
  <c r="I18" i="7" s="1"/>
  <c r="H20" i="7"/>
  <c r="L12" i="8"/>
  <c r="L11" i="6" s="1"/>
  <c r="H45" i="7"/>
  <c r="K37" i="6"/>
  <c r="J29" i="11" s="1"/>
  <c r="K34" i="6"/>
  <c r="J26" i="9"/>
  <c r="J25" i="5" s="1"/>
  <c r="I45" i="7" s="1"/>
  <c r="I31" i="11"/>
  <c r="I19" i="7" s="1"/>
  <c r="N58" i="8"/>
  <c r="M54" i="8" a="1"/>
  <c r="M54" i="8" s="1"/>
  <c r="M53" i="8" s="1"/>
  <c r="J17" i="5"/>
  <c r="J19" i="5" s="1"/>
  <c r="M23" i="9"/>
  <c r="K31" i="6"/>
  <c r="J19" i="11" s="1"/>
  <c r="K16" i="6"/>
  <c r="K13" i="6"/>
  <c r="J30" i="11" s="1"/>
  <c r="K22" i="6"/>
  <c r="J33" i="11" s="1"/>
  <c r="K28" i="6"/>
  <c r="J17" i="11" s="1"/>
  <c r="K19" i="6"/>
  <c r="J32" i="11" s="1"/>
  <c r="K25" i="6"/>
  <c r="J16" i="11" s="1"/>
  <c r="L20" i="9"/>
  <c r="K19" i="9"/>
  <c r="K15" i="5" s="1"/>
  <c r="J26" i="19" s="1"/>
  <c r="L17" i="9"/>
  <c r="K16" i="9"/>
  <c r="K14" i="5" s="1"/>
  <c r="N31" i="8"/>
  <c r="M27" i="8" a="1"/>
  <c r="M27" i="8" s="1"/>
  <c r="M26" i="8" s="1"/>
  <c r="J23" i="5" l="1"/>
  <c r="I15" i="19"/>
  <c r="I20" i="7"/>
  <c r="J27" i="19"/>
  <c r="I23" i="5"/>
  <c r="H15" i="19"/>
  <c r="J25" i="7"/>
  <c r="J27" i="7"/>
  <c r="H10" i="17"/>
  <c r="J26" i="7"/>
  <c r="J18" i="7"/>
  <c r="L13" i="9"/>
  <c r="L22" i="9" s="1"/>
  <c r="L16" i="5" s="1"/>
  <c r="L11" i="5"/>
  <c r="M12" i="8"/>
  <c r="M11" i="5" s="1"/>
  <c r="J20" i="7"/>
  <c r="K26" i="9"/>
  <c r="K25" i="5" s="1"/>
  <c r="J45" i="7" s="1"/>
  <c r="J31" i="11"/>
  <c r="J19" i="7" s="1"/>
  <c r="I16" i="7"/>
  <c r="L37" i="6"/>
  <c r="K29" i="11" s="1"/>
  <c r="L34" i="6"/>
  <c r="J29" i="5"/>
  <c r="I10" i="17"/>
  <c r="K17" i="5"/>
  <c r="K19" i="5" s="1"/>
  <c r="O58" i="8"/>
  <c r="N54" i="8" a="1"/>
  <c r="N54" i="8" s="1"/>
  <c r="N53" i="8" s="1"/>
  <c r="L31" i="6"/>
  <c r="K19" i="11" s="1"/>
  <c r="K27" i="7" s="1"/>
  <c r="L25" i="6"/>
  <c r="K16" i="11" s="1"/>
  <c r="K25" i="7" s="1"/>
  <c r="L28" i="6"/>
  <c r="K17" i="11" s="1"/>
  <c r="K26" i="7" s="1"/>
  <c r="L19" i="6"/>
  <c r="K32" i="11" s="1"/>
  <c r="L22" i="6"/>
  <c r="K33" i="11" s="1"/>
  <c r="L16" i="6"/>
  <c r="L13" i="6"/>
  <c r="K30" i="11" s="1"/>
  <c r="K18" i="7" s="1"/>
  <c r="M17" i="9"/>
  <c r="O31" i="8"/>
  <c r="N27" i="8" a="1"/>
  <c r="N27" i="8" s="1"/>
  <c r="N26" i="8" s="1"/>
  <c r="M20" i="9"/>
  <c r="N23" i="9"/>
  <c r="O23" i="9" s="1"/>
  <c r="J30" i="9" l="1"/>
  <c r="J31" i="5" s="1"/>
  <c r="J33" i="5" s="1"/>
  <c r="I17" i="19"/>
  <c r="I29" i="5"/>
  <c r="H16" i="19"/>
  <c r="I16" i="19"/>
  <c r="K23" i="5"/>
  <c r="J10" i="17" s="1"/>
  <c r="J15" i="19"/>
  <c r="L19" i="9"/>
  <c r="L15" i="5" s="1"/>
  <c r="K26" i="19" s="1"/>
  <c r="L16" i="9"/>
  <c r="L14" i="5" s="1"/>
  <c r="M13" i="9"/>
  <c r="M22" i="9" s="1"/>
  <c r="M16" i="5" s="1"/>
  <c r="M11" i="6"/>
  <c r="M13" i="6" s="1"/>
  <c r="L30" i="11" s="1"/>
  <c r="L18" i="7" s="1"/>
  <c r="I13" i="7"/>
  <c r="K20" i="7"/>
  <c r="J16" i="7"/>
  <c r="M34" i="6"/>
  <c r="L26" i="9"/>
  <c r="L25" i="5" s="1"/>
  <c r="K45" i="7" s="1"/>
  <c r="K31" i="11"/>
  <c r="K19" i="7" s="1"/>
  <c r="K29" i="5"/>
  <c r="I11" i="17"/>
  <c r="I12" i="17" s="1"/>
  <c r="I15" i="17" s="1"/>
  <c r="I23" i="7"/>
  <c r="P58" i="8"/>
  <c r="O54" i="8" a="1"/>
  <c r="O54" i="8" s="1"/>
  <c r="O53" i="8" s="1"/>
  <c r="N12" i="8"/>
  <c r="N13" i="9" s="1"/>
  <c r="N22" i="9" s="1"/>
  <c r="N16" i="5" s="1"/>
  <c r="N17" i="9"/>
  <c r="N20" i="9"/>
  <c r="P23" i="9"/>
  <c r="P31" i="8"/>
  <c r="O27" i="8" a="1"/>
  <c r="O27" i="8" s="1"/>
  <c r="O26" i="8" s="1"/>
  <c r="L17" i="5" l="1"/>
  <c r="L19" i="5" s="1"/>
  <c r="L23" i="5" s="1"/>
  <c r="J16" i="19"/>
  <c r="J35" i="5"/>
  <c r="I19" i="19"/>
  <c r="J13" i="7"/>
  <c r="J17" i="19"/>
  <c r="I30" i="9"/>
  <c r="I31" i="5" s="1"/>
  <c r="H17" i="19"/>
  <c r="H13" i="7"/>
  <c r="K27" i="19"/>
  <c r="M25" i="6"/>
  <c r="L16" i="11" s="1"/>
  <c r="L25" i="7" s="1"/>
  <c r="M16" i="9"/>
  <c r="M14" i="5" s="1"/>
  <c r="M19" i="9"/>
  <c r="M15" i="5" s="1"/>
  <c r="N11" i="6"/>
  <c r="N34" i="6" s="1"/>
  <c r="O12" i="8"/>
  <c r="O11" i="5" s="1"/>
  <c r="M28" i="6"/>
  <c r="L17" i="11" s="1"/>
  <c r="L26" i="7" s="1"/>
  <c r="M22" i="6"/>
  <c r="L33" i="11" s="1"/>
  <c r="I29" i="7"/>
  <c r="M16" i="6"/>
  <c r="L31" i="11" s="1"/>
  <c r="L19" i="7" s="1"/>
  <c r="M31" i="6"/>
  <c r="L19" i="11" s="1"/>
  <c r="L27" i="7" s="1"/>
  <c r="M37" i="6"/>
  <c r="L29" i="11" s="1"/>
  <c r="M19" i="6"/>
  <c r="L32" i="11" s="1"/>
  <c r="N11" i="5"/>
  <c r="K16" i="7"/>
  <c r="K30" i="9"/>
  <c r="K31" i="5" s="1"/>
  <c r="J23" i="7" s="1"/>
  <c r="J29" i="7" s="1"/>
  <c r="Q58" i="8"/>
  <c r="P54" i="8" a="1"/>
  <c r="P54" i="8" s="1"/>
  <c r="P53" i="8" s="1"/>
  <c r="Q23" i="9"/>
  <c r="O20" i="9"/>
  <c r="P20" i="9" s="1"/>
  <c r="N19" i="9"/>
  <c r="N15" i="5" s="1"/>
  <c r="Q31" i="8"/>
  <c r="P27" i="8" a="1"/>
  <c r="P27" i="8" s="1"/>
  <c r="P26" i="8" s="1"/>
  <c r="O17" i="9"/>
  <c r="N16" i="9"/>
  <c r="N14" i="5" s="1"/>
  <c r="K15" i="19" l="1"/>
  <c r="K10" i="17"/>
  <c r="L29" i="5"/>
  <c r="L30" i="9" s="1"/>
  <c r="L31" i="5" s="1"/>
  <c r="K11" i="17" s="1"/>
  <c r="K12" i="17" s="1"/>
  <c r="K15" i="17" s="1"/>
  <c r="M26" i="19"/>
  <c r="H11" i="17"/>
  <c r="H12" i="17" s="1"/>
  <c r="H15" i="17" s="1"/>
  <c r="H23" i="7"/>
  <c r="H29" i="7" s="1"/>
  <c r="L26" i="19"/>
  <c r="L27" i="19"/>
  <c r="I33" i="5"/>
  <c r="K16" i="19"/>
  <c r="K13" i="7"/>
  <c r="K17" i="19"/>
  <c r="M27" i="19"/>
  <c r="M17" i="5"/>
  <c r="M19" i="5" s="1"/>
  <c r="N37" i="6"/>
  <c r="M29" i="11" s="1"/>
  <c r="N28" i="6"/>
  <c r="M17" i="11" s="1"/>
  <c r="M26" i="7" s="1"/>
  <c r="N22" i="6"/>
  <c r="M33" i="11" s="1"/>
  <c r="O11" i="6"/>
  <c r="O34" i="6" s="1"/>
  <c r="O13" i="9"/>
  <c r="O19" i="9" s="1"/>
  <c r="O15" i="5" s="1"/>
  <c r="P12" i="8"/>
  <c r="P13" i="9" s="1"/>
  <c r="P22" i="9" s="1"/>
  <c r="P16" i="5" s="1"/>
  <c r="N13" i="6"/>
  <c r="M30" i="11" s="1"/>
  <c r="M18" i="7" s="1"/>
  <c r="N25" i="6"/>
  <c r="M16" i="11" s="1"/>
  <c r="M25" i="7" s="1"/>
  <c r="N19" i="6"/>
  <c r="M32" i="11" s="1"/>
  <c r="N31" i="6"/>
  <c r="M19" i="11" s="1"/>
  <c r="M27" i="7" s="1"/>
  <c r="N16" i="6"/>
  <c r="M31" i="11" s="1"/>
  <c r="M19" i="7" s="1"/>
  <c r="L20" i="7"/>
  <c r="K33" i="5"/>
  <c r="M26" i="9"/>
  <c r="M25" i="5" s="1"/>
  <c r="L45" i="7" s="1"/>
  <c r="N17" i="5"/>
  <c r="N19" i="5" s="1"/>
  <c r="J11" i="17"/>
  <c r="J12" i="17" s="1"/>
  <c r="J15" i="17" s="1"/>
  <c r="R58" i="8"/>
  <c r="R54" i="8" s="1" a="1"/>
  <c r="R54" i="8" s="1"/>
  <c r="Q54" i="8" a="1"/>
  <c r="Q54" i="8" s="1"/>
  <c r="Q53" i="8" s="1"/>
  <c r="Q27" i="8" a="1"/>
  <c r="Q27" i="8" s="1"/>
  <c r="Q26" i="8" s="1"/>
  <c r="R31" i="8"/>
  <c r="R27" i="8" s="1" a="1"/>
  <c r="R27" i="8" s="1"/>
  <c r="P17" i="9"/>
  <c r="Q20" i="9"/>
  <c r="R23" i="9"/>
  <c r="N23" i="5" l="1"/>
  <c r="M15" i="19"/>
  <c r="M23" i="5"/>
  <c r="L15" i="19"/>
  <c r="K35" i="5"/>
  <c r="J19" i="19"/>
  <c r="I35" i="5"/>
  <c r="H28" i="11" s="1"/>
  <c r="H20" i="19" s="1"/>
  <c r="H19" i="19"/>
  <c r="P11" i="5"/>
  <c r="P11" i="6"/>
  <c r="P28" i="6" s="1"/>
  <c r="O17" i="11" s="1"/>
  <c r="O25" i="6"/>
  <c r="N16" i="11" s="1"/>
  <c r="N25" i="7" s="1"/>
  <c r="O19" i="6"/>
  <c r="N32" i="11" s="1"/>
  <c r="O37" i="6"/>
  <c r="N29" i="11" s="1"/>
  <c r="M20" i="7"/>
  <c r="O16" i="9"/>
  <c r="O14" i="5" s="1"/>
  <c r="O16" i="6"/>
  <c r="N31" i="11" s="1"/>
  <c r="N19" i="7" s="1"/>
  <c r="O22" i="6"/>
  <c r="N33" i="11" s="1"/>
  <c r="O22" i="9"/>
  <c r="O16" i="5" s="1"/>
  <c r="N26" i="19" s="1"/>
  <c r="O31" i="6"/>
  <c r="N19" i="11" s="1"/>
  <c r="N27" i="7" s="1"/>
  <c r="O28" i="6"/>
  <c r="N17" i="11" s="1"/>
  <c r="N26" i="7" s="1"/>
  <c r="O13" i="6"/>
  <c r="N30" i="11" s="1"/>
  <c r="N18" i="7" s="1"/>
  <c r="N26" i="9"/>
  <c r="N25" i="5" s="1"/>
  <c r="M29" i="5"/>
  <c r="L16" i="7"/>
  <c r="L33" i="5"/>
  <c r="K23" i="7"/>
  <c r="K29" i="7" s="1"/>
  <c r="R53" i="8"/>
  <c r="P19" i="9"/>
  <c r="P15" i="5" s="1"/>
  <c r="O26" i="19" s="1"/>
  <c r="R20" i="9"/>
  <c r="Q17" i="9"/>
  <c r="P16" i="9"/>
  <c r="P14" i="5" s="1"/>
  <c r="R26" i="8"/>
  <c r="Q12" i="8"/>
  <c r="P25" i="6" l="1"/>
  <c r="O16" i="11" s="1"/>
  <c r="P13" i="6"/>
  <c r="O30" i="11" s="1"/>
  <c r="O18" i="7" s="1"/>
  <c r="O27" i="19"/>
  <c r="H42" i="7"/>
  <c r="H46" i="7" s="1"/>
  <c r="H48" i="7" s="1"/>
  <c r="H50" i="7" s="1"/>
  <c r="I49" i="7" s="1"/>
  <c r="H35" i="11"/>
  <c r="H14" i="11" s="1"/>
  <c r="I28" i="11"/>
  <c r="L10" i="17"/>
  <c r="L16" i="19"/>
  <c r="L13" i="7"/>
  <c r="L17" i="19"/>
  <c r="N27" i="19"/>
  <c r="M16" i="7"/>
  <c r="M10" i="17"/>
  <c r="M16" i="19"/>
  <c r="L35" i="5"/>
  <c r="K19" i="19"/>
  <c r="P34" i="6"/>
  <c r="P37" i="6"/>
  <c r="O29" i="11" s="1"/>
  <c r="O26" i="7"/>
  <c r="P31" i="6"/>
  <c r="O19" i="11" s="1"/>
  <c r="O27" i="7" s="1"/>
  <c r="O26" i="9"/>
  <c r="O25" i="5" s="1"/>
  <c r="N45" i="7" s="1"/>
  <c r="P19" i="6"/>
  <c r="O32" i="11" s="1"/>
  <c r="P16" i="6"/>
  <c r="P26" i="9" s="1"/>
  <c r="P25" i="5" s="1"/>
  <c r="O16" i="7" s="1"/>
  <c r="P22" i="6"/>
  <c r="O33" i="11" s="1"/>
  <c r="N20" i="7"/>
  <c r="O17" i="5"/>
  <c r="O19" i="5" s="1"/>
  <c r="O25" i="7"/>
  <c r="M30" i="9"/>
  <c r="M31" i="5" s="1"/>
  <c r="M33" i="5" s="1"/>
  <c r="N29" i="5"/>
  <c r="M45" i="7"/>
  <c r="R12" i="8"/>
  <c r="R13" i="9" s="1"/>
  <c r="P17" i="5"/>
  <c r="P19" i="5" s="1"/>
  <c r="Q13" i="9"/>
  <c r="Q16" i="9" s="1"/>
  <c r="Q14" i="5" s="1"/>
  <c r="Q11" i="6"/>
  <c r="Q11" i="5"/>
  <c r="R17" i="9"/>
  <c r="O31" i="11" l="1"/>
  <c r="O19" i="7" s="1"/>
  <c r="M13" i="7"/>
  <c r="M17" i="19"/>
  <c r="O23" i="5"/>
  <c r="N10" i="17" s="1"/>
  <c r="N15" i="19"/>
  <c r="P23" i="5"/>
  <c r="O10" i="17" s="1"/>
  <c r="O15" i="19"/>
  <c r="M35" i="5"/>
  <c r="L19" i="19"/>
  <c r="I42" i="7"/>
  <c r="I46" i="7" s="1"/>
  <c r="I48" i="7" s="1"/>
  <c r="I50" i="7" s="1"/>
  <c r="J49" i="7" s="1"/>
  <c r="I20" i="19"/>
  <c r="I35" i="11"/>
  <c r="I14" i="11" s="1"/>
  <c r="I22" i="11" s="1"/>
  <c r="J28" i="11"/>
  <c r="N16" i="7"/>
  <c r="L11" i="17"/>
  <c r="L12" i="17" s="1"/>
  <c r="L15" i="17" s="1"/>
  <c r="O20" i="7"/>
  <c r="L23" i="7"/>
  <c r="L29" i="7" s="1"/>
  <c r="R11" i="5"/>
  <c r="N30" i="9"/>
  <c r="N31" i="5" s="1"/>
  <c r="R11" i="6"/>
  <c r="R34" i="6" s="1"/>
  <c r="O45" i="7"/>
  <c r="Q37" i="6"/>
  <c r="P29" i="11" s="1"/>
  <c r="Q34" i="6"/>
  <c r="P29" i="5"/>
  <c r="Q22" i="9"/>
  <c r="Q16" i="5" s="1"/>
  <c r="Q19" i="9"/>
  <c r="Q15" i="5" s="1"/>
  <c r="R19" i="9"/>
  <c r="R15" i="5" s="1"/>
  <c r="R22" i="9"/>
  <c r="R16" i="5" s="1"/>
  <c r="R16" i="9"/>
  <c r="R14" i="5" s="1"/>
  <c r="Q16" i="6"/>
  <c r="Q13" i="6"/>
  <c r="P30" i="11" s="1"/>
  <c r="P18" i="7" s="1"/>
  <c r="Q22" i="6"/>
  <c r="P33" i="11" s="1"/>
  <c r="Q31" i="6"/>
  <c r="P19" i="11" s="1"/>
  <c r="P27" i="7" s="1"/>
  <c r="Q28" i="6"/>
  <c r="P17" i="11" s="1"/>
  <c r="P26" i="7" s="1"/>
  <c r="Q19" i="6"/>
  <c r="P32" i="11" s="1"/>
  <c r="Q25" i="6"/>
  <c r="P16" i="11" s="1"/>
  <c r="P25" i="7" s="1"/>
  <c r="P26" i="19" l="1"/>
  <c r="Q26" i="19"/>
  <c r="O29" i="5"/>
  <c r="N13" i="7" s="1"/>
  <c r="N16" i="19"/>
  <c r="P30" i="9"/>
  <c r="P31" i="5" s="1"/>
  <c r="P33" i="5" s="1"/>
  <c r="O17" i="19"/>
  <c r="J42" i="7"/>
  <c r="J46" i="7" s="1"/>
  <c r="J48" i="7" s="1"/>
  <c r="J50" i="7" s="1"/>
  <c r="K49" i="7" s="1"/>
  <c r="J20" i="19"/>
  <c r="K28" i="11"/>
  <c r="J35" i="11"/>
  <c r="J14" i="11" s="1"/>
  <c r="J22" i="11" s="1"/>
  <c r="Q27" i="19"/>
  <c r="I37" i="11"/>
  <c r="I14" i="19"/>
  <c r="I21" i="19"/>
  <c r="I22" i="19"/>
  <c r="P27" i="19"/>
  <c r="O16" i="19"/>
  <c r="R37" i="6"/>
  <c r="Q29" i="11" s="1"/>
  <c r="R31" i="6"/>
  <c r="Q19" i="11" s="1"/>
  <c r="Q27" i="7" s="1"/>
  <c r="R19" i="6"/>
  <c r="Q32" i="11" s="1"/>
  <c r="R16" i="6"/>
  <c r="Q31" i="11" s="1"/>
  <c r="R22" i="6"/>
  <c r="Q33" i="11" s="1"/>
  <c r="M23" i="7"/>
  <c r="M29" i="7" s="1"/>
  <c r="M11" i="17"/>
  <c r="M12" i="17" s="1"/>
  <c r="M15" i="17" s="1"/>
  <c r="R25" i="6"/>
  <c r="Q16" i="11" s="1"/>
  <c r="Q25" i="7" s="1"/>
  <c r="N33" i="5"/>
  <c r="R13" i="6"/>
  <c r="Q30" i="11" s="1"/>
  <c r="Q18" i="7" s="1"/>
  <c r="R28" i="6"/>
  <c r="Q17" i="11" s="1"/>
  <c r="Q26" i="7" s="1"/>
  <c r="O13" i="7"/>
  <c r="P20" i="7"/>
  <c r="Q17" i="5"/>
  <c r="Q19" i="5" s="1"/>
  <c r="Q26" i="9"/>
  <c r="Q25" i="5" s="1"/>
  <c r="P31" i="11"/>
  <c r="P19" i="7" s="1"/>
  <c r="R17" i="5"/>
  <c r="R19" i="5" s="1"/>
  <c r="O23" i="7" l="1"/>
  <c r="O30" i="9"/>
  <c r="O31" i="5" s="1"/>
  <c r="N11" i="17" s="1"/>
  <c r="N12" i="17" s="1"/>
  <c r="N15" i="17" s="1"/>
  <c r="O11" i="17"/>
  <c r="O12" i="17" s="1"/>
  <c r="O15" i="17" s="1"/>
  <c r="R26" i="9"/>
  <c r="R25" i="5" s="1"/>
  <c r="Q45" i="7" s="1"/>
  <c r="N17" i="19"/>
  <c r="R23" i="5"/>
  <c r="Q10" i="17" s="1"/>
  <c r="Q15" i="19"/>
  <c r="P16" i="7"/>
  <c r="Q20" i="7"/>
  <c r="P35" i="5"/>
  <c r="O19" i="19"/>
  <c r="J37" i="11"/>
  <c r="J14" i="19"/>
  <c r="J21" i="19"/>
  <c r="J22" i="19"/>
  <c r="Q23" i="5"/>
  <c r="Q29" i="5" s="1"/>
  <c r="P17" i="19" s="1"/>
  <c r="P15" i="19"/>
  <c r="N35" i="5"/>
  <c r="M19" i="19"/>
  <c r="K42" i="7"/>
  <c r="K46" i="7" s="1"/>
  <c r="K48" i="7" s="1"/>
  <c r="K50" i="7" s="1"/>
  <c r="L49" i="7" s="1"/>
  <c r="K20" i="19"/>
  <c r="K35" i="11"/>
  <c r="K14" i="11" s="1"/>
  <c r="K22" i="11" s="1"/>
  <c r="L28" i="11"/>
  <c r="O33" i="5"/>
  <c r="O29" i="7"/>
  <c r="Q19" i="7"/>
  <c r="P45" i="7"/>
  <c r="Q16" i="7" l="1"/>
  <c r="N23" i="7"/>
  <c r="N29" i="7" s="1"/>
  <c r="M28" i="11"/>
  <c r="M20" i="19" s="1"/>
  <c r="R29" i="5"/>
  <c r="Q17" i="19" s="1"/>
  <c r="O35" i="5"/>
  <c r="N19" i="19"/>
  <c r="L42" i="7"/>
  <c r="L46" i="7" s="1"/>
  <c r="L48" i="7" s="1"/>
  <c r="L50" i="7" s="1"/>
  <c r="M49" i="7" s="1"/>
  <c r="L20" i="19"/>
  <c r="L35" i="11"/>
  <c r="L14" i="11" s="1"/>
  <c r="L22" i="11" s="1"/>
  <c r="K37" i="11"/>
  <c r="K14" i="19"/>
  <c r="K21" i="19"/>
  <c r="K22" i="19"/>
  <c r="P10" i="17"/>
  <c r="P16" i="19"/>
  <c r="Q13" i="7"/>
  <c r="Q16" i="19"/>
  <c r="Q30" i="9"/>
  <c r="Q31" i="5" s="1"/>
  <c r="P13" i="7"/>
  <c r="M42" i="7" l="1"/>
  <c r="M46" i="7" s="1"/>
  <c r="M48" i="7" s="1"/>
  <c r="R30" i="9"/>
  <c r="R31" i="5" s="1"/>
  <c r="Q23" i="7" s="1"/>
  <c r="Q29" i="7" s="1"/>
  <c r="N28" i="11"/>
  <c r="N20" i="19" s="1"/>
  <c r="M35" i="11"/>
  <c r="M14" i="11" s="1"/>
  <c r="M22" i="11" s="1"/>
  <c r="M21" i="19" s="1"/>
  <c r="M50" i="7"/>
  <c r="N49" i="7" s="1"/>
  <c r="L37" i="11"/>
  <c r="L14" i="19"/>
  <c r="L21" i="19"/>
  <c r="L22" i="19"/>
  <c r="Q11" i="17"/>
  <c r="Q12" i="17" s="1"/>
  <c r="Q15" i="17" s="1"/>
  <c r="C19" i="17" s="1"/>
  <c r="C25" i="17" s="1"/>
  <c r="Q33" i="5"/>
  <c r="P11" i="17"/>
  <c r="P12" i="17" s="1"/>
  <c r="P15" i="17" s="1"/>
  <c r="P23" i="7"/>
  <c r="P29" i="7" s="1"/>
  <c r="N42" i="7" l="1"/>
  <c r="N46" i="7" s="1"/>
  <c r="N48" i="7" s="1"/>
  <c r="N50" i="7" s="1"/>
  <c r="O49" i="7" s="1"/>
  <c r="R33" i="5"/>
  <c r="M22" i="19"/>
  <c r="O28" i="11"/>
  <c r="O20" i="19" s="1"/>
  <c r="N35" i="11"/>
  <c r="N14" i="11" s="1"/>
  <c r="N22" i="11" s="1"/>
  <c r="N37" i="11" s="1"/>
  <c r="M14" i="19"/>
  <c r="M37" i="11"/>
  <c r="R35" i="5"/>
  <c r="Q19" i="19"/>
  <c r="P19" i="19"/>
  <c r="C24" i="17"/>
  <c r="C26" i="17" s="1"/>
  <c r="C30" i="17" s="1"/>
  <c r="C32" i="17" s="1"/>
  <c r="C34" i="17" s="1"/>
  <c r="Q35" i="5"/>
  <c r="O35" i="11" l="1"/>
  <c r="O14" i="11" s="1"/>
  <c r="O22" i="11" s="1"/>
  <c r="N22" i="19"/>
  <c r="P28" i="11"/>
  <c r="P20" i="19" s="1"/>
  <c r="N21" i="19"/>
  <c r="N14" i="19"/>
  <c r="O42" i="7"/>
  <c r="O46" i="7" s="1"/>
  <c r="O48" i="7" s="1"/>
  <c r="O50" i="7" s="1"/>
  <c r="P49" i="7" s="1"/>
  <c r="O37" i="11"/>
  <c r="O14" i="19"/>
  <c r="O21" i="19"/>
  <c r="O22" i="19"/>
  <c r="I21" i="17"/>
  <c r="P42" i="7"/>
  <c r="P46" i="7" s="1"/>
  <c r="P48" i="7" s="1"/>
  <c r="Q28" i="11" l="1"/>
  <c r="Q20" i="19" s="1"/>
  <c r="P35" i="11"/>
  <c r="P14" i="11" s="1"/>
  <c r="P22" i="11" s="1"/>
  <c r="P14" i="19" s="1"/>
  <c r="P50" i="7"/>
  <c r="Q49" i="7" s="1"/>
  <c r="P37" i="11"/>
  <c r="Q42" i="7"/>
  <c r="Q46" i="7" s="1"/>
  <c r="Q48" i="7" s="1"/>
  <c r="Q35" i="11"/>
  <c r="Q14" i="11" s="1"/>
  <c r="Q22" i="11" s="1"/>
  <c r="Q50" i="7" l="1"/>
  <c r="P22" i="19"/>
  <c r="P21" i="19"/>
  <c r="Q37" i="11"/>
  <c r="Q14" i="19"/>
  <c r="Q21" i="19"/>
  <c r="Q22" i="19"/>
  <c r="G61" i="4" l="1"/>
  <c r="F59" i="4"/>
  <c r="E59" i="4"/>
  <c r="G58" i="4"/>
  <c r="F58" i="4"/>
  <c r="G57" i="4"/>
  <c r="F55" i="4"/>
  <c r="E55" i="4"/>
  <c r="G54" i="4"/>
  <c r="F54" i="4"/>
  <c r="H48" i="4"/>
  <c r="D48" i="4"/>
  <c r="E47" i="4"/>
  <c r="F46" i="4"/>
  <c r="H44" i="4"/>
  <c r="D44" i="4"/>
  <c r="E43" i="4"/>
  <c r="F42" i="4"/>
  <c r="H34" i="4"/>
  <c r="G34" i="4"/>
  <c r="F34" i="4"/>
  <c r="E34" i="4"/>
  <c r="D34" i="4"/>
  <c r="H30" i="4"/>
  <c r="G30" i="4"/>
  <c r="F30" i="4"/>
  <c r="E30" i="4"/>
  <c r="H29" i="4"/>
  <c r="G29" i="4"/>
  <c r="F29" i="4"/>
  <c r="E29" i="4"/>
  <c r="H28" i="4"/>
  <c r="G28" i="4"/>
  <c r="F28" i="4"/>
  <c r="E28" i="4"/>
  <c r="D30" i="4"/>
  <c r="D29" i="4"/>
  <c r="D28" i="4"/>
  <c r="H24" i="4"/>
  <c r="G24" i="4"/>
  <c r="F24" i="4"/>
  <c r="E24" i="4"/>
  <c r="D24" i="4"/>
  <c r="H19" i="4"/>
  <c r="G19" i="4"/>
  <c r="F19" i="4"/>
  <c r="E19" i="4"/>
  <c r="H18" i="4"/>
  <c r="G18" i="4"/>
  <c r="F18" i="4"/>
  <c r="E18" i="4"/>
  <c r="H17" i="4"/>
  <c r="G17" i="4"/>
  <c r="G20" i="4" s="1"/>
  <c r="F17" i="4"/>
  <c r="F20" i="4" s="1"/>
  <c r="E17" i="4"/>
  <c r="E20" i="4" s="1"/>
  <c r="D19" i="4"/>
  <c r="D18" i="4"/>
  <c r="D17" i="4"/>
  <c r="H13" i="4"/>
  <c r="G13" i="4"/>
  <c r="F13" i="4"/>
  <c r="E13" i="4"/>
  <c r="H12" i="4"/>
  <c r="H14" i="4" s="1"/>
  <c r="G12" i="4"/>
  <c r="G14" i="4" s="1"/>
  <c r="F12" i="4"/>
  <c r="E12" i="4"/>
  <c r="E14" i="4" s="1"/>
  <c r="D13" i="4"/>
  <c r="D12" i="4"/>
  <c r="F14" i="4"/>
  <c r="H19" i="3"/>
  <c r="H47" i="4" s="1"/>
  <c r="G19" i="3"/>
  <c r="G48" i="4" s="1"/>
  <c r="F19" i="3"/>
  <c r="F45" i="4" s="1"/>
  <c r="E19" i="3"/>
  <c r="E46" i="4" s="1"/>
  <c r="D19" i="3"/>
  <c r="D47" i="4" s="1"/>
  <c r="H32" i="3"/>
  <c r="H59" i="4" s="1"/>
  <c r="G32" i="3"/>
  <c r="G60" i="4" s="1"/>
  <c r="F32" i="3"/>
  <c r="F61" i="4" s="1"/>
  <c r="E32" i="3"/>
  <c r="E58" i="4" s="1"/>
  <c r="D32" i="3"/>
  <c r="D59" i="4" s="1"/>
  <c r="D14" i="4" l="1"/>
  <c r="D20" i="4"/>
  <c r="D60" i="4"/>
  <c r="H60" i="4"/>
  <c r="H57" i="4"/>
  <c r="D61" i="4"/>
  <c r="H61" i="4"/>
  <c r="F34" i="3"/>
  <c r="D54" i="4"/>
  <c r="H54" i="4"/>
  <c r="G55" i="4"/>
  <c r="F56" i="4"/>
  <c r="E57" i="4"/>
  <c r="D58" i="4"/>
  <c r="H58" i="4"/>
  <c r="G59" i="4"/>
  <c r="F60" i="4"/>
  <c r="E61" i="4"/>
  <c r="D56" i="4"/>
  <c r="H56" i="4"/>
  <c r="E56" i="4"/>
  <c r="D57" i="4"/>
  <c r="E60" i="4"/>
  <c r="E54" i="4"/>
  <c r="D55" i="4"/>
  <c r="H55" i="4"/>
  <c r="G56" i="4"/>
  <c r="F57" i="4"/>
  <c r="G34" i="3"/>
  <c r="G42" i="4"/>
  <c r="F43" i="4"/>
  <c r="E44" i="4"/>
  <c r="D45" i="4"/>
  <c r="H45" i="4"/>
  <c r="G46" i="4"/>
  <c r="F47" i="4"/>
  <c r="E48" i="4"/>
  <c r="G45" i="4"/>
  <c r="D34" i="3"/>
  <c r="H34" i="3"/>
  <c r="D42" i="4"/>
  <c r="H42" i="4"/>
  <c r="G43" i="4"/>
  <c r="F44" i="4"/>
  <c r="E45" i="4"/>
  <c r="D46" i="4"/>
  <c r="H46" i="4"/>
  <c r="G47" i="4"/>
  <c r="F48" i="4"/>
  <c r="E34" i="3"/>
  <c r="E42" i="4"/>
  <c r="D43" i="4"/>
  <c r="H43" i="4"/>
  <c r="G44" i="4"/>
  <c r="H20" i="4"/>
  <c r="H22" i="4" s="1"/>
  <c r="H26" i="4" s="1"/>
  <c r="H32" i="4" s="1"/>
  <c r="H36" i="4" s="1"/>
  <c r="G22" i="4"/>
  <c r="G26" i="4" s="1"/>
  <c r="G32" i="4" s="1"/>
  <c r="G36" i="4" s="1"/>
  <c r="F22" i="4"/>
  <c r="F26" i="4" s="1"/>
  <c r="F32" i="4" s="1"/>
  <c r="F36" i="4" s="1"/>
  <c r="D22" i="4"/>
  <c r="D26" i="4" s="1"/>
  <c r="D32" i="4" s="1"/>
  <c r="D36" i="4" s="1"/>
  <c r="E22" i="4"/>
  <c r="E26" i="4" s="1"/>
  <c r="E32" i="4" s="1"/>
  <c r="E36" i="4" s="1"/>
  <c r="F63" i="4" l="1"/>
  <c r="G63" i="4"/>
  <c r="E63" i="4"/>
  <c r="E50" i="4"/>
  <c r="F50" i="4"/>
  <c r="H63" i="4"/>
  <c r="D63" i="4"/>
  <c r="H50" i="4"/>
  <c r="D50" i="4"/>
  <c r="G50" i="4"/>
  <c r="H22" i="11" l="1"/>
  <c r="H37" i="11" l="1"/>
  <c r="H14" i="19"/>
  <c r="H21" i="19"/>
  <c r="H22" i="19"/>
</calcChain>
</file>

<file path=xl/sharedStrings.xml><?xml version="1.0" encoding="utf-8"?>
<sst xmlns="http://schemas.openxmlformats.org/spreadsheetml/2006/main" count="827" uniqueCount="354">
  <si>
    <t>Particulars</t>
  </si>
  <si>
    <t>Income Statement</t>
  </si>
  <si>
    <t xml:space="preserve">Income </t>
  </si>
  <si>
    <t>Interest earned</t>
  </si>
  <si>
    <t>Other income</t>
  </si>
  <si>
    <t>Total Income</t>
  </si>
  <si>
    <t>Expenditure</t>
  </si>
  <si>
    <t>Operating expenses</t>
  </si>
  <si>
    <t>Provisions and contingencies</t>
  </si>
  <si>
    <t>Total Expenditure</t>
  </si>
  <si>
    <t>EBITDA</t>
  </si>
  <si>
    <t>Depreciation &amp; Amortization Expense</t>
  </si>
  <si>
    <t>EBIT</t>
  </si>
  <si>
    <t>Interest on Borrowings</t>
  </si>
  <si>
    <t>Share of earnings in Associates</t>
  </si>
  <si>
    <t>Less: Minority Expense</t>
  </si>
  <si>
    <t>Pre-tax Income</t>
  </si>
  <si>
    <t>Tax Expense</t>
  </si>
  <si>
    <t>Profit Before Tax</t>
  </si>
  <si>
    <t>Net Income</t>
  </si>
  <si>
    <t>Add-Share of profit in associates</t>
  </si>
  <si>
    <t>Interest on deposits</t>
  </si>
  <si>
    <t>Balance Sheet</t>
  </si>
  <si>
    <t>ASSETS</t>
  </si>
  <si>
    <t>Cash and Balances with RBI</t>
  </si>
  <si>
    <t>Balances with Banks and Money at Call and Short Notice</t>
  </si>
  <si>
    <t>Investments</t>
  </si>
  <si>
    <t>Advances</t>
  </si>
  <si>
    <t>Fixed Assets</t>
  </si>
  <si>
    <t>Other Assets</t>
  </si>
  <si>
    <t>Total Assets</t>
  </si>
  <si>
    <t>Capital and Liabilities</t>
  </si>
  <si>
    <t>Capital</t>
  </si>
  <si>
    <t>Employee Stock Options Outstanding</t>
  </si>
  <si>
    <t>Reserves and Surplus</t>
  </si>
  <si>
    <t>Borrowings</t>
  </si>
  <si>
    <t>Other Liabilities and Provisions</t>
  </si>
  <si>
    <t>Total Capital &amp; Liabilities</t>
  </si>
  <si>
    <t>Check</t>
  </si>
  <si>
    <t>Minority interest</t>
  </si>
  <si>
    <t>Deposits</t>
  </si>
  <si>
    <t>Liabilities on policies in force</t>
  </si>
  <si>
    <t>Goodwill on consolidation</t>
  </si>
  <si>
    <t>Revenue Build-up</t>
  </si>
  <si>
    <t>U.O.M</t>
  </si>
  <si>
    <t>Months in operation</t>
  </si>
  <si>
    <t>Business Segment:</t>
  </si>
  <si>
    <t>Income Statement ( INR in Millions)</t>
  </si>
  <si>
    <t>Retail banking</t>
  </si>
  <si>
    <t>Scenario:</t>
  </si>
  <si>
    <t>Best Case</t>
  </si>
  <si>
    <t>Base Case</t>
  </si>
  <si>
    <t>Worst Case</t>
  </si>
  <si>
    <t>Wholesale banking</t>
  </si>
  <si>
    <t>Treasury</t>
  </si>
  <si>
    <t>Other banking business</t>
  </si>
  <si>
    <t>Life insurance</t>
  </si>
  <si>
    <t>General insurance</t>
  </si>
  <si>
    <t>Others</t>
  </si>
  <si>
    <t>Inter- segment adjustments</t>
  </si>
  <si>
    <t>Months</t>
  </si>
  <si>
    <t>INR in mn</t>
  </si>
  <si>
    <t>Standard Devaition</t>
  </si>
  <si>
    <t>Scenario Manager</t>
  </si>
  <si>
    <t>Expenses</t>
  </si>
  <si>
    <t>Interest on Deposits</t>
  </si>
  <si>
    <t>as % of total income</t>
  </si>
  <si>
    <t>Operating Expenses</t>
  </si>
  <si>
    <t>Provisions and Contingencies</t>
  </si>
  <si>
    <t xml:space="preserve"> Interest </t>
  </si>
  <si>
    <t>as % of debt</t>
  </si>
  <si>
    <t xml:space="preserve"> Tax Expenses </t>
  </si>
  <si>
    <t>as % of EBT</t>
  </si>
  <si>
    <t>Audited</t>
  </si>
  <si>
    <t>Projected</t>
  </si>
  <si>
    <t>INR in mn.</t>
  </si>
  <si>
    <t>%</t>
  </si>
  <si>
    <t>Minority Expense</t>
  </si>
  <si>
    <t>Fixed Asset Schedule (₹ in 000's)</t>
  </si>
  <si>
    <t>Forecasted</t>
  </si>
  <si>
    <t>Premises</t>
  </si>
  <si>
    <t>Opening Gross Block</t>
  </si>
  <si>
    <t>Addition</t>
  </si>
  <si>
    <t>Deductions/ Adjustments</t>
  </si>
  <si>
    <t>Closing Gross Block</t>
  </si>
  <si>
    <t>Depreciation to date</t>
  </si>
  <si>
    <t>Net Block</t>
  </si>
  <si>
    <t>Other Fixed Assets</t>
  </si>
  <si>
    <t>Leased Assets</t>
  </si>
  <si>
    <t>General Assumptions</t>
  </si>
  <si>
    <t>Transaction Date</t>
  </si>
  <si>
    <t>Days in a year</t>
  </si>
  <si>
    <t>India 10-Year Bond Yield</t>
  </si>
  <si>
    <t>Addition in F. Assets</t>
  </si>
  <si>
    <t>Addition in Depreciation</t>
  </si>
  <si>
    <t>CMP</t>
  </si>
  <si>
    <t>Perp. Growth Rate</t>
  </si>
  <si>
    <t>Tax Rate</t>
  </si>
  <si>
    <t>CapEx</t>
  </si>
  <si>
    <t>Depreciation for the year</t>
  </si>
  <si>
    <t>Accumulated Depreciation</t>
  </si>
  <si>
    <t>Revenue/ Income</t>
  </si>
  <si>
    <t>Loans &amp; Advances</t>
  </si>
  <si>
    <t xml:space="preserve">Balance Sheet </t>
  </si>
  <si>
    <t>Add:</t>
  </si>
  <si>
    <t>Finance Expense</t>
  </si>
  <si>
    <t>Changes in Operating Liabilities:</t>
  </si>
  <si>
    <t>Less:</t>
  </si>
  <si>
    <t>Change in Operating Assets:</t>
  </si>
  <si>
    <t>Cash from Operation</t>
  </si>
  <si>
    <t>Operating CashFlow</t>
  </si>
  <si>
    <t xml:space="preserve">Dividend </t>
  </si>
  <si>
    <t>Deposit</t>
  </si>
  <si>
    <t>Share of profit in associates</t>
  </si>
  <si>
    <t>Change in Fixed Assets</t>
  </si>
  <si>
    <t>Cash From Investing</t>
  </si>
  <si>
    <t>Cash from Finance</t>
  </si>
  <si>
    <t>Net Change in Cash</t>
  </si>
  <si>
    <t>Opening Cash Balance</t>
  </si>
  <si>
    <t>Closing Cash Balance</t>
  </si>
  <si>
    <t>Goodwill on Consolidation</t>
  </si>
  <si>
    <t>Date</t>
  </si>
  <si>
    <t>Year</t>
  </si>
  <si>
    <t>Return</t>
  </si>
  <si>
    <t>Closing Price</t>
  </si>
  <si>
    <t xml:space="preserve">% Change </t>
  </si>
  <si>
    <t>% Change</t>
  </si>
  <si>
    <t>Beta</t>
  </si>
  <si>
    <t>Varience</t>
  </si>
  <si>
    <t>Co-varience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</si>
  <si>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</si>
  <si>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</si>
  <si>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</si>
  <si>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</si>
  <si>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</si>
  <si>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</si>
  <si>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</si>
  <si>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</si>
  <si>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</si>
  <si>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</si>
  <si>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</si>
  <si>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</si>
  <si>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</si>
  <si>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</si>
  <si>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</si>
  <si>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</si>
  <si>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</si>
  <si>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</si>
  <si>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</si>
  <si>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</si>
  <si>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</si>
  <si>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</si>
  <si>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</si>
  <si>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</si>
  <si>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</si>
  <si>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Close Price</t>
  </si>
  <si>
    <t>Nifty 50 TRI</t>
  </si>
  <si>
    <t>Sensex</t>
  </si>
  <si>
    <t>Market Data</t>
  </si>
  <si>
    <t>Financial data</t>
  </si>
  <si>
    <t>Valution</t>
  </si>
  <si>
    <t>Price</t>
  </si>
  <si>
    <t>Share</t>
  </si>
  <si>
    <t>Market Cap</t>
  </si>
  <si>
    <t>Debt</t>
  </si>
  <si>
    <t xml:space="preserve">Cash </t>
  </si>
  <si>
    <t>EV</t>
  </si>
  <si>
    <t>Sales</t>
  </si>
  <si>
    <t>Earnings</t>
  </si>
  <si>
    <t>EV/Sales</t>
  </si>
  <si>
    <t>EV/EBITDA</t>
  </si>
  <si>
    <t>P/E</t>
  </si>
  <si>
    <t>Company Name</t>
  </si>
  <si>
    <t>Ticker</t>
  </si>
  <si>
    <t>(/share)</t>
  </si>
  <si>
    <t>M</t>
  </si>
  <si>
    <t>₹  MM</t>
  </si>
  <si>
    <t>x</t>
  </si>
  <si>
    <t>S.No.</t>
  </si>
  <si>
    <t>Name</t>
  </si>
  <si>
    <t>HDFC Bank</t>
  </si>
  <si>
    <t>ICICI Bank</t>
  </si>
  <si>
    <t>Kotak Mah. Bank</t>
  </si>
  <si>
    <t>Axis Bank</t>
  </si>
  <si>
    <t>IDBI Bank</t>
  </si>
  <si>
    <t>CMP Rs.</t>
  </si>
  <si>
    <t>No. Eq. Shares Cr.</t>
  </si>
  <si>
    <t>Sales Rs.Cr.</t>
  </si>
  <si>
    <t>NP 12M Rs.Cr.</t>
  </si>
  <si>
    <t>EBIT 12M Rs.Cr.</t>
  </si>
  <si>
    <t>Dep 12M Rs.Cr.</t>
  </si>
  <si>
    <t>Cash End Rs.Cr.</t>
  </si>
  <si>
    <t>IndusInd Bank</t>
  </si>
  <si>
    <t>High</t>
  </si>
  <si>
    <t>75th Percentile</t>
  </si>
  <si>
    <t>Average</t>
  </si>
  <si>
    <t>Median</t>
  </si>
  <si>
    <t>25th Percentile</t>
  </si>
  <si>
    <t>Low</t>
  </si>
  <si>
    <t>Metric</t>
  </si>
  <si>
    <t>Comps</t>
  </si>
  <si>
    <t>Net Debt</t>
  </si>
  <si>
    <t>Equity Value</t>
  </si>
  <si>
    <t xml:space="preserve">Share Price </t>
  </si>
  <si>
    <t>EV/REVENUE</t>
  </si>
  <si>
    <t>No. of Shares Outstanding (millions)</t>
  </si>
  <si>
    <t>Market Capital (millions)</t>
  </si>
  <si>
    <t>Comparable Companies Beta</t>
  </si>
  <si>
    <t>Equity</t>
  </si>
  <si>
    <t xml:space="preserve">Total </t>
  </si>
  <si>
    <t>Debt/</t>
  </si>
  <si>
    <t>Tax</t>
  </si>
  <si>
    <t>Levered</t>
  </si>
  <si>
    <t>Unlevered</t>
  </si>
  <si>
    <t>Value</t>
  </si>
  <si>
    <t>Rate %</t>
  </si>
  <si>
    <t>WACC Calculation</t>
  </si>
  <si>
    <t>Target Capital Structure</t>
  </si>
  <si>
    <t>Proportion of Debt</t>
  </si>
  <si>
    <t>Proportion of Equity</t>
  </si>
  <si>
    <t>Current Capital structure</t>
  </si>
  <si>
    <t>Market cap</t>
  </si>
  <si>
    <t>Total Debt</t>
  </si>
  <si>
    <t>Debt/equity</t>
  </si>
  <si>
    <t>Cost of debt</t>
  </si>
  <si>
    <t>Pre-tax cost of debt</t>
  </si>
  <si>
    <t>tax rate</t>
  </si>
  <si>
    <t>After -Tax cost of debt</t>
  </si>
  <si>
    <t>Cost of equity</t>
  </si>
  <si>
    <t>Risk free Rate</t>
  </si>
  <si>
    <t>Equity Market Return</t>
  </si>
  <si>
    <t>Equity risk premium</t>
  </si>
  <si>
    <t>Levered Equity Beta</t>
  </si>
  <si>
    <t>WACC</t>
  </si>
  <si>
    <t>Common Size Statement</t>
  </si>
  <si>
    <t>Less- Tax on EBIT</t>
  </si>
  <si>
    <t>NOPAT</t>
  </si>
  <si>
    <t>Add- Dep &amp; Amo.</t>
  </si>
  <si>
    <t>Less- Capex</t>
  </si>
  <si>
    <t>Unlevered FCFF</t>
  </si>
  <si>
    <t xml:space="preserve">Beta </t>
  </si>
  <si>
    <t>Terminal Value</t>
  </si>
  <si>
    <t>Perpetual Growth Rate</t>
  </si>
  <si>
    <t>Intrinsic Value</t>
  </si>
  <si>
    <t>Sum of PV of F. Cash Flow</t>
  </si>
  <si>
    <t>PV of Terminal Value</t>
  </si>
  <si>
    <t>Add: Cash</t>
  </si>
  <si>
    <t>Less: Debt</t>
  </si>
  <si>
    <t>Less: NCI</t>
  </si>
  <si>
    <t>Price Per Shares</t>
  </si>
  <si>
    <t>TP upside</t>
  </si>
  <si>
    <t>Discount Rate</t>
  </si>
  <si>
    <t>Sensitivity Analysis</t>
  </si>
  <si>
    <t>Cash</t>
  </si>
  <si>
    <t>Country</t>
  </si>
  <si>
    <t>India</t>
  </si>
  <si>
    <t>Investing Cashflow</t>
  </si>
  <si>
    <t>Financing Cashflow</t>
  </si>
  <si>
    <t>Aduited</t>
  </si>
  <si>
    <t>Forcasted</t>
  </si>
  <si>
    <t>NSE - ICICIBANK</t>
  </si>
  <si>
    <t>ISIN - INE090A01021</t>
  </si>
  <si>
    <t xml:space="preserve">BSE - (ICICIBANK | 532174) </t>
  </si>
  <si>
    <t>Beta Calculation</t>
  </si>
  <si>
    <t>Comparable Valuation</t>
  </si>
  <si>
    <t>Market Return</t>
  </si>
  <si>
    <t>Comps Data</t>
  </si>
  <si>
    <t>ISIN Code</t>
  </si>
  <si>
    <t>Sector Name</t>
  </si>
  <si>
    <t> Financial Services</t>
  </si>
  <si>
    <t>Industry</t>
  </si>
  <si>
    <t> Banking</t>
  </si>
  <si>
    <t>Exchange Name</t>
  </si>
  <si>
    <t>Website</t>
  </si>
  <si>
    <t>Company Description</t>
  </si>
  <si>
    <t>ICICI BANK LIMITED</t>
  </si>
  <si>
    <t>INE090A01021</t>
  </si>
  <si>
    <t>BSE: 532174 ; NSE: ICICIBANK</t>
  </si>
  <si>
    <t>www.icicibank.com</t>
  </si>
  <si>
    <t>ICICI Bank is the second-largest private sector bank in India offering a diversified portfolio of financial products and services to retail, SME and corporate customers. The Bank has an extensive network of branches, ATMs and other touch-points.The ICICI group has presence in businesses like life and general insurance, housing finance, primary dealership, etc, through its subsidiaries and associates.</t>
  </si>
  <si>
    <t>Football Field Data</t>
  </si>
  <si>
    <t>DCF</t>
  </si>
  <si>
    <t>52-Week Hi/LO</t>
  </si>
  <si>
    <t>Market Consenses</t>
  </si>
  <si>
    <t>Football Field Analysis</t>
  </si>
  <si>
    <t>Cost Build-up</t>
  </si>
  <si>
    <t>Profitability Ratios</t>
  </si>
  <si>
    <t>EBITDA Margin</t>
  </si>
  <si>
    <t>Operating Margin</t>
  </si>
  <si>
    <t>Pretax Margin</t>
  </si>
  <si>
    <t>Effective Tax Rate</t>
  </si>
  <si>
    <t>Net Margin</t>
  </si>
  <si>
    <t>Return on Equity</t>
  </si>
  <si>
    <t>Return on Capital Employed</t>
  </si>
  <si>
    <t>Return on Assets</t>
  </si>
  <si>
    <t>Efficiency Ratio</t>
  </si>
  <si>
    <t>Ratio Analysis</t>
  </si>
  <si>
    <t>Net Interest Margin</t>
  </si>
  <si>
    <t>Efficiency Ratios</t>
  </si>
  <si>
    <t>Operating Leverage</t>
  </si>
  <si>
    <t>Ratios  Interpretation</t>
  </si>
  <si>
    <t>ICICI Bank’s Net Interest Margin declined early but stabilized at 3.1%–3.2%, reflecting improving interest spread consistency and strong long-term profitability management.</t>
  </si>
  <si>
    <t>EBITDA margin rose sharply from 18% to 32%, then normalized at 25% through 2034, indicating improved operational efficiency followed by sustained profitability in future projections.</t>
  </si>
  <si>
    <t>Operating Margin rose from 17% to 31%, then stabilized at 25% till 2034, reflecting enhanced cost control initially and consistent operational efficiency in future years.</t>
  </si>
  <si>
    <t>Pretax Margin improved significantly from 8% to 24%, then settled at 18–19% through 2034, suggesting strengthened profitability followed by stable pre-tax earnings performance.</t>
  </si>
  <si>
    <t>the Effective Tax Rate fluctuated between 17%–24%, then gradually increased to 28% by 2034, indicating tightening tax policies or reduced exemptions over time.</t>
  </si>
  <si>
    <t>Net Margin grew significantly from 6% to 19%, then remained steady at 14% through 2034, reflecting initial efficiency gains followed by stable profitability levels.</t>
  </si>
  <si>
    <t>Return on Equity increased from 8% to 17%, then stabilized around 14–15% till 2034, indicating stronger shareholder returns with sustained capital efficiency over time.</t>
  </si>
  <si>
    <t>Return on Capital Employed rose modestly from 2% to 4%, then plateaued at 3% through 2034, indicating moderate efficiency in capital utilization over time.</t>
  </si>
  <si>
    <t>Return on Assets improved slightly from 1% to 2%, but remained flat at 1% thereafter, indicating limited efficiency in asset utilization despite margin growth.</t>
  </si>
  <si>
    <t>Items</t>
  </si>
  <si>
    <t>Sheet</t>
  </si>
  <si>
    <t>Reference</t>
  </si>
  <si>
    <t>Assumptions</t>
  </si>
  <si>
    <t xml:space="preserve">The "Share of Earnings in Associates" estimate is based on the average percentage of income/revenue from prior years.
</t>
  </si>
  <si>
    <t xml:space="preserve">The "Minority Expense" estimate is based on the average percentage of income/revenue from prior years.
</t>
  </si>
  <si>
    <t xml:space="preserve">Interest on deposits, operating expenses, and provisions and contingencies have been analysed by calculating the average percentage of these expenses relative to income/revenue.
</t>
  </si>
  <si>
    <t xml:space="preserve">Borrowing interest has been calculated by averaging the percentage of these expenses that are allocated to borrowings.
</t>
  </si>
  <si>
    <t>FAS</t>
  </si>
  <si>
    <t>In the fixed asset schedule, additions to PPE and other assets have been made by increasing the most recent years' contribution by 0.5% each year.</t>
  </si>
  <si>
    <t>In the fixed asset schedule, adjustments to "depreciation to date" have been made by increasing the most recent years' "depreciation to date" by 0.5% each year.</t>
  </si>
  <si>
    <t>Deposits, Borrowings, Other Liabilities &amp; Provisions, Investments, Loans &amp; Advances, and Other Assets</t>
  </si>
  <si>
    <t>Deposits, borrowings, other liabilities and provisions, investments, loans and advances, and other assets have all been projected by calculating their average times in relation to income/revenue.</t>
  </si>
  <si>
    <t>Wholesales Banking</t>
  </si>
  <si>
    <t>Interest of Deposits / Operating Expenses / Provisions &amp; Contingencies</t>
  </si>
  <si>
    <t>Revenue Buildup</t>
  </si>
  <si>
    <t>Cost Buildup</t>
  </si>
  <si>
    <t>Balance sheet</t>
  </si>
  <si>
    <t>I17:R18</t>
  </si>
  <si>
    <t>Geometric growth has been used as a reference for future year projections in the "Retail" business segment for the Base case. + and - standard deviations have been calculated for the best and worst case scenarios.</t>
  </si>
  <si>
    <t>Retail Banking</t>
  </si>
  <si>
    <t>I26:R27</t>
  </si>
  <si>
    <t>Geometric growth was used as a reference for future years' projections for the "Wholesale" business segment in the Base Case. +5% has been applied to the base case for the best case scenario and the minimum growth rate has been taken in historical years for worst-case scenario.</t>
  </si>
  <si>
    <t>I35:R36</t>
  </si>
  <si>
    <t xml:space="preserve">To forecast the business segment "Treasury", CAGR was used as a reference for future years' projections for the Base scenario. +5% and -5% were calculated for the best and worst case scenarios, respectively. </t>
  </si>
  <si>
    <t>I44:R45</t>
  </si>
  <si>
    <t>Geometric growth was used as a reference for future years' projections for the "other banking " business segment in the Base Case. +5% has been applied to the base case for the best case scenario and the minimum growth rate has been taken in historical years for worst-case scenario.</t>
  </si>
  <si>
    <t>I53:R54</t>
  </si>
  <si>
    <t>To forecast the business segment "Life insurance", CAGR was used as a reference for future years' projections for the Base scenario. +5% and -5% were calculated for the best and worst case scenarios, respectively. Additionally 15% of annual Tapering rate is applied</t>
  </si>
  <si>
    <t>I62:R63</t>
  </si>
  <si>
    <t xml:space="preserve">To forecast the business segment "General insurance", CAGR was used as a reference for future years' projections for the Base scenario. +5% and -5% were calculated for the best and worst case scenarios, respectively. </t>
  </si>
  <si>
    <t>I81:R82</t>
  </si>
  <si>
    <t>I71:R72</t>
  </si>
  <si>
    <t>Geometric growth was used as a reference for future years' projections for the "Inter-segment adjustments" business segment in the Base Case. Standard Deviation has been applied to the base case for the best case scenario and the minimum growth rate has been taken in historical years for worst-case scenario.</t>
  </si>
  <si>
    <t>Geometric growth was used as a reference for future years' projections for the "others" business segment in the Base Case. Standard Deviation has been applied to the base case for the best case scenario and the minimum growth rate has been taken in historical years for worst-case scenario.</t>
  </si>
  <si>
    <t>I88:R89</t>
  </si>
  <si>
    <t>I91:R92</t>
  </si>
  <si>
    <t>I16:R17,      I19:R20,     I22:R23</t>
  </si>
  <si>
    <t>I30:R31</t>
  </si>
  <si>
    <t>Tax Expenses have been anticipated with the expectation that they will grow by 0.5% every  years.</t>
  </si>
  <si>
    <t>H15:Q15 , H26:Q26 , H37:Q37</t>
  </si>
  <si>
    <t>H19:Q19,  H30:Q30,  H41:Q41</t>
  </si>
  <si>
    <t>I13:R38</t>
  </si>
  <si>
    <t>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</si>
</sst>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 #,##0;[Red]&quot;₹&quot;\ \-#,##0"/>
    <numFmt numFmtId="8" formatCode="&quot;₹&quot;\ #,##0.00;[Red]&quot;₹&quot;\ \-#,##0.00"/>
    <numFmt numFmtId="164" formatCode="#,##0;[Red]#,##0"/>
    <numFmt numFmtId="165" formatCode="0.0%"/>
    <numFmt numFmtId="166" formatCode="0.0"/>
    <numFmt numFmtId="167" formatCode="0.000000000000000%"/>
    <numFmt numFmtId="168" formatCode="&quot;Annual Tapering Rate: &quot;0%"/>
    <numFmt numFmtId="169" formatCode="#,##0;\(#,##0\);\-"/>
    <numFmt numFmtId="170" formatCode="0.00&quot;x&quot;"/>
    <numFmt numFmtId="171" formatCode="&quot;₹&quot;\ #,##0"/>
    <numFmt numFmtId="172" formatCode="&quot;₹&quot;\ #,##0;\(&quot;₹&quot;\ #,##0\);\-"/>
    <numFmt numFmtId="173" formatCode="#,##0;\(#,##0\)"/>
    <numFmt numFmtId="174" formatCode="&quot;₹&quot;\ #,##0.00"/>
  </numFmts>
  <fonts count="3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entury"/>
      <family val="1"/>
    </font>
    <font>
      <sz val="11"/>
      <color rgb="FF0070C0"/>
      <name val="Calibri"/>
      <family val="2"/>
      <scheme val="minor"/>
    </font>
    <font>
      <b/>
      <u/>
      <sz val="11"/>
      <color theme="1"/>
      <name val="Calibri"/>
      <family val="2"/>
      <scheme val="minor"/>
    </font>
    <font>
      <sz val="11"/>
      <color theme="1"/>
      <name val="Gothic Century"/>
    </font>
    <font>
      <sz val="11"/>
      <color rgb="FF00B050"/>
      <name val="Calibri"/>
      <family val="2"/>
      <scheme val="minor"/>
    </font>
    <font>
      <sz val="11"/>
      <color theme="2"/>
      <name val="Calibri"/>
      <family val="2"/>
      <scheme val="minor"/>
    </font>
    <font>
      <b/>
      <sz val="11"/>
      <color theme="1"/>
      <name val="Gothic Century"/>
    </font>
    <font>
      <b/>
      <sz val="10"/>
      <color theme="1"/>
      <name val="Gothic Century"/>
    </font>
    <font>
      <i/>
      <sz val="11"/>
      <color theme="1"/>
      <name val="Calibri"/>
      <family val="2"/>
      <scheme val="minor"/>
    </font>
    <font>
      <sz val="11"/>
      <color theme="1"/>
      <name val="Times New Roman"/>
      <family val="1"/>
    </font>
    <font>
      <b/>
      <sz val="11"/>
      <color theme="1"/>
      <name val="Times New Roman"/>
      <family val="1"/>
    </font>
    <font>
      <b/>
      <sz val="11"/>
      <color theme="1"/>
      <name val="Calibri Light"/>
      <family val="2"/>
      <scheme val="major"/>
    </font>
    <font>
      <sz val="11"/>
      <color theme="1"/>
      <name val="Calibri Light"/>
      <family val="2"/>
      <scheme val="major"/>
    </font>
    <font>
      <b/>
      <i/>
      <sz val="11"/>
      <color theme="1"/>
      <name val="Calibri"/>
      <family val="2"/>
      <scheme val="minor"/>
    </font>
    <font>
      <sz val="11"/>
      <color theme="1"/>
      <name val="Book Antiqua"/>
      <family val="1"/>
    </font>
    <font>
      <b/>
      <u/>
      <sz val="11"/>
      <color theme="0"/>
      <name val="Calibri"/>
      <family val="2"/>
      <scheme val="minor"/>
    </font>
    <font>
      <u/>
      <sz val="11"/>
      <color theme="10"/>
      <name val="Calibri"/>
      <family val="2"/>
      <scheme val="minor"/>
    </font>
    <font>
      <sz val="11"/>
      <color rgb="FF0070C0"/>
      <name val="Arial"/>
      <family val="2"/>
    </font>
    <font>
      <sz val="11"/>
      <color theme="1"/>
      <name val="Arial"/>
      <family val="2"/>
    </font>
    <font>
      <b/>
      <sz val="10"/>
      <color theme="1"/>
      <name val="Calibri"/>
      <family val="2"/>
      <scheme val="minor"/>
    </font>
    <font>
      <i/>
      <sz val="11"/>
      <color theme="0"/>
      <name val="Calibri"/>
      <family val="2"/>
      <scheme val="minor"/>
    </font>
    <font>
      <b/>
      <sz val="10"/>
      <color theme="1"/>
      <name val="MyFirstFont"/>
    </font>
    <font>
      <sz val="11"/>
      <color rgb="FF00B050"/>
      <name val="Times New Roman"/>
      <family val="1"/>
    </font>
    <font>
      <sz val="11"/>
      <color rgb="FF002060"/>
      <name val="Times New Roman"/>
      <family val="1"/>
    </font>
    <font>
      <sz val="9"/>
      <color rgb="FF002060"/>
      <name val="Times New Roman"/>
      <family val="1"/>
    </font>
    <font>
      <sz val="10"/>
      <color rgb="FF002060"/>
      <name val="Times New Roman"/>
      <family val="1"/>
    </font>
    <font>
      <b/>
      <sz val="12"/>
      <color rgb="FFFFFFFF"/>
      <name val="Book Antiqua"/>
      <family val="1"/>
    </font>
    <font>
      <b/>
      <sz val="12"/>
      <color theme="1"/>
      <name val="Book Antiqua"/>
      <family val="1"/>
    </font>
    <font>
      <sz val="12"/>
      <color theme="1"/>
      <name val="Times New Roman"/>
      <family val="1"/>
    </font>
    <font>
      <i/>
      <sz val="11"/>
      <color rgb="FF002060"/>
      <name val="Calibri"/>
      <family val="2"/>
      <scheme val="minor"/>
    </font>
    <font>
      <b/>
      <sz val="11"/>
      <color rgb="FF0070C0"/>
      <name val="Calibri"/>
      <family val="2"/>
      <scheme val="minor"/>
    </font>
    <font>
      <b/>
      <sz val="11"/>
      <color rgb="FF00B050"/>
      <name val="Calibri"/>
      <family val="2"/>
      <scheme val="minor"/>
    </font>
    <font>
      <b/>
      <sz val="11"/>
      <color theme="4"/>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3300"/>
        <bgColor indexed="64"/>
      </patternFill>
    </fill>
    <fill>
      <patternFill patternType="solid">
        <fgColor rgb="FFEC5D0E"/>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tint="-0.249977111117893"/>
        <bgColor indexed="64"/>
      </patternFill>
    </fill>
  </fills>
  <borders count="56">
    <border>
      <left/>
      <right/>
      <top/>
      <bottom/>
      <diagonal/>
    </border>
    <border>
      <left/>
      <right/>
      <top style="thin">
        <color indexed="64"/>
      </top>
      <bottom style="double">
        <color indexed="64"/>
      </bottom>
      <diagonal/>
    </border>
    <border>
      <left/>
      <right/>
      <top style="thin">
        <color indexed="64"/>
      </top>
      <bottom/>
      <diagonal/>
    </border>
    <border>
      <left/>
      <right/>
      <top style="thin">
        <color indexed="64"/>
      </top>
      <bottom style="thin">
        <color indexed="64"/>
      </bottom>
      <diagonal/>
    </border>
    <border>
      <left style="medium">
        <color rgb="FF000000"/>
      </left>
      <right style="medium">
        <color rgb="FF000000"/>
      </right>
      <top/>
      <bottom/>
      <diagonal/>
    </border>
    <border>
      <left/>
      <right/>
      <top/>
      <bottom style="thin">
        <color indexed="64"/>
      </bottom>
      <diagonal/>
    </border>
    <border>
      <left/>
      <right/>
      <top style="hair">
        <color auto="1"/>
      </top>
      <bottom style="hair">
        <color auto="1"/>
      </bottom>
      <diagonal/>
    </border>
    <border>
      <left/>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double">
        <color auto="1"/>
      </right>
      <top style="medium">
        <color indexed="64"/>
      </top>
      <bottom style="double">
        <color auto="1"/>
      </bottom>
      <diagonal/>
    </border>
    <border>
      <left style="double">
        <color auto="1"/>
      </left>
      <right style="medium">
        <color indexed="64"/>
      </right>
      <top style="medium">
        <color indexed="64"/>
      </top>
      <bottom style="double">
        <color auto="1"/>
      </bottom>
      <diagonal/>
    </border>
    <border>
      <left style="medium">
        <color indexed="64"/>
      </left>
      <right style="double">
        <color auto="1"/>
      </right>
      <top style="double">
        <color auto="1"/>
      </top>
      <bottom style="double">
        <color auto="1"/>
      </bottom>
      <diagonal/>
    </border>
    <border>
      <left style="double">
        <color auto="1"/>
      </left>
      <right style="medium">
        <color indexed="64"/>
      </right>
      <top style="double">
        <color auto="1"/>
      </top>
      <bottom style="double">
        <color auto="1"/>
      </bottom>
      <diagonal/>
    </border>
    <border>
      <left style="medium">
        <color indexed="64"/>
      </left>
      <right style="double">
        <color auto="1"/>
      </right>
      <top style="double">
        <color auto="1"/>
      </top>
      <bottom style="medium">
        <color indexed="64"/>
      </bottom>
      <diagonal/>
    </border>
    <border>
      <left style="double">
        <color auto="1"/>
      </left>
      <right style="medium">
        <color indexed="64"/>
      </right>
      <top style="double">
        <color auto="1"/>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indexed="64"/>
      </top>
      <bottom style="hair">
        <color indexed="64"/>
      </bottom>
      <diagonal/>
    </border>
    <border>
      <left/>
      <right/>
      <top style="hair">
        <color indexed="64"/>
      </top>
      <bottom style="thin">
        <color indexed="64"/>
      </bottom>
      <diagonal/>
    </border>
    <border>
      <left/>
      <right style="thin">
        <color indexed="64"/>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top style="hair">
        <color auto="1"/>
      </top>
      <bottom/>
      <diagonal/>
    </border>
    <border>
      <left/>
      <right style="hair">
        <color auto="1"/>
      </right>
      <top/>
      <bottom style="hair">
        <color indexed="64"/>
      </bottom>
      <diagonal/>
    </border>
    <border>
      <left style="hair">
        <color auto="1"/>
      </left>
      <right/>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s>
  <cellStyleXfs count="3">
    <xf numFmtId="0" fontId="0" fillId="0" borderId="0"/>
    <xf numFmtId="9" fontId="1" fillId="0" borderId="0" applyFont="0" applyFill="0" applyBorder="0" applyAlignment="0" applyProtection="0"/>
    <xf numFmtId="0" fontId="21" fillId="0" borderId="0" applyNumberFormat="0" applyFill="0" applyBorder="0" applyAlignment="0" applyProtection="0"/>
  </cellStyleXfs>
  <cellXfs count="329">
    <xf numFmtId="0" fontId="0" fillId="0" borderId="0" xfId="0"/>
    <xf numFmtId="0" fontId="3" fillId="0" borderId="0" xfId="0" applyFont="1"/>
    <xf numFmtId="3" fontId="0" fillId="0" borderId="0" xfId="0" applyNumberFormat="1"/>
    <xf numFmtId="0" fontId="5" fillId="0" borderId="0" xfId="0" applyFont="1"/>
    <xf numFmtId="3" fontId="3" fillId="0" borderId="0" xfId="0" applyNumberFormat="1" applyFont="1"/>
    <xf numFmtId="2" fontId="0" fillId="0" borderId="0" xfId="0" applyNumberFormat="1"/>
    <xf numFmtId="0" fontId="3" fillId="0" borderId="1" xfId="0" applyFont="1" applyBorder="1"/>
    <xf numFmtId="0" fontId="0" fillId="0" borderId="1" xfId="0" applyBorder="1"/>
    <xf numFmtId="0" fontId="3" fillId="0" borderId="2" xfId="0" applyFont="1" applyBorder="1"/>
    <xf numFmtId="0" fontId="0" fillId="0" borderId="2" xfId="0" applyBorder="1"/>
    <xf numFmtId="164" fontId="0" fillId="0" borderId="0" xfId="0" applyNumberFormat="1"/>
    <xf numFmtId="0" fontId="3" fillId="0" borderId="3" xfId="0" applyFont="1" applyBorder="1"/>
    <xf numFmtId="164" fontId="3" fillId="0" borderId="3" xfId="0" applyNumberFormat="1" applyFont="1" applyBorder="1"/>
    <xf numFmtId="9" fontId="0" fillId="0" borderId="0" xfId="1" applyFont="1"/>
    <xf numFmtId="9" fontId="3" fillId="0" borderId="2" xfId="1" applyFont="1" applyBorder="1"/>
    <xf numFmtId="9" fontId="3" fillId="0" borderId="1" xfId="1" applyFont="1" applyBorder="1"/>
    <xf numFmtId="9" fontId="0" fillId="0" borderId="0" xfId="0" applyNumberFormat="1"/>
    <xf numFmtId="9" fontId="0" fillId="0" borderId="0" xfId="1" applyNumberFormat="1" applyFont="1"/>
    <xf numFmtId="0" fontId="0" fillId="0" borderId="3" xfId="0" applyBorder="1"/>
    <xf numFmtId="9" fontId="3" fillId="0" borderId="3" xfId="0" applyNumberFormat="1" applyFont="1" applyBorder="1"/>
    <xf numFmtId="3" fontId="6" fillId="0" borderId="0" xfId="0" applyNumberFormat="1" applyFont="1"/>
    <xf numFmtId="168" fontId="8" fillId="0" borderId="0" xfId="0" applyNumberFormat="1" applyFont="1" applyAlignment="1">
      <alignment horizontal="center"/>
    </xf>
    <xf numFmtId="0" fontId="0" fillId="0" borderId="0" xfId="0" applyAlignment="1">
      <alignment horizontal="center"/>
    </xf>
    <xf numFmtId="0" fontId="8" fillId="0" borderId="0" xfId="0" applyFont="1"/>
    <xf numFmtId="169" fontId="0" fillId="0" borderId="0" xfId="0" applyNumberFormat="1"/>
    <xf numFmtId="0" fontId="3" fillId="0" borderId="5" xfId="0" applyFont="1" applyBorder="1"/>
    <xf numFmtId="0" fontId="0" fillId="0" borderId="0" xfId="0" applyBorder="1"/>
    <xf numFmtId="10" fontId="0" fillId="0" borderId="0" xfId="0" applyNumberFormat="1" applyBorder="1"/>
    <xf numFmtId="9" fontId="0" fillId="0" borderId="0" xfId="0" applyNumberFormat="1" applyBorder="1"/>
    <xf numFmtId="0" fontId="0" fillId="0" borderId="5" xfId="0" applyBorder="1"/>
    <xf numFmtId="0" fontId="0" fillId="6" borderId="0" xfId="0" applyFill="1"/>
    <xf numFmtId="0" fontId="2" fillId="6" borderId="0" xfId="0" applyFont="1" applyFill="1"/>
    <xf numFmtId="0" fontId="2" fillId="6" borderId="2" xfId="0" applyFont="1" applyFill="1" applyBorder="1"/>
    <xf numFmtId="0" fontId="3" fillId="0" borderId="0" xfId="0" applyFont="1" applyBorder="1"/>
    <xf numFmtId="0" fontId="4" fillId="0" borderId="0" xfId="0" applyFont="1"/>
    <xf numFmtId="0" fontId="11" fillId="0" borderId="0" xfId="0" applyFont="1"/>
    <xf numFmtId="0" fontId="10" fillId="0" borderId="0" xfId="0" applyFont="1"/>
    <xf numFmtId="0" fontId="15" fillId="0" borderId="0" xfId="0" applyFont="1"/>
    <xf numFmtId="2" fontId="0" fillId="0" borderId="5" xfId="0" applyNumberFormat="1" applyBorder="1"/>
    <xf numFmtId="170" fontId="13" fillId="4" borderId="6" xfId="0" applyNumberFormat="1" applyFont="1" applyFill="1" applyBorder="1"/>
    <xf numFmtId="170" fontId="13" fillId="9" borderId="6" xfId="0" applyNumberFormat="1" applyFont="1" applyFill="1" applyBorder="1"/>
    <xf numFmtId="9" fontId="13" fillId="4" borderId="6" xfId="1" applyFont="1" applyFill="1" applyBorder="1"/>
    <xf numFmtId="9" fontId="13" fillId="10" borderId="6" xfId="0" applyNumberFormat="1" applyFont="1" applyFill="1" applyBorder="1"/>
    <xf numFmtId="0" fontId="3" fillId="0" borderId="0" xfId="0" applyFont="1" applyAlignment="1">
      <alignment horizontal="center"/>
    </xf>
    <xf numFmtId="9" fontId="3" fillId="0" borderId="0" xfId="1" applyFont="1" applyAlignment="1">
      <alignment horizontal="center"/>
    </xf>
    <xf numFmtId="3" fontId="0" fillId="0" borderId="0" xfId="0" applyNumberFormat="1" applyBorder="1"/>
    <xf numFmtId="0" fontId="17" fillId="0" borderId="0" xfId="0" applyFont="1"/>
    <xf numFmtId="9" fontId="13" fillId="7" borderId="6" xfId="0" applyNumberFormat="1" applyFont="1" applyFill="1" applyBorder="1"/>
    <xf numFmtId="9" fontId="13" fillId="7" borderId="6" xfId="1" applyNumberFormat="1" applyFont="1" applyFill="1" applyBorder="1"/>
    <xf numFmtId="9" fontId="13" fillId="10" borderId="6" xfId="1" applyFont="1" applyFill="1" applyBorder="1"/>
    <xf numFmtId="0" fontId="18" fillId="0" borderId="0" xfId="0" applyFont="1"/>
    <xf numFmtId="9" fontId="18" fillId="0" borderId="0" xfId="1" applyFont="1"/>
    <xf numFmtId="1" fontId="3" fillId="0" borderId="5" xfId="0" applyNumberFormat="1" applyFont="1" applyBorder="1"/>
    <xf numFmtId="0" fontId="3" fillId="0" borderId="7" xfId="0" applyFont="1" applyBorder="1"/>
    <xf numFmtId="0" fontId="0" fillId="0" borderId="7" xfId="0" applyBorder="1"/>
    <xf numFmtId="0" fontId="12" fillId="0" borderId="5" xfId="0" applyFont="1" applyBorder="1"/>
    <xf numFmtId="165" fontId="13" fillId="10" borderId="6" xfId="1" applyNumberFormat="1" applyFont="1" applyFill="1" applyBorder="1"/>
    <xf numFmtId="165" fontId="13" fillId="10" borderId="6" xfId="0" applyNumberFormat="1" applyFont="1" applyFill="1" applyBorder="1"/>
    <xf numFmtId="3" fontId="3" fillId="0" borderId="3" xfId="0" applyNumberFormat="1" applyFont="1" applyBorder="1"/>
    <xf numFmtId="17" fontId="0" fillId="0" borderId="0" xfId="0" applyNumberFormat="1"/>
    <xf numFmtId="17" fontId="0" fillId="0" borderId="8" xfId="0" applyNumberFormat="1" applyBorder="1"/>
    <xf numFmtId="0" fontId="0" fillId="0" borderId="8" xfId="0" applyBorder="1"/>
    <xf numFmtId="165" fontId="0" fillId="0" borderId="8" xfId="1" applyNumberFormat="1" applyFont="1" applyBorder="1"/>
    <xf numFmtId="0" fontId="0" fillId="0" borderId="0" xfId="0" applyFill="1" applyBorder="1" applyAlignment="1"/>
    <xf numFmtId="0" fontId="0" fillId="0" borderId="10" xfId="0" applyFill="1" applyBorder="1" applyAlignment="1"/>
    <xf numFmtId="0" fontId="13" fillId="0" borderId="11" xfId="0" applyFont="1" applyFill="1" applyBorder="1" applyAlignment="1">
      <alignment horizontal="center"/>
    </xf>
    <xf numFmtId="0" fontId="13" fillId="0" borderId="11" xfId="0" applyFont="1" applyFill="1" applyBorder="1" applyAlignment="1">
      <alignment horizontal="centerContinuous"/>
    </xf>
    <xf numFmtId="0" fontId="0" fillId="0" borderId="13" xfId="0" applyBorder="1"/>
    <xf numFmtId="0" fontId="0" fillId="0" borderId="9" xfId="0" applyBorder="1"/>
    <xf numFmtId="0" fontId="0" fillId="0" borderId="14" xfId="0" applyBorder="1"/>
    <xf numFmtId="0" fontId="0" fillId="0" borderId="15" xfId="0" applyBorder="1"/>
    <xf numFmtId="0" fontId="0" fillId="0" borderId="16" xfId="0" applyBorder="1"/>
    <xf numFmtId="0" fontId="13" fillId="0" borderId="17" xfId="0" applyFont="1" applyFill="1" applyBorder="1" applyAlignment="1">
      <alignment horizontal="centerContinuous"/>
    </xf>
    <xf numFmtId="0" fontId="0" fillId="0" borderId="15" xfId="0" applyFill="1" applyBorder="1" applyAlignment="1"/>
    <xf numFmtId="0" fontId="0" fillId="0" borderId="18" xfId="0" applyFill="1" applyBorder="1" applyAlignment="1"/>
    <xf numFmtId="0" fontId="13" fillId="0" borderId="17" xfId="0" applyFont="1" applyFill="1" applyBorder="1" applyAlignment="1">
      <alignment horizontal="center"/>
    </xf>
    <xf numFmtId="0" fontId="13" fillId="0" borderId="19" xfId="0" applyFont="1" applyFill="1" applyBorder="1" applyAlignment="1">
      <alignment horizontal="center"/>
    </xf>
    <xf numFmtId="0" fontId="0" fillId="0" borderId="16" xfId="0" applyFill="1" applyBorder="1" applyAlignment="1"/>
    <xf numFmtId="0" fontId="0" fillId="0" borderId="20" xfId="0" applyFill="1" applyBorder="1" applyAlignment="1"/>
    <xf numFmtId="0" fontId="0" fillId="0" borderId="18" xfId="0" applyBorder="1"/>
    <xf numFmtId="0" fontId="0" fillId="0" borderId="20" xfId="0" applyBorder="1"/>
    <xf numFmtId="0" fontId="0" fillId="8" borderId="13" xfId="0" applyFill="1" applyBorder="1"/>
    <xf numFmtId="0" fontId="0" fillId="8" borderId="14" xfId="0" applyFill="1" applyBorder="1"/>
    <xf numFmtId="0" fontId="0" fillId="8" borderId="18" xfId="0" applyFill="1" applyBorder="1"/>
    <xf numFmtId="0" fontId="0" fillId="8" borderId="20" xfId="0" applyFill="1" applyBorder="1"/>
    <xf numFmtId="0" fontId="20" fillId="6" borderId="0" xfId="0" applyFont="1" applyFill="1" applyAlignment="1">
      <alignment horizontal="center"/>
    </xf>
    <xf numFmtId="15" fontId="0" fillId="0" borderId="8" xfId="0" applyNumberFormat="1" applyBorder="1"/>
    <xf numFmtId="0" fontId="0" fillId="0" borderId="23" xfId="0" applyBorder="1"/>
    <xf numFmtId="0" fontId="0" fillId="8" borderId="23" xfId="0" applyFill="1" applyBorder="1"/>
    <xf numFmtId="1" fontId="0" fillId="8" borderId="24" xfId="0" applyNumberFormat="1" applyFill="1" applyBorder="1"/>
    <xf numFmtId="9" fontId="0" fillId="8" borderId="24" xfId="1" applyFont="1" applyFill="1" applyBorder="1"/>
    <xf numFmtId="0" fontId="20" fillId="6" borderId="22" xfId="0" applyFont="1" applyFill="1" applyBorder="1" applyAlignment="1">
      <alignment horizontal="center"/>
    </xf>
    <xf numFmtId="0" fontId="20" fillId="5" borderId="12" xfId="0" applyFont="1" applyFill="1" applyBorder="1" applyAlignment="1"/>
    <xf numFmtId="0" fontId="20" fillId="6" borderId="25" xfId="0" applyFont="1" applyFill="1" applyBorder="1"/>
    <xf numFmtId="0" fontId="20" fillId="6" borderId="27" xfId="0" applyFont="1" applyFill="1" applyBorder="1"/>
    <xf numFmtId="0" fontId="20" fillId="6" borderId="29" xfId="0" applyFont="1" applyFill="1" applyBorder="1"/>
    <xf numFmtId="2" fontId="20" fillId="6" borderId="26" xfId="0" applyNumberFormat="1" applyFont="1" applyFill="1" applyBorder="1"/>
    <xf numFmtId="2" fontId="20" fillId="6" borderId="28" xfId="0" applyNumberFormat="1" applyFont="1" applyFill="1" applyBorder="1"/>
    <xf numFmtId="2" fontId="20" fillId="6" borderId="30" xfId="0" applyNumberFormat="1" applyFont="1" applyFill="1" applyBorder="1"/>
    <xf numFmtId="0" fontId="2" fillId="6" borderId="5" xfId="0" applyFont="1" applyFill="1" applyBorder="1"/>
    <xf numFmtId="0" fontId="2" fillId="6" borderId="17" xfId="0" applyFont="1" applyFill="1" applyBorder="1"/>
    <xf numFmtId="0" fontId="2" fillId="6" borderId="15" xfId="0" applyFont="1" applyFill="1" applyBorder="1"/>
    <xf numFmtId="0" fontId="2" fillId="6" borderId="0" xfId="0" applyFont="1" applyFill="1" applyBorder="1"/>
    <xf numFmtId="0" fontId="2" fillId="6" borderId="16" xfId="0" applyFont="1" applyFill="1" applyBorder="1"/>
    <xf numFmtId="0" fontId="2" fillId="6" borderId="18" xfId="0" applyFont="1" applyFill="1" applyBorder="1"/>
    <xf numFmtId="0" fontId="2" fillId="6" borderId="10" xfId="0" applyFont="1" applyFill="1" applyBorder="1"/>
    <xf numFmtId="0" fontId="2" fillId="6" borderId="20" xfId="0" applyFont="1" applyFill="1" applyBorder="1"/>
    <xf numFmtId="0" fontId="2" fillId="6" borderId="15" xfId="0" applyFont="1" applyFill="1" applyBorder="1" applyAlignment="1">
      <alignment horizontal="center"/>
    </xf>
    <xf numFmtId="0" fontId="2" fillId="6" borderId="0" xfId="0" applyFont="1" applyFill="1" applyBorder="1" applyAlignment="1">
      <alignment horizontal="center"/>
    </xf>
    <xf numFmtId="0" fontId="2" fillId="6" borderId="16" xfId="0" applyFont="1" applyFill="1" applyBorder="1" applyAlignment="1">
      <alignment horizontal="center"/>
    </xf>
    <xf numFmtId="0" fontId="2" fillId="6" borderId="18" xfId="0" applyFont="1" applyFill="1" applyBorder="1" applyAlignment="1">
      <alignment horizontal="center"/>
    </xf>
    <xf numFmtId="0" fontId="2" fillId="6" borderId="10" xfId="0" applyFont="1" applyFill="1" applyBorder="1" applyAlignment="1">
      <alignment horizontal="center"/>
    </xf>
    <xf numFmtId="0" fontId="2" fillId="6" borderId="20" xfId="0" applyFont="1" applyFill="1" applyBorder="1" applyAlignment="1">
      <alignment horizontal="center"/>
    </xf>
    <xf numFmtId="0" fontId="2" fillId="6" borderId="19" xfId="0" applyFont="1" applyFill="1" applyBorder="1"/>
    <xf numFmtId="4" fontId="22" fillId="0" borderId="0" xfId="0" applyNumberFormat="1" applyFont="1"/>
    <xf numFmtId="2" fontId="0" fillId="0" borderId="3" xfId="0" applyNumberFormat="1" applyBorder="1"/>
    <xf numFmtId="10" fontId="22" fillId="0" borderId="3" xfId="0" applyNumberFormat="1" applyFont="1" applyBorder="1"/>
    <xf numFmtId="0" fontId="3" fillId="6" borderId="0" xfId="0" applyFont="1" applyFill="1"/>
    <xf numFmtId="165" fontId="3" fillId="0" borderId="3" xfId="0" applyNumberFormat="1" applyFont="1" applyBorder="1"/>
    <xf numFmtId="10" fontId="3" fillId="0" borderId="3" xfId="1" applyNumberFormat="1" applyFont="1" applyBorder="1"/>
    <xf numFmtId="4" fontId="23" fillId="0" borderId="0" xfId="0" applyNumberFormat="1" applyFont="1"/>
    <xf numFmtId="0" fontId="0" fillId="0" borderId="10" xfId="0" applyBorder="1"/>
    <xf numFmtId="165" fontId="0" fillId="0" borderId="0" xfId="0" applyNumberFormat="1" applyBorder="1"/>
    <xf numFmtId="8" fontId="2" fillId="0" borderId="32" xfId="0" applyNumberFormat="1" applyFont="1" applyBorder="1"/>
    <xf numFmtId="10" fontId="3" fillId="0" borderId="33" xfId="0" applyNumberFormat="1" applyFont="1" applyBorder="1"/>
    <xf numFmtId="10" fontId="3" fillId="0" borderId="34" xfId="0" applyNumberFormat="1" applyFont="1" applyBorder="1"/>
    <xf numFmtId="10" fontId="3" fillId="0" borderId="23" xfId="0" applyNumberFormat="1" applyFont="1" applyBorder="1"/>
    <xf numFmtId="10" fontId="3" fillId="0" borderId="31" xfId="0" applyNumberFormat="1" applyFont="1" applyBorder="1"/>
    <xf numFmtId="10" fontId="3" fillId="0" borderId="24" xfId="0" applyNumberFormat="1" applyFont="1" applyBorder="1"/>
    <xf numFmtId="0" fontId="3" fillId="0" borderId="10" xfId="0" applyFont="1" applyBorder="1"/>
    <xf numFmtId="6" fontId="0" fillId="0" borderId="16" xfId="0" applyNumberFormat="1" applyBorder="1"/>
    <xf numFmtId="0" fontId="3" fillId="0" borderId="35" xfId="0" applyFont="1" applyBorder="1"/>
    <xf numFmtId="6" fontId="3" fillId="0" borderId="36" xfId="0" applyNumberFormat="1" applyFont="1" applyBorder="1"/>
    <xf numFmtId="9" fontId="0" fillId="0" borderId="16" xfId="0" applyNumberFormat="1" applyBorder="1"/>
    <xf numFmtId="10" fontId="0" fillId="0" borderId="20" xfId="0" applyNumberFormat="1" applyBorder="1"/>
    <xf numFmtId="0" fontId="3" fillId="0" borderId="23" xfId="0" applyFont="1" applyBorder="1"/>
    <xf numFmtId="8" fontId="3" fillId="0" borderId="24" xfId="0" applyNumberFormat="1" applyFont="1" applyBorder="1"/>
    <xf numFmtId="9" fontId="3" fillId="0" borderId="24" xfId="1" applyFont="1" applyBorder="1"/>
    <xf numFmtId="6" fontId="3" fillId="0" borderId="24" xfId="0" applyNumberFormat="1" applyFont="1" applyBorder="1"/>
    <xf numFmtId="166" fontId="0" fillId="11" borderId="0" xfId="0" applyNumberFormat="1" applyFill="1" applyBorder="1"/>
    <xf numFmtId="166" fontId="0" fillId="11" borderId="16" xfId="0" applyNumberFormat="1" applyFill="1" applyBorder="1"/>
    <xf numFmtId="166" fontId="0" fillId="9" borderId="0" xfId="0" applyNumberFormat="1" applyFill="1" applyBorder="1"/>
    <xf numFmtId="166" fontId="0" fillId="3" borderId="0" xfId="0" applyNumberFormat="1" applyFill="1" applyBorder="1"/>
    <xf numFmtId="166" fontId="0" fillId="11" borderId="10" xfId="0" applyNumberFormat="1" applyFill="1" applyBorder="1"/>
    <xf numFmtId="166" fontId="0" fillId="11" borderId="20" xfId="0" applyNumberFormat="1" applyFill="1" applyBorder="1"/>
    <xf numFmtId="0" fontId="3" fillId="4" borderId="2" xfId="0" applyFont="1" applyFill="1" applyBorder="1"/>
    <xf numFmtId="0" fontId="3" fillId="4" borderId="5" xfId="0" applyFont="1" applyFill="1" applyBorder="1"/>
    <xf numFmtId="170" fontId="0" fillId="0" borderId="3" xfId="0" applyNumberFormat="1" applyBorder="1"/>
    <xf numFmtId="0" fontId="3" fillId="6" borderId="2" xfId="0" applyFont="1" applyFill="1" applyBorder="1"/>
    <xf numFmtId="2" fontId="0" fillId="0" borderId="0" xfId="0" applyNumberFormat="1" applyBorder="1"/>
    <xf numFmtId="171" fontId="9" fillId="0" borderId="0" xfId="0" applyNumberFormat="1" applyFont="1"/>
    <xf numFmtId="0" fontId="0" fillId="6" borderId="5" xfId="0" applyFill="1" applyBorder="1"/>
    <xf numFmtId="0" fontId="3" fillId="6" borderId="2" xfId="0" applyFont="1" applyFill="1" applyBorder="1" applyAlignment="1">
      <alignment horizontal="center"/>
    </xf>
    <xf numFmtId="0" fontId="3" fillId="6" borderId="5" xfId="0" applyFont="1" applyFill="1" applyBorder="1"/>
    <xf numFmtId="0" fontId="3" fillId="6" borderId="5" xfId="0" applyFont="1" applyFill="1" applyBorder="1" applyAlignment="1">
      <alignment horizontal="center"/>
    </xf>
    <xf numFmtId="2" fontId="3" fillId="4" borderId="2" xfId="0" applyNumberFormat="1" applyFont="1" applyFill="1" applyBorder="1"/>
    <xf numFmtId="9" fontId="3" fillId="4" borderId="2" xfId="1" applyFont="1" applyFill="1" applyBorder="1"/>
    <xf numFmtId="2" fontId="3" fillId="4" borderId="5" xfId="0" applyNumberFormat="1" applyFont="1" applyFill="1" applyBorder="1"/>
    <xf numFmtId="9" fontId="3" fillId="4" borderId="5" xfId="1" applyFont="1" applyFill="1" applyBorder="1"/>
    <xf numFmtId="167" fontId="0" fillId="0" borderId="0" xfId="0" applyNumberFormat="1" applyBorder="1"/>
    <xf numFmtId="0" fontId="3" fillId="6" borderId="3" xfId="0" applyFont="1" applyFill="1" applyBorder="1"/>
    <xf numFmtId="10" fontId="3" fillId="6" borderId="3" xfId="1" applyNumberFormat="1" applyFont="1" applyFill="1" applyBorder="1"/>
    <xf numFmtId="171" fontId="3" fillId="0" borderId="0" xfId="0" applyNumberFormat="1" applyFont="1"/>
    <xf numFmtId="171" fontId="0" fillId="0" borderId="0" xfId="0" applyNumberFormat="1"/>
    <xf numFmtId="171" fontId="0" fillId="0" borderId="0" xfId="0" applyNumberFormat="1" applyFont="1"/>
    <xf numFmtId="171" fontId="3" fillId="0" borderId="2" xfId="0" applyNumberFormat="1" applyFont="1" applyBorder="1"/>
    <xf numFmtId="171" fontId="3" fillId="0" borderId="3" xfId="0" applyNumberFormat="1" applyFont="1" applyBorder="1"/>
    <xf numFmtId="0" fontId="25" fillId="6" borderId="0" xfId="0" applyFont="1" applyFill="1" applyAlignment="1">
      <alignment horizontal="right"/>
    </xf>
    <xf numFmtId="0" fontId="25" fillId="6" borderId="5" xfId="0" applyFont="1" applyFill="1" applyBorder="1"/>
    <xf numFmtId="0" fontId="25" fillId="6" borderId="5" xfId="0" applyFont="1" applyFill="1" applyBorder="1" applyAlignment="1">
      <alignment horizontal="right"/>
    </xf>
    <xf numFmtId="0" fontId="3" fillId="0" borderId="0" xfId="0" applyFont="1" applyAlignment="1">
      <alignment wrapText="1"/>
    </xf>
    <xf numFmtId="0" fontId="26" fillId="0" borderId="0" xfId="0" applyFont="1"/>
    <xf numFmtId="0" fontId="7" fillId="2" borderId="0" xfId="0" applyFont="1" applyFill="1" applyAlignment="1"/>
    <xf numFmtId="0" fontId="20" fillId="6" borderId="22" xfId="0" applyFont="1" applyFill="1" applyBorder="1"/>
    <xf numFmtId="4" fontId="23" fillId="0" borderId="0" xfId="0" applyNumberFormat="1" applyFont="1" applyBorder="1"/>
    <xf numFmtId="4" fontId="22" fillId="0" borderId="0" xfId="0" applyNumberFormat="1" applyFont="1" applyBorder="1"/>
    <xf numFmtId="4" fontId="23" fillId="0" borderId="10" xfId="0" applyNumberFormat="1" applyFont="1" applyBorder="1"/>
    <xf numFmtId="4" fontId="22" fillId="0" borderId="10" xfId="0" applyNumberFormat="1" applyFont="1" applyBorder="1"/>
    <xf numFmtId="0" fontId="7" fillId="0" borderId="0" xfId="0" applyFont="1"/>
    <xf numFmtId="0" fontId="31" fillId="6" borderId="37" xfId="0" applyFont="1" applyFill="1" applyBorder="1" applyAlignment="1">
      <alignment wrapText="1"/>
    </xf>
    <xf numFmtId="0" fontId="31" fillId="6" borderId="40" xfId="0" applyFont="1" applyFill="1" applyBorder="1" applyAlignment="1">
      <alignment wrapText="1"/>
    </xf>
    <xf numFmtId="0" fontId="31" fillId="6" borderId="4" xfId="0" applyFont="1" applyFill="1" applyBorder="1" applyAlignment="1">
      <alignment wrapText="1"/>
    </xf>
    <xf numFmtId="0" fontId="3" fillId="0" borderId="18" xfId="0" applyFont="1" applyBorder="1"/>
    <xf numFmtId="0" fontId="3" fillId="0" borderId="20" xfId="0" applyFont="1" applyBorder="1"/>
    <xf numFmtId="171" fontId="3" fillId="0" borderId="1" xfId="0" applyNumberFormat="1" applyFont="1" applyBorder="1"/>
    <xf numFmtId="171" fontId="3" fillId="0" borderId="5" xfId="0" applyNumberFormat="1" applyFont="1" applyBorder="1"/>
    <xf numFmtId="0" fontId="0" fillId="12" borderId="0" xfId="0" applyFill="1"/>
    <xf numFmtId="0" fontId="4" fillId="6" borderId="2" xfId="0" applyFont="1" applyFill="1" applyBorder="1"/>
    <xf numFmtId="171" fontId="0" fillId="0" borderId="5" xfId="0" applyNumberFormat="1" applyBorder="1"/>
    <xf numFmtId="171" fontId="9" fillId="0" borderId="5" xfId="0" applyNumberFormat="1" applyFont="1" applyBorder="1"/>
    <xf numFmtId="171" fontId="3" fillId="0" borderId="7" xfId="0" applyNumberFormat="1" applyFont="1" applyBorder="1"/>
    <xf numFmtId="172" fontId="0" fillId="0" borderId="0" xfId="0" applyNumberFormat="1"/>
    <xf numFmtId="172" fontId="3" fillId="0" borderId="2" xfId="0" applyNumberFormat="1" applyFont="1" applyBorder="1"/>
    <xf numFmtId="172" fontId="3" fillId="0" borderId="3" xfId="0" applyNumberFormat="1" applyFont="1" applyBorder="1"/>
    <xf numFmtId="172" fontId="6" fillId="0" borderId="0" xfId="0" applyNumberFormat="1" applyFont="1"/>
    <xf numFmtId="172" fontId="9" fillId="0" borderId="0" xfId="0" applyNumberFormat="1" applyFont="1"/>
    <xf numFmtId="172" fontId="0" fillId="0" borderId="0" xfId="0" applyNumberFormat="1" applyFont="1"/>
    <xf numFmtId="172" fontId="0" fillId="0" borderId="2" xfId="0" applyNumberFormat="1" applyFont="1" applyBorder="1"/>
    <xf numFmtId="172" fontId="0" fillId="0" borderId="0" xfId="0" applyNumberFormat="1" applyFont="1" applyBorder="1"/>
    <xf numFmtId="172" fontId="9" fillId="0" borderId="2" xfId="0" applyNumberFormat="1" applyFont="1" applyBorder="1"/>
    <xf numFmtId="172" fontId="0" fillId="0" borderId="2" xfId="0" applyNumberFormat="1" applyBorder="1"/>
    <xf numFmtId="172" fontId="0" fillId="0" borderId="3" xfId="0" applyNumberFormat="1" applyBorder="1"/>
    <xf numFmtId="172" fontId="3" fillId="0" borderId="5" xfId="0" applyNumberFormat="1" applyFont="1" applyBorder="1"/>
    <xf numFmtId="172" fontId="3" fillId="0" borderId="7" xfId="0" applyNumberFormat="1" applyFont="1" applyBorder="1"/>
    <xf numFmtId="172" fontId="9" fillId="0" borderId="3" xfId="0" applyNumberFormat="1" applyFont="1" applyBorder="1"/>
    <xf numFmtId="171" fontId="0" fillId="0" borderId="0" xfId="0" applyNumberFormat="1" applyBorder="1"/>
    <xf numFmtId="171" fontId="9" fillId="0" borderId="0" xfId="0" applyNumberFormat="1" applyFont="1" applyBorder="1"/>
    <xf numFmtId="0" fontId="0" fillId="0" borderId="45" xfId="0" applyBorder="1"/>
    <xf numFmtId="171" fontId="9" fillId="0" borderId="45" xfId="0" applyNumberFormat="1" applyFont="1" applyBorder="1"/>
    <xf numFmtId="2" fontId="0" fillId="0" borderId="45" xfId="0" applyNumberFormat="1" applyBorder="1"/>
    <xf numFmtId="10" fontId="6" fillId="0" borderId="45" xfId="0" applyNumberFormat="1" applyFont="1" applyBorder="1"/>
    <xf numFmtId="0" fontId="6" fillId="0" borderId="45" xfId="0" applyFont="1" applyBorder="1"/>
    <xf numFmtId="0" fontId="0" fillId="0" borderId="6" xfId="0" applyBorder="1"/>
    <xf numFmtId="171" fontId="9" fillId="0" borderId="6" xfId="0" applyNumberFormat="1" applyFont="1" applyBorder="1"/>
    <xf numFmtId="2" fontId="0" fillId="0" borderId="6" xfId="0" applyNumberFormat="1" applyBorder="1"/>
    <xf numFmtId="10" fontId="6" fillId="0" borderId="6" xfId="0" applyNumberFormat="1" applyFont="1" applyBorder="1"/>
    <xf numFmtId="0" fontId="6" fillId="0" borderId="6" xfId="0" applyFont="1" applyBorder="1"/>
    <xf numFmtId="0" fontId="0" fillId="0" borderId="46" xfId="0" applyBorder="1"/>
    <xf numFmtId="171" fontId="9" fillId="0" borderId="46" xfId="0" applyNumberFormat="1" applyFont="1" applyBorder="1"/>
    <xf numFmtId="2" fontId="0" fillId="0" borderId="46" xfId="0" applyNumberFormat="1" applyBorder="1"/>
    <xf numFmtId="10" fontId="6" fillId="0" borderId="46" xfId="0" applyNumberFormat="1" applyFont="1" applyBorder="1"/>
    <xf numFmtId="0" fontId="6" fillId="0" borderId="46" xfId="0" applyFont="1" applyBorder="1"/>
    <xf numFmtId="0" fontId="3" fillId="4" borderId="45" xfId="0" applyFont="1" applyFill="1" applyBorder="1"/>
    <xf numFmtId="170" fontId="3" fillId="4" borderId="45" xfId="0" applyNumberFormat="1" applyFont="1" applyFill="1" applyBorder="1"/>
    <xf numFmtId="0" fontId="3" fillId="4" borderId="6" xfId="0" applyFont="1" applyFill="1" applyBorder="1"/>
    <xf numFmtId="170" fontId="3" fillId="4" borderId="6" xfId="0" applyNumberFormat="1" applyFont="1" applyFill="1" applyBorder="1"/>
    <xf numFmtId="0" fontId="3" fillId="7" borderId="6" xfId="0" applyFont="1" applyFill="1" applyBorder="1"/>
    <xf numFmtId="170" fontId="3" fillId="7" borderId="6" xfId="0" applyNumberFormat="1" applyFont="1" applyFill="1" applyBorder="1"/>
    <xf numFmtId="0" fontId="3" fillId="4" borderId="46" xfId="0" applyFont="1" applyFill="1" applyBorder="1"/>
    <xf numFmtId="170" fontId="3" fillId="4" borderId="46" xfId="0" applyNumberFormat="1" applyFont="1" applyFill="1" applyBorder="1"/>
    <xf numFmtId="170" fontId="0" fillId="0" borderId="6" xfId="0" applyNumberFormat="1" applyBorder="1"/>
    <xf numFmtId="172" fontId="6" fillId="0" borderId="6" xfId="0" applyNumberFormat="1" applyFont="1" applyBorder="1"/>
    <xf numFmtId="172" fontId="0" fillId="0" borderId="6" xfId="0" applyNumberFormat="1" applyBorder="1"/>
    <xf numFmtId="172" fontId="6" fillId="0" borderId="3" xfId="0" applyNumberFormat="1" applyFont="1" applyBorder="1"/>
    <xf numFmtId="170" fontId="0" fillId="0" borderId="46" xfId="0" applyNumberFormat="1" applyBorder="1"/>
    <xf numFmtId="172" fontId="0" fillId="0" borderId="46" xfId="0" applyNumberFormat="1" applyBorder="1"/>
    <xf numFmtId="172" fontId="3" fillId="0" borderId="6" xfId="0" applyNumberFormat="1" applyFont="1" applyBorder="1"/>
    <xf numFmtId="172" fontId="3" fillId="0" borderId="46" xfId="0" applyNumberFormat="1" applyFont="1" applyBorder="1"/>
    <xf numFmtId="172" fontId="6" fillId="0" borderId="0" xfId="0" applyNumberFormat="1" applyFont="1" applyBorder="1"/>
    <xf numFmtId="172" fontId="9" fillId="0" borderId="0" xfId="0" applyNumberFormat="1" applyFont="1" applyBorder="1"/>
    <xf numFmtId="172" fontId="9" fillId="0" borderId="5" xfId="0" applyNumberFormat="1" applyFont="1" applyBorder="1"/>
    <xf numFmtId="0" fontId="33" fillId="0" borderId="47" xfId="0" applyNumberFormat="1" applyFont="1" applyBorder="1" applyAlignment="1">
      <alignment vertical="top"/>
    </xf>
    <xf numFmtId="165" fontId="0" fillId="0" borderId="6" xfId="1" applyNumberFormat="1" applyFont="1" applyBorder="1"/>
    <xf numFmtId="9" fontId="0" fillId="0" borderId="6" xfId="1" applyFont="1" applyBorder="1"/>
    <xf numFmtId="9" fontId="0" fillId="0" borderId="6" xfId="0" applyNumberFormat="1" applyBorder="1"/>
    <xf numFmtId="0" fontId="33" fillId="0" borderId="47" xfId="0" applyFont="1" applyBorder="1"/>
    <xf numFmtId="0" fontId="0" fillId="0" borderId="54" xfId="0" applyBorder="1"/>
    <xf numFmtId="14" fontId="28" fillId="0" borderId="55" xfId="0" applyNumberFormat="1" applyFont="1" applyBorder="1"/>
    <xf numFmtId="0" fontId="28" fillId="0" borderId="55" xfId="0" applyFont="1" applyBorder="1"/>
    <xf numFmtId="10" fontId="30" fillId="0" borderId="55" xfId="0" applyNumberFormat="1" applyFont="1" applyBorder="1" applyAlignment="1">
      <alignment vertical="center" wrapText="1"/>
    </xf>
    <xf numFmtId="10" fontId="28" fillId="0" borderId="55" xfId="0" applyNumberFormat="1" applyFont="1" applyBorder="1"/>
    <xf numFmtId="0" fontId="29" fillId="0" borderId="55" xfId="0" applyFont="1" applyBorder="1"/>
    <xf numFmtId="6" fontId="30" fillId="0" borderId="55" xfId="0" applyNumberFormat="1" applyFont="1" applyBorder="1"/>
    <xf numFmtId="9" fontId="28" fillId="0" borderId="55" xfId="0" applyNumberFormat="1" applyFont="1" applyBorder="1"/>
    <xf numFmtId="9" fontId="27" fillId="0" borderId="55" xfId="0" applyNumberFormat="1" applyFont="1" applyBorder="1"/>
    <xf numFmtId="171" fontId="14" fillId="0" borderId="55" xfId="0" applyNumberFormat="1" applyFont="1" applyBorder="1"/>
    <xf numFmtId="171" fontId="6" fillId="0" borderId="0" xfId="0" applyNumberFormat="1" applyFont="1"/>
    <xf numFmtId="3" fontId="35" fillId="0" borderId="0" xfId="0" applyNumberFormat="1" applyFont="1"/>
    <xf numFmtId="173" fontId="35" fillId="0" borderId="0" xfId="0" applyNumberFormat="1" applyFont="1"/>
    <xf numFmtId="173" fontId="3" fillId="0" borderId="0" xfId="0" applyNumberFormat="1" applyFont="1"/>
    <xf numFmtId="171" fontId="36" fillId="0" borderId="5" xfId="0" applyNumberFormat="1" applyFont="1" applyBorder="1"/>
    <xf numFmtId="3" fontId="9" fillId="0" borderId="0" xfId="0" applyNumberFormat="1" applyFont="1" applyBorder="1"/>
    <xf numFmtId="171" fontId="37" fillId="0" borderId="0" xfId="0" applyNumberFormat="1" applyFont="1"/>
    <xf numFmtId="172" fontId="36" fillId="0" borderId="5" xfId="0" applyNumberFormat="1" applyFont="1" applyBorder="1"/>
    <xf numFmtId="0" fontId="34" fillId="0" borderId="8" xfId="0" applyFont="1" applyBorder="1" applyAlignment="1">
      <alignment horizontal="left" vertical="top" wrapText="1"/>
    </xf>
    <xf numFmtId="0" fontId="3" fillId="0" borderId="50" xfId="0" applyFont="1" applyBorder="1" applyAlignment="1">
      <alignment horizontal="left" vertical="top"/>
    </xf>
    <xf numFmtId="0" fontId="3" fillId="0" borderId="52" xfId="0" applyFont="1" applyBorder="1" applyAlignment="1">
      <alignment horizontal="left" vertical="top"/>
    </xf>
    <xf numFmtId="0" fontId="3" fillId="0" borderId="21" xfId="0" applyFont="1" applyBorder="1" applyAlignment="1">
      <alignment horizontal="left" vertical="top"/>
    </xf>
    <xf numFmtId="0" fontId="3" fillId="0" borderId="22" xfId="0" applyFont="1" applyBorder="1" applyAlignment="1">
      <alignment horizontal="left" vertical="top"/>
    </xf>
    <xf numFmtId="0" fontId="34" fillId="0" borderId="21" xfId="0" applyFont="1" applyBorder="1" applyAlignment="1">
      <alignment horizontal="left" vertical="top"/>
    </xf>
    <xf numFmtId="0" fontId="34" fillId="0" borderId="22" xfId="0" applyFont="1" applyBorder="1" applyAlignment="1">
      <alignment horizontal="left" vertical="top"/>
    </xf>
    <xf numFmtId="0" fontId="0" fillId="0" borderId="21" xfId="0" applyBorder="1" applyAlignment="1">
      <alignment horizontal="left" vertical="top" wrapText="1"/>
    </xf>
    <xf numFmtId="0" fontId="0" fillId="0" borderId="51" xfId="0" applyBorder="1" applyAlignment="1">
      <alignment horizontal="left" vertical="top" wrapText="1"/>
    </xf>
    <xf numFmtId="0" fontId="0" fillId="0" borderId="22" xfId="0" applyBorder="1" applyAlignment="1">
      <alignment horizontal="left" vertical="top" wrapText="1"/>
    </xf>
    <xf numFmtId="0" fontId="0" fillId="0" borderId="53" xfId="0" applyBorder="1" applyAlignment="1">
      <alignment horizontal="left" vertical="top" wrapText="1"/>
    </xf>
    <xf numFmtId="0" fontId="3" fillId="0" borderId="8" xfId="0" applyFont="1" applyBorder="1" applyAlignment="1">
      <alignment horizontal="left" vertical="top" wrapText="1"/>
    </xf>
    <xf numFmtId="0" fontId="0" fillId="0" borderId="8" xfId="0" applyBorder="1" applyAlignment="1">
      <alignment horizontal="left" vertical="top" wrapText="1"/>
    </xf>
    <xf numFmtId="0" fontId="0" fillId="0" borderId="49" xfId="0" applyBorder="1" applyAlignment="1">
      <alignment horizontal="left" vertical="top" wrapText="1"/>
    </xf>
    <xf numFmtId="0" fontId="16" fillId="0" borderId="48" xfId="0" applyFont="1" applyBorder="1" applyAlignment="1">
      <alignment horizontal="left" vertical="top"/>
    </xf>
    <xf numFmtId="0" fontId="3" fillId="0" borderId="48" xfId="0" applyFont="1" applyBorder="1" applyAlignment="1">
      <alignment horizontal="left" vertical="top" wrapText="1"/>
    </xf>
    <xf numFmtId="0" fontId="20" fillId="6" borderId="0" xfId="0" applyFont="1" applyFill="1" applyAlignment="1">
      <alignment horizontal="center"/>
    </xf>
    <xf numFmtId="0" fontId="0" fillId="0" borderId="8" xfId="0" applyBorder="1" applyAlignment="1">
      <alignment horizontal="left" wrapText="1"/>
    </xf>
    <xf numFmtId="0" fontId="0" fillId="0" borderId="49" xfId="0" applyBorder="1" applyAlignment="1">
      <alignment horizontal="left" wrapText="1"/>
    </xf>
    <xf numFmtId="0" fontId="31" fillId="6" borderId="32" xfId="0" applyFont="1" applyFill="1" applyBorder="1" applyAlignment="1">
      <alignment horizontal="center" vertical="center" wrapText="1"/>
    </xf>
    <xf numFmtId="0" fontId="31" fillId="6" borderId="33" xfId="0" applyFont="1" applyFill="1" applyBorder="1" applyAlignment="1">
      <alignment horizontal="center" vertical="center" wrapText="1"/>
    </xf>
    <xf numFmtId="0" fontId="31" fillId="6" borderId="34" xfId="0" applyFont="1" applyFill="1" applyBorder="1" applyAlignment="1">
      <alignment horizontal="center" vertical="center" wrapText="1"/>
    </xf>
    <xf numFmtId="0" fontId="19" fillId="0" borderId="13" xfId="0" applyFont="1" applyBorder="1" applyAlignment="1">
      <alignment horizontal="left" vertical="top" wrapText="1"/>
    </xf>
    <xf numFmtId="0" fontId="19" fillId="0" borderId="9"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0" xfId="0" applyFont="1" applyBorder="1" applyAlignment="1">
      <alignment horizontal="left" vertical="top" wrapText="1"/>
    </xf>
    <xf numFmtId="0" fontId="19" fillId="0" borderId="16" xfId="0" applyFont="1" applyBorder="1" applyAlignment="1">
      <alignment horizontal="left" vertical="top" wrapText="1"/>
    </xf>
    <xf numFmtId="0" fontId="19" fillId="0" borderId="18" xfId="0" applyFont="1" applyBorder="1" applyAlignment="1">
      <alignment horizontal="left" vertical="top" wrapText="1"/>
    </xf>
    <xf numFmtId="0" fontId="19" fillId="0" borderId="10" xfId="0" applyFont="1" applyBorder="1" applyAlignment="1">
      <alignment horizontal="left" vertical="top" wrapText="1"/>
    </xf>
    <xf numFmtId="0" fontId="19" fillId="0" borderId="20" xfId="0" applyFont="1" applyBorder="1" applyAlignment="1">
      <alignment horizontal="left" vertical="top" wrapText="1"/>
    </xf>
    <xf numFmtId="0" fontId="32" fillId="0" borderId="41" xfId="0" applyFont="1" applyBorder="1" applyAlignment="1">
      <alignment horizontal="center" vertical="center" wrapText="1"/>
    </xf>
    <xf numFmtId="0" fontId="32" fillId="0" borderId="39" xfId="0" applyFont="1" applyBorder="1" applyAlignment="1">
      <alignment horizontal="center" vertical="center" wrapText="1"/>
    </xf>
    <xf numFmtId="0" fontId="32" fillId="0" borderId="38" xfId="0" applyFont="1" applyBorder="1" applyAlignment="1">
      <alignment horizontal="center" vertical="center" wrapText="1"/>
    </xf>
    <xf numFmtId="0" fontId="21" fillId="0" borderId="43" xfId="2" applyBorder="1" applyAlignment="1">
      <alignment horizontal="center" vertical="center" wrapText="1"/>
    </xf>
    <xf numFmtId="0" fontId="21" fillId="0" borderId="42" xfId="2" applyBorder="1" applyAlignment="1">
      <alignment horizontal="center" vertical="center" wrapText="1"/>
    </xf>
    <xf numFmtId="0" fontId="21" fillId="0" borderId="44" xfId="2" applyBorder="1" applyAlignment="1">
      <alignment horizontal="center" vertical="center" wrapText="1"/>
    </xf>
    <xf numFmtId="0" fontId="2" fillId="6" borderId="23" xfId="0" applyFont="1" applyFill="1" applyBorder="1" applyAlignment="1">
      <alignment horizontal="center"/>
    </xf>
    <xf numFmtId="0" fontId="2" fillId="6" borderId="31" xfId="0" applyFont="1" applyFill="1" applyBorder="1" applyAlignment="1">
      <alignment horizontal="center"/>
    </xf>
    <xf numFmtId="0" fontId="2" fillId="6" borderId="24" xfId="0" applyFont="1" applyFill="1" applyBorder="1" applyAlignment="1">
      <alignment horizontal="center"/>
    </xf>
    <xf numFmtId="0" fontId="2" fillId="6" borderId="17" xfId="0" applyFont="1" applyFill="1" applyBorder="1" applyAlignment="1">
      <alignment horizontal="center"/>
    </xf>
    <xf numFmtId="0" fontId="2" fillId="6" borderId="11" xfId="0" applyFont="1" applyFill="1" applyBorder="1" applyAlignment="1">
      <alignment horizontal="center"/>
    </xf>
    <xf numFmtId="0" fontId="2" fillId="6" borderId="19" xfId="0" applyFont="1" applyFill="1" applyBorder="1" applyAlignment="1">
      <alignment horizontal="center"/>
    </xf>
    <xf numFmtId="0" fontId="7" fillId="10" borderId="0" xfId="0" applyFont="1" applyFill="1" applyAlignment="1">
      <alignment horizontal="center"/>
    </xf>
    <xf numFmtId="0" fontId="2" fillId="6" borderId="3" xfId="0" applyFont="1" applyFill="1" applyBorder="1" applyAlignment="1">
      <alignment horizontal="center"/>
    </xf>
    <xf numFmtId="0" fontId="2" fillId="6" borderId="0" xfId="0" applyFont="1" applyFill="1" applyAlignment="1">
      <alignment horizontal="center"/>
    </xf>
    <xf numFmtId="0" fontId="3" fillId="6" borderId="0" xfId="0" applyFont="1" applyFill="1" applyAlignment="1">
      <alignment horizontal="center"/>
    </xf>
    <xf numFmtId="0" fontId="3" fillId="8" borderId="23" xfId="0" applyFont="1" applyFill="1" applyBorder="1" applyAlignment="1">
      <alignment horizontal="center"/>
    </xf>
    <xf numFmtId="0" fontId="3" fillId="8" borderId="24" xfId="0" applyFont="1" applyFill="1" applyBorder="1" applyAlignment="1">
      <alignment horizontal="center"/>
    </xf>
    <xf numFmtId="0" fontId="20" fillId="6" borderId="5" xfId="0" applyFont="1" applyFill="1" applyBorder="1" applyAlignment="1">
      <alignment horizontal="center"/>
    </xf>
    <xf numFmtId="0" fontId="3" fillId="6" borderId="3"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Border="1" applyAlignment="1">
      <alignment horizontal="center"/>
    </xf>
    <xf numFmtId="0" fontId="3" fillId="6" borderId="23" xfId="0" applyFont="1" applyFill="1" applyBorder="1" applyAlignment="1">
      <alignment horizontal="center"/>
    </xf>
    <xf numFmtId="0" fontId="3" fillId="6" borderId="31" xfId="0" applyFont="1" applyFill="1" applyBorder="1" applyAlignment="1">
      <alignment horizontal="center"/>
    </xf>
    <xf numFmtId="0" fontId="3" fillId="6" borderId="24" xfId="0" applyFont="1" applyFill="1" applyBorder="1" applyAlignment="1">
      <alignment horizontal="center"/>
    </xf>
    <xf numFmtId="0" fontId="3" fillId="0" borderId="31" xfId="0" applyFont="1" applyBorder="1" applyAlignment="1">
      <alignment horizontal="center"/>
    </xf>
    <xf numFmtId="0" fontId="3" fillId="0" borderId="24" xfId="0" applyFont="1" applyBorder="1" applyAlignment="1">
      <alignment horizontal="center"/>
    </xf>
    <xf numFmtId="0" fontId="24" fillId="0" borderId="32" xfId="0" applyFont="1" applyBorder="1" applyAlignment="1">
      <alignment horizontal="center" vertical="center" textRotation="180"/>
    </xf>
    <xf numFmtId="0" fontId="24" fillId="0" borderId="33" xfId="0" applyFont="1" applyBorder="1" applyAlignment="1">
      <alignment horizontal="center" vertical="center" textRotation="180"/>
    </xf>
    <xf numFmtId="0" fontId="24" fillId="0" borderId="34" xfId="0" applyFont="1" applyBorder="1" applyAlignment="1">
      <alignment horizontal="center" vertical="center" textRotation="180"/>
    </xf>
    <xf numFmtId="0" fontId="3" fillId="0" borderId="13" xfId="0" applyFont="1" applyBorder="1" applyAlignment="1">
      <alignment horizontal="center"/>
    </xf>
    <xf numFmtId="0" fontId="3" fillId="0" borderId="14" xfId="0" applyFont="1" applyBorder="1" applyAlignment="1">
      <alignment horizontal="center"/>
    </xf>
    <xf numFmtId="0" fontId="0" fillId="0" borderId="6" xfId="0" applyNumberFormat="1" applyBorder="1" applyAlignment="1">
      <alignment horizontal="left" wrapText="1"/>
    </xf>
    <xf numFmtId="17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EC5D0E"/>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EC5D0E"/>
                </a:solidFill>
                <a:latin typeface="+mn-lt"/>
                <a:ea typeface="+mn-ea"/>
                <a:cs typeface="+mn-cs"/>
              </a:defRPr>
            </a:pPr>
            <a:r>
              <a:rPr lang="en-IN" b="1">
                <a:solidFill>
                  <a:srgbClr val="EC5D0E"/>
                </a:solidFill>
              </a:rPr>
              <a:t>Football</a:t>
            </a:r>
            <a:r>
              <a:rPr lang="en-IN" b="1" baseline="0">
                <a:solidFill>
                  <a:srgbClr val="EC5D0E"/>
                </a:solidFill>
              </a:rPr>
              <a:t> Field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EC5D0E"/>
              </a:solidFill>
              <a:latin typeface="+mn-lt"/>
              <a:ea typeface="+mn-ea"/>
              <a:cs typeface="+mn-cs"/>
            </a:defRPr>
          </a:pPr>
          <a:endParaRPr lang="en-US"/>
        </a:p>
      </c:txPr>
    </c:title>
    <c:autoTitleDeleted val="0"/>
    <c:plotArea>
      <c:layout/>
      <c:stockChart>
        <c:ser>
          <c:idx val="0"/>
          <c:order val="0"/>
          <c:tx>
            <c:strRef>
              <c:f>'Football Analysis'!$F$9:$I$9</c:f>
              <c:strCache>
                <c:ptCount val="4"/>
                <c:pt idx="0">
                  <c:v>Comps</c:v>
                </c:pt>
                <c:pt idx="1">
                  <c:v>DCF</c:v>
                </c:pt>
                <c:pt idx="2">
                  <c:v>52-Week Hi/LO</c:v>
                </c:pt>
                <c:pt idx="3">
                  <c:v>Market Consenses</c:v>
                </c:pt>
              </c:strCache>
            </c:strRef>
          </c:tx>
          <c:spPr>
            <a:ln w="19050" cap="rnd">
              <a:noFill/>
              <a:round/>
            </a:ln>
            <a:effectLst/>
          </c:spPr>
          <c:marker>
            <c:symbol val="none"/>
          </c:marker>
          <c:cat>
            <c:strRef>
              <c:f>'Football Analysis'!$F$9:$I$9</c:f>
              <c:strCache>
                <c:ptCount val="4"/>
                <c:pt idx="0">
                  <c:v>Comps</c:v>
                </c:pt>
                <c:pt idx="1">
                  <c:v>DCF</c:v>
                </c:pt>
                <c:pt idx="2">
                  <c:v>52-Week Hi/LO</c:v>
                </c:pt>
                <c:pt idx="3">
                  <c:v>Market Consenses</c:v>
                </c:pt>
              </c:strCache>
            </c:strRef>
          </c:cat>
          <c:val>
            <c:numRef>
              <c:f>'Football Analysis'!$F$10:$I$10</c:f>
              <c:numCache>
                <c:formatCode>"₹"\ #,##0;\("₹"\ #,##0\);\-</c:formatCode>
                <c:ptCount val="4"/>
                <c:pt idx="0">
                  <c:v>1498.1672645631795</c:v>
                </c:pt>
                <c:pt idx="1">
                  <c:v>3101.5</c:v>
                </c:pt>
                <c:pt idx="2">
                  <c:v>1472</c:v>
                </c:pt>
                <c:pt idx="3">
                  <c:v>2800</c:v>
                </c:pt>
              </c:numCache>
            </c:numRef>
          </c:val>
          <c:smooth val="0"/>
          <c:extLst>
            <c:ext xmlns:c16="http://schemas.microsoft.com/office/drawing/2014/chart" uri="{C3380CC4-5D6E-409C-BE32-E72D297353CC}">
              <c16:uniqueId val="{00000000-B885-40F7-8F51-4667B3BD897D}"/>
            </c:ext>
          </c:extLst>
        </c:ser>
        <c:ser>
          <c:idx val="1"/>
          <c:order val="1"/>
          <c:spPr>
            <a:ln w="19050" cap="rnd">
              <a:noFill/>
              <a:round/>
            </a:ln>
            <a:effectLst/>
          </c:spPr>
          <c:marker>
            <c:symbol val="none"/>
          </c:marker>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Analysis'!$F$9:$I$9</c:f>
              <c:strCache>
                <c:ptCount val="4"/>
                <c:pt idx="0">
                  <c:v>Comps</c:v>
                </c:pt>
                <c:pt idx="1">
                  <c:v>DCF</c:v>
                </c:pt>
                <c:pt idx="2">
                  <c:v>52-Week Hi/LO</c:v>
                </c:pt>
                <c:pt idx="3">
                  <c:v>Market Consenses</c:v>
                </c:pt>
              </c:strCache>
            </c:strRef>
          </c:cat>
          <c:val>
            <c:numRef>
              <c:f>'Football Analysis'!$F$11:$I$11</c:f>
              <c:numCache>
                <c:formatCode>"₹"\ #,##0;\("₹"\ #,##0\);\-</c:formatCode>
                <c:ptCount val="4"/>
                <c:pt idx="0">
                  <c:v>1498.1672645631795</c:v>
                </c:pt>
                <c:pt idx="1">
                  <c:v>3101.5</c:v>
                </c:pt>
                <c:pt idx="2">
                  <c:v>1472</c:v>
                </c:pt>
                <c:pt idx="3">
                  <c:v>2800</c:v>
                </c:pt>
              </c:numCache>
            </c:numRef>
          </c:val>
          <c:smooth val="0"/>
          <c:extLst>
            <c:ext xmlns:c16="http://schemas.microsoft.com/office/drawing/2014/chart" uri="{C3380CC4-5D6E-409C-BE32-E72D297353CC}">
              <c16:uniqueId val="{00000001-B885-40F7-8F51-4667B3BD897D}"/>
            </c:ext>
          </c:extLst>
        </c:ser>
        <c:ser>
          <c:idx val="2"/>
          <c:order val="2"/>
          <c:spPr>
            <a:ln w="19050" cap="rnd">
              <a:noFill/>
              <a:round/>
            </a:ln>
            <a:effectLst/>
          </c:spPr>
          <c:marker>
            <c:symbol val="none"/>
          </c:marker>
          <c:cat>
            <c:strRef>
              <c:f>'Football Analysis'!$F$9:$I$9</c:f>
              <c:strCache>
                <c:ptCount val="4"/>
                <c:pt idx="0">
                  <c:v>Comps</c:v>
                </c:pt>
                <c:pt idx="1">
                  <c:v>DCF</c:v>
                </c:pt>
                <c:pt idx="2">
                  <c:v>52-Week Hi/LO</c:v>
                </c:pt>
                <c:pt idx="3">
                  <c:v>Market Consenses</c:v>
                </c:pt>
              </c:strCache>
            </c:strRef>
          </c:cat>
          <c:val>
            <c:numRef>
              <c:f>'Football Analysis'!$F$12:$I$12</c:f>
              <c:numCache>
                <c:formatCode>"₹"\ #,##0;\("₹"\ #,##0\);\-</c:formatCode>
                <c:ptCount val="4"/>
                <c:pt idx="0">
                  <c:v>1154.0161691062142</c:v>
                </c:pt>
                <c:pt idx="1">
                  <c:v>1558.29</c:v>
                </c:pt>
                <c:pt idx="2">
                  <c:v>1153</c:v>
                </c:pt>
                <c:pt idx="3">
                  <c:v>1100</c:v>
                </c:pt>
              </c:numCache>
            </c:numRef>
          </c:val>
          <c:smooth val="0"/>
          <c:extLst>
            <c:ext xmlns:c16="http://schemas.microsoft.com/office/drawing/2014/chart" uri="{C3380CC4-5D6E-409C-BE32-E72D297353CC}">
              <c16:uniqueId val="{00000002-B885-40F7-8F51-4667B3BD897D}"/>
            </c:ext>
          </c:extLst>
        </c:ser>
        <c:ser>
          <c:idx val="3"/>
          <c:order val="3"/>
          <c:spPr>
            <a:ln w="19050" cap="rnd">
              <a:noFill/>
              <a:round/>
            </a:ln>
            <a:effectLst/>
          </c:spPr>
          <c:marker>
            <c:symbol val="none"/>
          </c:marker>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Analysis'!$F$9:$I$9</c:f>
              <c:strCache>
                <c:ptCount val="4"/>
                <c:pt idx="0">
                  <c:v>Comps</c:v>
                </c:pt>
                <c:pt idx="1">
                  <c:v>DCF</c:v>
                </c:pt>
                <c:pt idx="2">
                  <c:v>52-Week Hi/LO</c:v>
                </c:pt>
                <c:pt idx="3">
                  <c:v>Market Consenses</c:v>
                </c:pt>
              </c:strCache>
            </c:strRef>
          </c:cat>
          <c:val>
            <c:numRef>
              <c:f>'Football Analysis'!$F$13:$I$13</c:f>
              <c:numCache>
                <c:formatCode>"₹"\ #,##0;\("₹"\ #,##0\);\-</c:formatCode>
                <c:ptCount val="4"/>
                <c:pt idx="0">
                  <c:v>1154.0161691062142</c:v>
                </c:pt>
                <c:pt idx="1">
                  <c:v>1558.29</c:v>
                </c:pt>
                <c:pt idx="2">
                  <c:v>1153</c:v>
                </c:pt>
                <c:pt idx="3">
                  <c:v>1100</c:v>
                </c:pt>
              </c:numCache>
            </c:numRef>
          </c:val>
          <c:smooth val="0"/>
          <c:extLst>
            <c:ext xmlns:c16="http://schemas.microsoft.com/office/drawing/2014/chart" uri="{C3380CC4-5D6E-409C-BE32-E72D297353CC}">
              <c16:uniqueId val="{00000003-B885-40F7-8F51-4667B3BD897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rgbClr val="EC5D0E"/>
              </a:solidFill>
              <a:ln w="9525" cap="flat" cmpd="sng" algn="ctr">
                <a:solidFill>
                  <a:schemeClr val="tx1">
                    <a:lumMod val="65000"/>
                    <a:lumOff val="35000"/>
                  </a:schemeClr>
                </a:solidFill>
                <a:round/>
              </a:ln>
              <a:effectLst/>
            </c:spPr>
          </c:downBars>
        </c:upDownBars>
        <c:axId val="736392544"/>
        <c:axId val="736391560"/>
      </c:stockChart>
      <c:catAx>
        <c:axId val="73639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36391560"/>
        <c:crosses val="autoZero"/>
        <c:auto val="1"/>
        <c:lblAlgn val="ctr"/>
        <c:lblOffset val="100"/>
        <c:noMultiLvlLbl val="0"/>
      </c:catAx>
      <c:valAx>
        <c:axId val="736391560"/>
        <c:scaling>
          <c:orientation val="minMax"/>
        </c:scaling>
        <c:delete val="0"/>
        <c:axPos val="l"/>
        <c:numFmt formatCode="&quot;₹&quot;\ #,##0;\(&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36392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Total</a:t>
            </a:r>
            <a:r>
              <a:rPr lang="en-IN" b="1" baseline="0"/>
              <a:t> Income v/s NIM</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[1]Sheet1!$B$6</c:f>
              <c:strCache>
                <c:ptCount val="1"/>
                <c:pt idx="0">
                  <c:v>Total Income</c:v>
                </c:pt>
              </c:strCache>
            </c:strRef>
          </c:tx>
          <c:spPr>
            <a:solidFill>
              <a:schemeClr val="accent2"/>
            </a:solidFill>
            <a:ln>
              <a:noFill/>
            </a:ln>
            <a:effectLst/>
          </c:spPr>
          <c:invertIfNegative val="0"/>
          <c:cat>
            <c:numRef>
              <c:f>[1]Sheet1!$C$5:$Q$5</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[1]Sheet1!$C$6:$Q$6</c:f>
              <c:numCache>
                <c:formatCode>General</c:formatCode>
                <c:ptCount val="15"/>
                <c:pt idx="0">
                  <c:v>1497860.9999999993</c:v>
                </c:pt>
                <c:pt idx="1">
                  <c:v>1613364.7999999996</c:v>
                </c:pt>
                <c:pt idx="2">
                  <c:v>1575363.2</c:v>
                </c:pt>
                <c:pt idx="3">
                  <c:v>1861787.9999999995</c:v>
                </c:pt>
                <c:pt idx="4">
                  <c:v>2360377.1999999997</c:v>
                </c:pt>
                <c:pt idx="5">
                  <c:v>2768702.9719339074</c:v>
                </c:pt>
                <c:pt idx="6">
                  <c:v>3242148.501308708</c:v>
                </c:pt>
                <c:pt idx="7">
                  <c:v>3793857.7313623894</c:v>
                </c:pt>
                <c:pt idx="8">
                  <c:v>4440035.5020245984</c:v>
                </c:pt>
                <c:pt idx="9">
                  <c:v>5200488.8929056376</c:v>
                </c:pt>
                <c:pt idx="10">
                  <c:v>6099288.4389730319</c:v>
                </c:pt>
                <c:pt idx="11">
                  <c:v>7165580.9980989909</c:v>
                </c:pt>
                <c:pt idx="12">
                  <c:v>8434589.4642331339</c:v>
                </c:pt>
                <c:pt idx="13">
                  <c:v>9948839.7233990394</c:v>
                </c:pt>
                <c:pt idx="14">
                  <c:v>11759662.534830462</c:v>
                </c:pt>
              </c:numCache>
            </c:numRef>
          </c:val>
          <c:extLst>
            <c:ext xmlns:c16="http://schemas.microsoft.com/office/drawing/2014/chart" uri="{C3380CC4-5D6E-409C-BE32-E72D297353CC}">
              <c16:uniqueId val="{00000000-F202-40F3-8016-BFCD5F7C55DB}"/>
            </c:ext>
          </c:extLst>
        </c:ser>
        <c:dLbls>
          <c:showLegendKey val="0"/>
          <c:showVal val="0"/>
          <c:showCatName val="0"/>
          <c:showSerName val="0"/>
          <c:showPercent val="0"/>
          <c:showBubbleSize val="0"/>
        </c:dLbls>
        <c:gapWidth val="219"/>
        <c:axId val="560390752"/>
        <c:axId val="560385832"/>
      </c:barChart>
      <c:lineChart>
        <c:grouping val="standard"/>
        <c:varyColors val="0"/>
        <c:ser>
          <c:idx val="2"/>
          <c:order val="1"/>
          <c:tx>
            <c:strRef>
              <c:f>[1]Sheet1!$B$7</c:f>
              <c:strCache>
                <c:ptCount val="1"/>
                <c:pt idx="0">
                  <c:v>Net Interest Margin</c:v>
                </c:pt>
              </c:strCache>
            </c:strRef>
          </c:tx>
          <c:spPr>
            <a:ln w="28575" cap="rnd">
              <a:solidFill>
                <a:schemeClr val="accent6"/>
              </a:solidFill>
              <a:round/>
            </a:ln>
            <a:effectLst/>
          </c:spPr>
          <c:marker>
            <c:symbol val="none"/>
          </c:marker>
          <c:val>
            <c:numRef>
              <c:f>[1]Sheet1!$C$7:$Q$7</c:f>
              <c:numCache>
                <c:formatCode>General</c:formatCode>
                <c:ptCount val="15"/>
                <c:pt idx="0">
                  <c:v>3.2822473502597385E-2</c:v>
                </c:pt>
                <c:pt idx="1">
                  <c:v>3.4402325173013823E-2</c:v>
                </c:pt>
                <c:pt idx="2">
                  <c:v>3.0442760947710572E-2</c:v>
                </c:pt>
                <c:pt idx="3">
                  <c:v>3.1230119417832419E-2</c:v>
                </c:pt>
                <c:pt idx="4">
                  <c:v>2.8558658764439387E-2</c:v>
                </c:pt>
                <c:pt idx="5">
                  <c:v>3.1283949126569024E-2</c:v>
                </c:pt>
                <c:pt idx="6">
                  <c:v>3.13596973835015E-2</c:v>
                </c:pt>
                <c:pt idx="7">
                  <c:v>3.1422437728789117E-2</c:v>
                </c:pt>
                <c:pt idx="8">
                  <c:v>3.1476748891099596E-2</c:v>
                </c:pt>
                <c:pt idx="9">
                  <c:v>3.1525969570825249E-2</c:v>
                </c:pt>
                <c:pt idx="10">
                  <c:v>3.1572427150994287E-2</c:v>
                </c:pt>
                <c:pt idx="11">
                  <c:v>3.1617644909119474E-2</c:v>
                </c:pt>
                <c:pt idx="12">
                  <c:v>3.1662527494450296E-2</c:v>
                </c:pt>
                <c:pt idx="13">
                  <c:v>3.1707523294458292E-2</c:v>
                </c:pt>
                <c:pt idx="14">
                  <c:v>3.1752762177227209E-2</c:v>
                </c:pt>
              </c:numCache>
            </c:numRef>
          </c:val>
          <c:smooth val="0"/>
          <c:extLst>
            <c:ext xmlns:c16="http://schemas.microsoft.com/office/drawing/2014/chart" uri="{C3380CC4-5D6E-409C-BE32-E72D297353CC}">
              <c16:uniqueId val="{00000001-F202-40F3-8016-BFCD5F7C55DB}"/>
            </c:ext>
          </c:extLst>
        </c:ser>
        <c:dLbls>
          <c:showLegendKey val="0"/>
          <c:showVal val="0"/>
          <c:showCatName val="0"/>
          <c:showSerName val="0"/>
          <c:showPercent val="0"/>
          <c:showBubbleSize val="0"/>
        </c:dLbls>
        <c:marker val="1"/>
        <c:smooth val="0"/>
        <c:axId val="799848456"/>
        <c:axId val="799843208"/>
      </c:lineChart>
      <c:catAx>
        <c:axId val="56039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385832"/>
        <c:crosses val="autoZero"/>
        <c:auto val="1"/>
        <c:lblAlgn val="ctr"/>
        <c:lblOffset val="100"/>
        <c:noMultiLvlLbl val="0"/>
      </c:catAx>
      <c:valAx>
        <c:axId val="560385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390752"/>
        <c:crosses val="autoZero"/>
        <c:crossBetween val="between"/>
      </c:valAx>
      <c:valAx>
        <c:axId val="79984320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848456"/>
        <c:crosses val="max"/>
        <c:crossBetween val="between"/>
      </c:valAx>
      <c:catAx>
        <c:axId val="799848456"/>
        <c:scaling>
          <c:orientation val="minMax"/>
        </c:scaling>
        <c:delete val="1"/>
        <c:axPos val="b"/>
        <c:majorTickMark val="out"/>
        <c:minorTickMark val="none"/>
        <c:tickLblPos val="nextTo"/>
        <c:crossAx val="7998432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Net</a:t>
            </a:r>
            <a:r>
              <a:rPr lang="en-IN" b="1" baseline="0"/>
              <a:t> Income v/s Total Assets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[1]Sheet2!$C$7</c:f>
              <c:strCache>
                <c:ptCount val="1"/>
                <c:pt idx="0">
                  <c:v>Net Income</c:v>
                </c:pt>
              </c:strCache>
            </c:strRef>
          </c:tx>
          <c:spPr>
            <a:solidFill>
              <a:schemeClr val="accent2"/>
            </a:solidFill>
            <a:ln>
              <a:noFill/>
            </a:ln>
            <a:effectLst/>
          </c:spPr>
          <c:invertIfNegative val="0"/>
          <c:cat>
            <c:numRef>
              <c:f>[1]Sheet2!$D$6:$R$6</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[1]Sheet2!$D$7:$R$7</c:f>
              <c:numCache>
                <c:formatCode>General</c:formatCode>
                <c:ptCount val="15"/>
                <c:pt idx="0">
                  <c:v>95663.046999999147</c:v>
                </c:pt>
                <c:pt idx="1">
                  <c:v>183843.20899999945</c:v>
                </c:pt>
                <c:pt idx="2">
                  <c:v>251100.99199999997</c:v>
                </c:pt>
                <c:pt idx="3">
                  <c:v>340366.3979999997</c:v>
                </c:pt>
                <c:pt idx="4">
                  <c:v>442563.66299999959</c:v>
                </c:pt>
                <c:pt idx="5">
                  <c:v>386902.99494001351</c:v>
                </c:pt>
                <c:pt idx="6">
                  <c:v>453974.10364421405</c:v>
                </c:pt>
                <c:pt idx="7">
                  <c:v>531611.2697011407</c:v>
                </c:pt>
                <c:pt idx="8">
                  <c:v>621941.26441991492</c:v>
                </c:pt>
                <c:pt idx="9">
                  <c:v>727546.38610747713</c:v>
                </c:pt>
                <c:pt idx="10">
                  <c:v>851541.42087056162</c:v>
                </c:pt>
                <c:pt idx="11">
                  <c:v>997668.23670491553</c:v>
                </c:pt>
                <c:pt idx="12">
                  <c:v>1170411.9297057297</c:v>
                </c:pt>
                <c:pt idx="13">
                  <c:v>1375142.8955269393</c:v>
                </c:pt>
                <c:pt idx="14">
                  <c:v>1618289.8964795219</c:v>
                </c:pt>
              </c:numCache>
            </c:numRef>
          </c:val>
          <c:extLst>
            <c:ext xmlns:c16="http://schemas.microsoft.com/office/drawing/2014/chart" uri="{C3380CC4-5D6E-409C-BE32-E72D297353CC}">
              <c16:uniqueId val="{00000000-C2EA-4D9E-951C-024833621356}"/>
            </c:ext>
          </c:extLst>
        </c:ser>
        <c:dLbls>
          <c:showLegendKey val="0"/>
          <c:showVal val="0"/>
          <c:showCatName val="0"/>
          <c:showSerName val="0"/>
          <c:showPercent val="0"/>
          <c:showBubbleSize val="0"/>
        </c:dLbls>
        <c:gapWidth val="150"/>
        <c:axId val="734973128"/>
        <c:axId val="734981328"/>
        <c:extLst>
          <c:ext xmlns:c15="http://schemas.microsoft.com/office/drawing/2012/chart" uri="{02D57815-91ED-43cb-92C2-25804820EDAC}">
            <c15:filteredBarSeries>
              <c15:ser>
                <c:idx val="0"/>
                <c:order val="0"/>
                <c:tx>
                  <c:strRef>
                    <c:extLst>
                      <c:ext uri="{02D57815-91ED-43cb-92C2-25804820EDAC}">
                        <c15:formulaRef>
                          <c15:sqref>[1]Sheet2!$C$6</c15:sqref>
                        </c15:formulaRef>
                      </c:ext>
                    </c:extLst>
                    <c:strCache>
                      <c:ptCount val="1"/>
                      <c:pt idx="0">
                        <c:v>YEAR</c:v>
                      </c:pt>
                    </c:strCache>
                  </c:strRef>
                </c:tx>
                <c:spPr>
                  <a:solidFill>
                    <a:schemeClr val="accent1"/>
                  </a:solidFill>
                  <a:ln>
                    <a:noFill/>
                  </a:ln>
                  <a:effectLst/>
                </c:spPr>
                <c:invertIfNegative val="0"/>
                <c:cat>
                  <c:numRef>
                    <c:extLst>
                      <c:ext uri="{02D57815-91ED-43cb-92C2-25804820EDAC}">
                        <c15:formulaRef>
                          <c15:sqref>[1]Sheet2!$D$6:$R$6</c15:sqref>
                        </c15:formulaRef>
                      </c:ext>
                    </c:extLst>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extLst>
                      <c:ext uri="{02D57815-91ED-43cb-92C2-25804820EDAC}">
                        <c15:formulaRef>
                          <c15:sqref>[1]Sheet2!$D$6:$R$6</c15:sqref>
                        </c15:formulaRef>
                      </c:ext>
                    </c:extLst>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val>
                <c:extLst>
                  <c:ext xmlns:c16="http://schemas.microsoft.com/office/drawing/2014/chart" uri="{C3380CC4-5D6E-409C-BE32-E72D297353CC}">
                    <c16:uniqueId val="{00000002-C2EA-4D9E-951C-024833621356}"/>
                  </c:ext>
                </c:extLst>
              </c15:ser>
            </c15:filteredBarSeries>
          </c:ext>
        </c:extLst>
      </c:barChart>
      <c:lineChart>
        <c:grouping val="standard"/>
        <c:varyColors val="0"/>
        <c:ser>
          <c:idx val="2"/>
          <c:order val="2"/>
          <c:tx>
            <c:strRef>
              <c:f>[1]Sheet2!$C$8</c:f>
              <c:strCache>
                <c:ptCount val="1"/>
                <c:pt idx="0">
                  <c:v>Total Assets</c:v>
                </c:pt>
              </c:strCache>
            </c:strRef>
          </c:tx>
          <c:spPr>
            <a:ln w="28575" cap="rnd">
              <a:solidFill>
                <a:schemeClr val="accent6"/>
              </a:solidFill>
              <a:round/>
            </a:ln>
            <a:effectLst/>
          </c:spPr>
          <c:marker>
            <c:symbol val="none"/>
          </c:marker>
          <c:val>
            <c:numRef>
              <c:f>[1]Sheet2!$D$8:$R$8</c:f>
              <c:numCache>
                <c:formatCode>General</c:formatCode>
                <c:ptCount val="15"/>
                <c:pt idx="0">
                  <c:v>13772922.323000001</c:v>
                </c:pt>
                <c:pt idx="1">
                  <c:v>15738122.446</c:v>
                </c:pt>
                <c:pt idx="2">
                  <c:v>17526373.837000001</c:v>
                </c:pt>
                <c:pt idx="3">
                  <c:v>19584904.969999999</c:v>
                </c:pt>
                <c:pt idx="4">
                  <c:v>23640630.274999995</c:v>
                </c:pt>
                <c:pt idx="5">
                  <c:v>28069901.760199688</c:v>
                </c:pt>
                <c:pt idx="6">
                  <c:v>32790431.87812208</c:v>
                </c:pt>
                <c:pt idx="7">
                  <c:v>38293694.078488834</c:v>
                </c:pt>
                <c:pt idx="8">
                  <c:v>44738628.883768357</c:v>
                </c:pt>
                <c:pt idx="9">
                  <c:v>52319287.126016743</c:v>
                </c:pt>
                <c:pt idx="10">
                  <c:v>61271328.768266544</c:v>
                </c:pt>
                <c:pt idx="11">
                  <c:v>71879986.790735856</c:v>
                </c:pt>
                <c:pt idx="12">
                  <c:v>84489835.768404782</c:v>
                </c:pt>
                <c:pt idx="13">
                  <c:v>99516756.07800287</c:v>
                </c:pt>
                <c:pt idx="14">
                  <c:v>117462555.53846817</c:v>
                </c:pt>
              </c:numCache>
            </c:numRef>
          </c:val>
          <c:smooth val="0"/>
          <c:extLst>
            <c:ext xmlns:c16="http://schemas.microsoft.com/office/drawing/2014/chart" uri="{C3380CC4-5D6E-409C-BE32-E72D297353CC}">
              <c16:uniqueId val="{00000001-C2EA-4D9E-951C-024833621356}"/>
            </c:ext>
          </c:extLst>
        </c:ser>
        <c:dLbls>
          <c:showLegendKey val="0"/>
          <c:showVal val="0"/>
          <c:showCatName val="0"/>
          <c:showSerName val="0"/>
          <c:showPercent val="0"/>
          <c:showBubbleSize val="0"/>
        </c:dLbls>
        <c:marker val="1"/>
        <c:smooth val="0"/>
        <c:axId val="799853376"/>
        <c:axId val="799850752"/>
      </c:lineChart>
      <c:catAx>
        <c:axId val="734973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1328"/>
        <c:crosses val="autoZero"/>
        <c:auto val="1"/>
        <c:lblAlgn val="ctr"/>
        <c:lblOffset val="100"/>
        <c:noMultiLvlLbl val="0"/>
      </c:catAx>
      <c:valAx>
        <c:axId val="73498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73128"/>
        <c:crosses val="autoZero"/>
        <c:crossBetween val="between"/>
      </c:valAx>
      <c:valAx>
        <c:axId val="799850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853376"/>
        <c:crosses val="max"/>
        <c:crossBetween val="between"/>
      </c:valAx>
      <c:catAx>
        <c:axId val="799853376"/>
        <c:scaling>
          <c:orientation val="minMax"/>
        </c:scaling>
        <c:delete val="1"/>
        <c:axPos val="b"/>
        <c:majorTickMark val="out"/>
        <c:minorTickMark val="none"/>
        <c:tickLblPos val="nextTo"/>
        <c:crossAx val="7998507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1</xdr:row>
      <xdr:rowOff>9525</xdr:rowOff>
    </xdr:from>
    <xdr:to>
      <xdr:col>13</xdr:col>
      <xdr:colOff>1</xdr:colOff>
      <xdr:row>4</xdr:row>
      <xdr:rowOff>0</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48325" y="85725"/>
          <a:ext cx="5543551"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5</xdr:row>
      <xdr:rowOff>161925</xdr:rowOff>
    </xdr:from>
    <xdr:to>
      <xdr:col>12</xdr:col>
      <xdr:colOff>495300</xdr:colOff>
      <xdr:row>22</xdr:row>
      <xdr:rowOff>36394</xdr:rowOff>
    </xdr:to>
    <xdr:pic>
      <xdr:nvPicPr>
        <xdr:cNvPr id="3" name="Picture 2"/>
        <xdr:cNvPicPr>
          <a:picLocks noChangeAspect="1"/>
        </xdr:cNvPicPr>
      </xdr:nvPicPr>
      <xdr:blipFill>
        <a:blip xmlns:r="http://schemas.openxmlformats.org/officeDocument/2006/relationships" r:embed="rId2"/>
        <a:stretch>
          <a:fillRect/>
        </a:stretch>
      </xdr:blipFill>
      <xdr:spPr>
        <a:xfrm>
          <a:off x="5943601" y="1114425"/>
          <a:ext cx="5133974" cy="33225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xdr:colOff>
      <xdr:row>1</xdr:row>
      <xdr:rowOff>38100</xdr:rowOff>
    </xdr:from>
    <xdr:to>
      <xdr:col>8</xdr:col>
      <xdr:colOff>152400</xdr:colOff>
      <xdr:row>5</xdr:row>
      <xdr:rowOff>38100</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0" y="133350"/>
          <a:ext cx="5248275"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2486025</xdr:colOff>
      <xdr:row>1</xdr:row>
      <xdr:rowOff>9524</xdr:rowOff>
    </xdr:from>
    <xdr:to>
      <xdr:col>8</xdr:col>
      <xdr:colOff>95251</xdr:colOff>
      <xdr:row>5</xdr:row>
      <xdr:rowOff>3739</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7475" y="200024"/>
          <a:ext cx="5543551" cy="756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571500</xdr:colOff>
      <xdr:row>1</xdr:row>
      <xdr:rowOff>38100</xdr:rowOff>
    </xdr:from>
    <xdr:to>
      <xdr:col>17</xdr:col>
      <xdr:colOff>762000</xdr:colOff>
      <xdr:row>5</xdr:row>
      <xdr:rowOff>22789</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53425" y="228600"/>
          <a:ext cx="7000875"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359833</xdr:colOff>
      <xdr:row>1</xdr:row>
      <xdr:rowOff>15875</xdr:rowOff>
    </xdr:from>
    <xdr:to>
      <xdr:col>18</xdr:col>
      <xdr:colOff>20108</xdr:colOff>
      <xdr:row>5</xdr:row>
      <xdr:rowOff>564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88666" y="396875"/>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142875</xdr:colOff>
      <xdr:row>1</xdr:row>
      <xdr:rowOff>19050</xdr:rowOff>
    </xdr:from>
    <xdr:to>
      <xdr:col>16</xdr:col>
      <xdr:colOff>295275</xdr:colOff>
      <xdr:row>5</xdr:row>
      <xdr:rowOff>51364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96300" y="209550"/>
          <a:ext cx="7086600" cy="7943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190501</xdr:colOff>
      <xdr:row>1</xdr:row>
      <xdr:rowOff>57150</xdr:rowOff>
    </xdr:from>
    <xdr:to>
      <xdr:col>8</xdr:col>
      <xdr:colOff>85726</xdr:colOff>
      <xdr:row>5</xdr:row>
      <xdr:rowOff>13264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52926" y="247650"/>
          <a:ext cx="4800600" cy="718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590550</xdr:colOff>
      <xdr:row>1</xdr:row>
      <xdr:rowOff>38100</xdr:rowOff>
    </xdr:from>
    <xdr:to>
      <xdr:col>16</xdr:col>
      <xdr:colOff>223308</xdr:colOff>
      <xdr:row>5</xdr:row>
      <xdr:rowOff>22789</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19750" y="228600"/>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285750</xdr:colOff>
      <xdr:row>1</xdr:row>
      <xdr:rowOff>38100</xdr:rowOff>
    </xdr:from>
    <xdr:to>
      <xdr:col>16</xdr:col>
      <xdr:colOff>775758</xdr:colOff>
      <xdr:row>5</xdr:row>
      <xdr:rowOff>22789</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57975" y="419100"/>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495300</xdr:colOff>
      <xdr:row>1</xdr:row>
      <xdr:rowOff>38100</xdr:rowOff>
    </xdr:from>
    <xdr:to>
      <xdr:col>16</xdr:col>
      <xdr:colOff>85725</xdr:colOff>
      <xdr:row>5</xdr:row>
      <xdr:rowOff>22789</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00950" y="228600"/>
          <a:ext cx="7048500"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457200</xdr:colOff>
      <xdr:row>1</xdr:row>
      <xdr:rowOff>28575</xdr:rowOff>
    </xdr:from>
    <xdr:to>
      <xdr:col>17</xdr:col>
      <xdr:colOff>61383</xdr:colOff>
      <xdr:row>5</xdr:row>
      <xdr:rowOff>13264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62850" y="219075"/>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161925</xdr:colOff>
      <xdr:row>1</xdr:row>
      <xdr:rowOff>28575</xdr:rowOff>
    </xdr:from>
    <xdr:to>
      <xdr:col>13</xdr:col>
      <xdr:colOff>85725</xdr:colOff>
      <xdr:row>5</xdr:row>
      <xdr:rowOff>13264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8175" y="219075"/>
          <a:ext cx="4972050" cy="708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7</xdr:col>
      <xdr:colOff>114300</xdr:colOff>
      <xdr:row>1</xdr:row>
      <xdr:rowOff>9525</xdr:rowOff>
    </xdr:from>
    <xdr:to>
      <xdr:col>18</xdr:col>
      <xdr:colOff>166158</xdr:colOff>
      <xdr:row>5</xdr:row>
      <xdr:rowOff>28575</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0" y="200025"/>
          <a:ext cx="7043208"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276225</xdr:colOff>
      <xdr:row>1</xdr:row>
      <xdr:rowOff>28575</xdr:rowOff>
    </xdr:from>
    <xdr:to>
      <xdr:col>17</xdr:col>
      <xdr:colOff>480483</xdr:colOff>
      <xdr:row>5</xdr:row>
      <xdr:rowOff>13264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62425" y="219075"/>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276225</xdr:colOff>
      <xdr:row>1</xdr:row>
      <xdr:rowOff>47625</xdr:rowOff>
    </xdr:from>
    <xdr:to>
      <xdr:col>12</xdr:col>
      <xdr:colOff>204258</xdr:colOff>
      <xdr:row>5</xdr:row>
      <xdr:rowOff>32314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6075" y="809625"/>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152400</xdr:colOff>
      <xdr:row>1</xdr:row>
      <xdr:rowOff>19050</xdr:rowOff>
    </xdr:from>
    <xdr:to>
      <xdr:col>15</xdr:col>
      <xdr:colOff>509058</xdr:colOff>
      <xdr:row>5</xdr:row>
      <xdr:rowOff>3739</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24450" y="209550"/>
          <a:ext cx="7043208" cy="746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14</xdr:row>
      <xdr:rowOff>152400</xdr:rowOff>
    </xdr:from>
    <xdr:to>
      <xdr:col>7</xdr:col>
      <xdr:colOff>904875</xdr:colOff>
      <xdr:row>29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600075</xdr:colOff>
      <xdr:row>23</xdr:row>
      <xdr:rowOff>76200</xdr:rowOff>
    </xdr:from>
    <xdr:to>
      <xdr:col>7</xdr:col>
      <xdr:colOff>771525</xdr:colOff>
      <xdr:row>23</xdr:row>
      <xdr:rowOff>95250</xdr:rowOff>
    </xdr:to>
    <xdr:cxnSp macro="">
      <xdr:nvCxnSpPr>
        <xdr:cNvPr id="4" name="Straight Connector 3"/>
        <xdr:cNvCxnSpPr/>
      </xdr:nvCxnSpPr>
      <xdr:spPr>
        <a:xfrm flipV="1">
          <a:off x="742950" y="4457700"/>
          <a:ext cx="3829050" cy="19050"/>
        </a:xfrm>
        <a:prstGeom prst="line">
          <a:avLst/>
        </a:prstGeom>
        <a:ln w="25400">
          <a:solidFill>
            <a:schemeClr val="tx1">
              <a:lumMod val="95000"/>
              <a:lumOff val="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447675</xdr:colOff>
      <xdr:row>1</xdr:row>
      <xdr:rowOff>57151</xdr:rowOff>
    </xdr:from>
    <xdr:to>
      <xdr:col>12</xdr:col>
      <xdr:colOff>95250</xdr:colOff>
      <xdr:row>4</xdr:row>
      <xdr:rowOff>171451</xdr:rowOff>
    </xdr:to>
    <xdr:pic>
      <xdr:nvPicPr>
        <xdr:cNvPr id="5" name="Picture 4" descr="icici_bank_logo_symbol - Retail Banker International"/>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24250" y="247651"/>
          <a:ext cx="543877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7</xdr:col>
      <xdr:colOff>447675</xdr:colOff>
      <xdr:row>1</xdr:row>
      <xdr:rowOff>47626</xdr:rowOff>
    </xdr:from>
    <xdr:to>
      <xdr:col>16</xdr:col>
      <xdr:colOff>561975</xdr:colOff>
      <xdr:row>4</xdr:row>
      <xdr:rowOff>182344</xdr:rowOff>
    </xdr:to>
    <xdr:pic>
      <xdr:nvPicPr>
        <xdr:cNvPr id="2" name="Picture 1" descr="icici_bank_logo_symbol - Retail Banker Internationa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91150" y="238126"/>
          <a:ext cx="5600700" cy="706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1</xdr:col>
      <xdr:colOff>1</xdr:colOff>
      <xdr:row>7</xdr:row>
      <xdr:rowOff>85725</xdr:rowOff>
    </xdr:from>
    <xdr:to>
      <xdr:col>8</xdr:col>
      <xdr:colOff>457200</xdr:colOff>
      <xdr:row>23</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xdr:colOff>
      <xdr:row>7</xdr:row>
      <xdr:rowOff>85725</xdr:rowOff>
    </xdr:from>
    <xdr:to>
      <xdr:col>18</xdr:col>
      <xdr:colOff>66675</xdr:colOff>
      <xdr:row>23</xdr:row>
      <xdr:rowOff>161925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238125</xdr:colOff>
      <xdr:row>1</xdr:row>
      <xdr:rowOff>66676</xdr:rowOff>
    </xdr:from>
    <xdr:to>
      <xdr:col>18</xdr:col>
      <xdr:colOff>142875</xdr:colOff>
      <xdr:row>5</xdr:row>
      <xdr:rowOff>28575</xdr:rowOff>
    </xdr:to>
    <xdr:pic>
      <xdr:nvPicPr>
        <xdr:cNvPr id="5" name="Picture 4" descr="icici_bank_logo_symbol - Retail Banker International"/>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67400" y="152401"/>
          <a:ext cx="6000750" cy="761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ll%20models/icici%20bank%20char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ow r="5">
          <cell r="C5">
            <v>2020</v>
          </cell>
          <cell r="D5">
            <v>2021</v>
          </cell>
          <cell r="E5">
            <v>2022</v>
          </cell>
          <cell r="F5">
            <v>2023</v>
          </cell>
          <cell r="G5">
            <v>2024</v>
          </cell>
          <cell r="H5">
            <v>2025</v>
          </cell>
          <cell r="I5">
            <v>2026</v>
          </cell>
          <cell r="J5">
            <v>2027</v>
          </cell>
          <cell r="K5">
            <v>2028</v>
          </cell>
          <cell r="L5">
            <v>2029</v>
          </cell>
          <cell r="M5">
            <v>2030</v>
          </cell>
          <cell r="N5">
            <v>2031</v>
          </cell>
          <cell r="O5">
            <v>2032</v>
          </cell>
          <cell r="P5">
            <v>2033</v>
          </cell>
          <cell r="Q5">
            <v>2034</v>
          </cell>
        </row>
        <row r="6">
          <cell r="B6" t="str">
            <v>Total Income</v>
          </cell>
          <cell r="C6">
            <v>1497860.9999999993</v>
          </cell>
          <cell r="D6">
            <v>1613364.7999999996</v>
          </cell>
          <cell r="E6">
            <v>1575363.2</v>
          </cell>
          <cell r="F6">
            <v>1861787.9999999995</v>
          </cell>
          <cell r="G6">
            <v>2360377.1999999997</v>
          </cell>
          <cell r="H6">
            <v>2768702.9719339074</v>
          </cell>
          <cell r="I6">
            <v>3242148.501308708</v>
          </cell>
          <cell r="J6">
            <v>3793857.7313623894</v>
          </cell>
          <cell r="K6">
            <v>4440035.5020245984</v>
          </cell>
          <cell r="L6">
            <v>5200488.8929056376</v>
          </cell>
          <cell r="M6">
            <v>6099288.4389730319</v>
          </cell>
          <cell r="N6">
            <v>7165580.9980989909</v>
          </cell>
          <cell r="O6">
            <v>8434589.4642331339</v>
          </cell>
          <cell r="P6">
            <v>9948839.7233990394</v>
          </cell>
          <cell r="Q6">
            <v>11759662.534830462</v>
          </cell>
        </row>
        <row r="7">
          <cell r="B7" t="str">
            <v>Net Interest Margin</v>
          </cell>
          <cell r="C7">
            <v>3.2822473502597385E-2</v>
          </cell>
          <cell r="D7">
            <v>3.4402325173013823E-2</v>
          </cell>
          <cell r="E7">
            <v>3.0442760947710572E-2</v>
          </cell>
          <cell r="F7">
            <v>3.1230119417832419E-2</v>
          </cell>
          <cell r="G7">
            <v>2.8558658764439387E-2</v>
          </cell>
          <cell r="H7">
            <v>3.1283949126569024E-2</v>
          </cell>
          <cell r="I7">
            <v>3.13596973835015E-2</v>
          </cell>
          <cell r="J7">
            <v>3.1422437728789117E-2</v>
          </cell>
          <cell r="K7">
            <v>3.1476748891099596E-2</v>
          </cell>
          <cell r="L7">
            <v>3.1525969570825249E-2</v>
          </cell>
          <cell r="M7">
            <v>3.1572427150994287E-2</v>
          </cell>
          <cell r="N7">
            <v>3.1617644909119474E-2</v>
          </cell>
          <cell r="O7">
            <v>3.1662527494450296E-2</v>
          </cell>
          <cell r="P7">
            <v>3.1707523294458292E-2</v>
          </cell>
          <cell r="Q7">
            <v>3.1752762177227209E-2</v>
          </cell>
        </row>
      </sheetData>
      <sheetData sheetId="1">
        <row r="6">
          <cell r="C6" t="str">
            <v>YEAR</v>
          </cell>
          <cell r="D6">
            <v>2020</v>
          </cell>
          <cell r="E6">
            <v>2021</v>
          </cell>
          <cell r="F6">
            <v>2022</v>
          </cell>
          <cell r="G6">
            <v>2023</v>
          </cell>
          <cell r="H6">
            <v>2024</v>
          </cell>
          <cell r="I6">
            <v>2025</v>
          </cell>
          <cell r="J6">
            <v>2026</v>
          </cell>
          <cell r="K6">
            <v>2027</v>
          </cell>
          <cell r="L6">
            <v>2028</v>
          </cell>
          <cell r="M6">
            <v>2029</v>
          </cell>
          <cell r="N6">
            <v>2030</v>
          </cell>
          <cell r="O6">
            <v>2031</v>
          </cell>
          <cell r="P6">
            <v>2032</v>
          </cell>
          <cell r="Q6">
            <v>2033</v>
          </cell>
          <cell r="R6">
            <v>2034</v>
          </cell>
        </row>
        <row r="7">
          <cell r="C7" t="str">
            <v>Net Income</v>
          </cell>
          <cell r="D7">
            <v>95663.046999999147</v>
          </cell>
          <cell r="E7">
            <v>183843.20899999945</v>
          </cell>
          <cell r="F7">
            <v>251100.99199999997</v>
          </cell>
          <cell r="G7">
            <v>340366.3979999997</v>
          </cell>
          <cell r="H7">
            <v>442563.66299999959</v>
          </cell>
          <cell r="I7">
            <v>386902.99494001351</v>
          </cell>
          <cell r="J7">
            <v>453974.10364421405</v>
          </cell>
          <cell r="K7">
            <v>531611.2697011407</v>
          </cell>
          <cell r="L7">
            <v>621941.26441991492</v>
          </cell>
          <cell r="M7">
            <v>727546.38610747713</v>
          </cell>
          <cell r="N7">
            <v>851541.42087056162</v>
          </cell>
          <cell r="O7">
            <v>997668.23670491553</v>
          </cell>
          <cell r="P7">
            <v>1170411.9297057297</v>
          </cell>
          <cell r="Q7">
            <v>1375142.8955269393</v>
          </cell>
          <cell r="R7">
            <v>1618289.8964795219</v>
          </cell>
        </row>
        <row r="8">
          <cell r="C8" t="str">
            <v>Total Assets</v>
          </cell>
          <cell r="D8">
            <v>13772922.323000001</v>
          </cell>
          <cell r="E8">
            <v>15738122.446</v>
          </cell>
          <cell r="F8">
            <v>17526373.837000001</v>
          </cell>
          <cell r="G8">
            <v>19584904.969999999</v>
          </cell>
          <cell r="H8">
            <v>23640630.274999995</v>
          </cell>
          <cell r="I8">
            <v>28069901.760199688</v>
          </cell>
          <cell r="J8">
            <v>32790431.87812208</v>
          </cell>
          <cell r="K8">
            <v>38293694.078488834</v>
          </cell>
          <cell r="L8">
            <v>44738628.883768357</v>
          </cell>
          <cell r="M8">
            <v>52319287.126016743</v>
          </cell>
          <cell r="N8">
            <v>61271328.768266544</v>
          </cell>
          <cell r="O8">
            <v>71879986.790735856</v>
          </cell>
          <cell r="P8">
            <v>84489835.768404782</v>
          </cell>
          <cell r="Q8">
            <v>99516756.07800287</v>
          </cell>
          <cell r="R8">
            <v>117462555.53846817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94"/>
  <sheetViews>
    <sheetView showGridLines="0" topLeftCell="A24" workbookViewId="0">
      <selection activeCell="C13" sqref="C13:C22"/>
    </sheetView>
  </sheetViews>
  <sheetFormatPr defaultRowHeight="15"/>
  <cols>
    <col min="1" max="1" width="1.85546875" customWidth="1"/>
    <col min="2" max="2" width="2.7109375" customWidth="1"/>
    <col min="3" max="3" width="48.140625" customWidth="1"/>
    <col min="4" max="4" width="19.28515625" customWidth="1"/>
    <col min="5" max="5" width="13.7109375" customWidth="1"/>
    <col min="6" max="6" width="6.5703125" customWidth="1"/>
    <col min="12" max="12" width="28.42578125" customWidth="1"/>
  </cols>
  <sheetData>
    <row r="1" spans="3:15" ht="6" customHeight="1">
      <c r="C1" s="30"/>
      <c r="D1" s="30"/>
      <c r="E1" s="30"/>
      <c r="F1" s="30"/>
      <c r="G1" s="30"/>
      <c r="H1" s="30"/>
      <c r="I1" s="30"/>
      <c r="J1" s="30"/>
      <c r="K1" s="30"/>
      <c r="L1" s="30"/>
      <c r="M1" s="30"/>
      <c r="N1" s="30"/>
      <c r="O1" s="30"/>
    </row>
    <row r="2" spans="3:15">
      <c r="C2" s="170" t="s">
        <v>260</v>
      </c>
    </row>
    <row r="3" spans="3:15">
      <c r="C3" s="171" t="s">
        <v>262</v>
      </c>
    </row>
    <row r="4" spans="3:15">
      <c r="C4" s="25" t="s">
        <v>261</v>
      </c>
      <c r="D4" s="29"/>
      <c r="E4" s="29"/>
      <c r="F4" s="29"/>
      <c r="G4" s="29"/>
      <c r="H4" s="29"/>
      <c r="I4" s="29"/>
      <c r="J4" s="29"/>
      <c r="K4" s="29"/>
      <c r="L4" s="29"/>
      <c r="M4" s="29"/>
      <c r="N4" s="29"/>
      <c r="O4" s="29"/>
    </row>
    <row r="5" spans="3:15">
      <c r="C5" s="33"/>
      <c r="D5" s="26"/>
      <c r="E5" s="26"/>
      <c r="F5" s="26"/>
      <c r="G5" s="26"/>
      <c r="H5" s="26"/>
      <c r="I5" s="26"/>
      <c r="J5" s="26"/>
      <c r="K5" s="26"/>
      <c r="L5" s="26"/>
      <c r="M5" s="26"/>
      <c r="N5" s="26"/>
      <c r="O5" s="26"/>
    </row>
    <row r="6" spans="3:15" ht="15.75" thickBot="1">
      <c r="C6" s="33"/>
      <c r="D6" s="26"/>
      <c r="E6" s="26"/>
      <c r="F6" s="26"/>
      <c r="G6" s="26"/>
      <c r="H6" s="26"/>
      <c r="I6" s="26"/>
      <c r="J6" s="26"/>
      <c r="K6" s="26"/>
      <c r="L6" s="26"/>
      <c r="M6" s="26"/>
      <c r="N6" s="26"/>
      <c r="O6" s="26"/>
    </row>
    <row r="7" spans="3:15" ht="17.25" thickBot="1">
      <c r="C7" s="179" t="s">
        <v>172</v>
      </c>
      <c r="D7" s="295" t="s">
        <v>275</v>
      </c>
      <c r="E7" s="296"/>
      <c r="F7" s="297"/>
      <c r="G7" s="26"/>
      <c r="H7" s="26"/>
      <c r="I7" s="26"/>
      <c r="J7" s="26"/>
      <c r="K7" s="26"/>
      <c r="L7" s="26"/>
      <c r="M7" s="26"/>
      <c r="N7" s="26"/>
      <c r="O7" s="26"/>
    </row>
    <row r="8" spans="3:15" ht="17.25" thickBot="1">
      <c r="C8" s="180" t="s">
        <v>267</v>
      </c>
      <c r="D8" s="295" t="s">
        <v>276</v>
      </c>
      <c r="E8" s="296"/>
      <c r="F8" s="297"/>
      <c r="G8" s="26"/>
      <c r="H8" s="26"/>
      <c r="I8" s="26"/>
      <c r="J8" s="26"/>
      <c r="K8" s="26"/>
      <c r="L8" s="26"/>
      <c r="M8" s="26"/>
      <c r="N8" s="26"/>
      <c r="O8" s="26"/>
    </row>
    <row r="9" spans="3:15" ht="17.25" thickBot="1">
      <c r="C9" s="180" t="s">
        <v>268</v>
      </c>
      <c r="D9" s="295" t="s">
        <v>269</v>
      </c>
      <c r="E9" s="296"/>
      <c r="F9" s="297"/>
      <c r="G9" s="26"/>
      <c r="H9" s="26"/>
      <c r="I9" s="26"/>
      <c r="J9" s="26"/>
      <c r="K9" s="26"/>
      <c r="L9" s="26"/>
      <c r="M9" s="26"/>
      <c r="N9" s="26"/>
      <c r="O9" s="26"/>
    </row>
    <row r="10" spans="3:15" ht="17.25" thickBot="1">
      <c r="C10" s="180" t="s">
        <v>270</v>
      </c>
      <c r="D10" s="295" t="s">
        <v>271</v>
      </c>
      <c r="E10" s="296"/>
      <c r="F10" s="297"/>
      <c r="G10" s="26"/>
      <c r="H10" s="26"/>
      <c r="I10" s="26"/>
      <c r="J10" s="26"/>
      <c r="K10" s="26"/>
      <c r="L10" s="26"/>
      <c r="M10" s="26"/>
      <c r="N10" s="26"/>
      <c r="O10" s="26"/>
    </row>
    <row r="11" spans="3:15" ht="17.25" thickBot="1">
      <c r="C11" s="180" t="s">
        <v>272</v>
      </c>
      <c r="D11" s="295" t="s">
        <v>277</v>
      </c>
      <c r="E11" s="296"/>
      <c r="F11" s="297"/>
      <c r="G11" s="26"/>
      <c r="H11" s="26"/>
      <c r="I11" s="26"/>
      <c r="J11" s="26"/>
      <c r="K11" s="26"/>
      <c r="L11" s="26"/>
      <c r="M11" s="26"/>
      <c r="N11" s="26"/>
      <c r="O11" s="26"/>
    </row>
    <row r="12" spans="3:15" ht="17.25" thickBot="1">
      <c r="C12" s="181" t="s">
        <v>273</v>
      </c>
      <c r="D12" s="298" t="s">
        <v>278</v>
      </c>
      <c r="E12" s="299"/>
      <c r="F12" s="300"/>
      <c r="G12" s="26"/>
      <c r="H12" s="26"/>
      <c r="I12" s="26"/>
      <c r="J12" s="26"/>
      <c r="K12" s="26"/>
      <c r="L12" s="26"/>
      <c r="M12" s="26"/>
      <c r="N12" s="26"/>
      <c r="O12" s="26"/>
    </row>
    <row r="13" spans="3:15" ht="17.25" customHeight="1">
      <c r="C13" s="283" t="s">
        <v>274</v>
      </c>
      <c r="D13" s="286" t="s">
        <v>279</v>
      </c>
      <c r="E13" s="287"/>
      <c r="F13" s="288"/>
      <c r="G13" s="26"/>
      <c r="H13" s="26"/>
      <c r="I13" s="26"/>
      <c r="J13" s="26"/>
      <c r="K13" s="26"/>
      <c r="L13" s="26"/>
      <c r="M13" s="26"/>
      <c r="N13" s="26"/>
      <c r="O13" s="26"/>
    </row>
    <row r="14" spans="3:15" ht="15" customHeight="1">
      <c r="C14" s="284"/>
      <c r="D14" s="289"/>
      <c r="E14" s="290"/>
      <c r="F14" s="291"/>
      <c r="G14" s="26"/>
      <c r="H14" s="26"/>
      <c r="I14" s="26"/>
      <c r="J14" s="26"/>
      <c r="K14" s="26"/>
      <c r="L14" s="26"/>
      <c r="M14" s="26"/>
      <c r="N14" s="26"/>
      <c r="O14" s="26"/>
    </row>
    <row r="15" spans="3:15" ht="15" customHeight="1">
      <c r="C15" s="284"/>
      <c r="D15" s="289"/>
      <c r="E15" s="290"/>
      <c r="F15" s="291"/>
      <c r="G15" s="26"/>
      <c r="H15" s="26"/>
      <c r="I15" s="26"/>
      <c r="J15" s="26"/>
      <c r="K15" s="26"/>
      <c r="L15" s="26"/>
      <c r="M15" s="26"/>
      <c r="N15" s="26"/>
      <c r="O15" s="26"/>
    </row>
    <row r="16" spans="3:15" ht="15" customHeight="1">
      <c r="C16" s="284"/>
      <c r="D16" s="289"/>
      <c r="E16" s="290"/>
      <c r="F16" s="291"/>
      <c r="G16" s="26"/>
      <c r="H16" s="26"/>
      <c r="I16" s="26"/>
      <c r="J16" s="26"/>
      <c r="K16" s="26"/>
      <c r="L16" s="26"/>
      <c r="M16" s="26"/>
      <c r="N16" s="26"/>
      <c r="O16" s="26"/>
    </row>
    <row r="17" spans="3:15" ht="15" customHeight="1">
      <c r="C17" s="284"/>
      <c r="D17" s="289"/>
      <c r="E17" s="290"/>
      <c r="F17" s="291"/>
      <c r="G17" s="26"/>
      <c r="H17" s="26"/>
      <c r="I17" s="26"/>
      <c r="J17" s="26"/>
      <c r="K17" s="26"/>
      <c r="L17" s="26"/>
      <c r="M17" s="26"/>
      <c r="N17" s="26"/>
      <c r="O17" s="26"/>
    </row>
    <row r="18" spans="3:15" ht="15" customHeight="1">
      <c r="C18" s="284"/>
      <c r="D18" s="289"/>
      <c r="E18" s="290"/>
      <c r="F18" s="291"/>
      <c r="G18" s="26"/>
      <c r="H18" s="26"/>
      <c r="I18" s="26"/>
      <c r="J18" s="26"/>
      <c r="K18" s="26"/>
      <c r="L18" s="26"/>
      <c r="M18" s="26"/>
      <c r="N18" s="26"/>
      <c r="O18" s="26"/>
    </row>
    <row r="19" spans="3:15" ht="15" customHeight="1">
      <c r="C19" s="284"/>
      <c r="D19" s="289"/>
      <c r="E19" s="290"/>
      <c r="F19" s="291"/>
      <c r="G19" s="26"/>
      <c r="H19" s="26"/>
      <c r="I19" s="26"/>
      <c r="J19" s="26"/>
      <c r="K19" s="26"/>
      <c r="L19" s="26"/>
      <c r="M19" s="26"/>
      <c r="N19" s="26"/>
      <c r="O19" s="26"/>
    </row>
    <row r="20" spans="3:15" ht="15" customHeight="1">
      <c r="C20" s="284"/>
      <c r="D20" s="289"/>
      <c r="E20" s="290"/>
      <c r="F20" s="291"/>
      <c r="G20" s="26"/>
      <c r="H20" s="26"/>
      <c r="I20" s="26"/>
      <c r="J20" s="26"/>
      <c r="K20" s="26"/>
      <c r="L20" s="26"/>
      <c r="M20" s="26"/>
      <c r="N20" s="26"/>
      <c r="O20" s="26"/>
    </row>
    <row r="21" spans="3:15" ht="15" customHeight="1">
      <c r="C21" s="284"/>
      <c r="D21" s="289"/>
      <c r="E21" s="290"/>
      <c r="F21" s="291"/>
      <c r="G21" s="26"/>
      <c r="H21" s="26"/>
      <c r="I21" s="26"/>
      <c r="J21" s="26"/>
      <c r="K21" s="26"/>
      <c r="L21" s="26"/>
      <c r="M21" s="26"/>
      <c r="N21" s="26"/>
      <c r="O21" s="26"/>
    </row>
    <row r="22" spans="3:15" ht="15" customHeight="1" thickBot="1">
      <c r="C22" s="285"/>
      <c r="D22" s="292"/>
      <c r="E22" s="293"/>
      <c r="F22" s="294"/>
      <c r="G22" s="26"/>
      <c r="H22" s="26"/>
      <c r="I22" s="26"/>
      <c r="J22" s="26"/>
      <c r="K22" s="26"/>
      <c r="L22" s="26"/>
      <c r="M22" s="26"/>
      <c r="N22" s="26"/>
      <c r="O22" s="26"/>
    </row>
    <row r="23" spans="3:15" ht="15.75" thickBot="1">
      <c r="C23" s="33"/>
      <c r="D23" s="26"/>
      <c r="E23" s="26"/>
      <c r="F23" s="26"/>
      <c r="G23" s="26"/>
      <c r="H23" s="26"/>
      <c r="I23" s="26"/>
    </row>
    <row r="24" spans="3:15" ht="15.75" thickBot="1">
      <c r="C24" s="301" t="s">
        <v>63</v>
      </c>
      <c r="D24" s="302"/>
      <c r="E24" s="303"/>
    </row>
    <row r="25" spans="3:15" ht="15.75" thickBot="1">
      <c r="C25" s="182" t="s">
        <v>51</v>
      </c>
      <c r="D25" s="129"/>
      <c r="E25" s="183">
        <f>IF(C25="Best Case",1,IF(C25="Base Case",2,3))</f>
        <v>2</v>
      </c>
    </row>
    <row r="26" spans="3:15" ht="15.75" thickBot="1"/>
    <row r="27" spans="3:15">
      <c r="C27" s="304" t="s">
        <v>89</v>
      </c>
      <c r="D27" s="305"/>
      <c r="E27" s="306"/>
    </row>
    <row r="28" spans="3:15">
      <c r="C28" s="70"/>
      <c r="D28" s="26"/>
      <c r="E28" s="71"/>
    </row>
    <row r="29" spans="3:15">
      <c r="C29" s="246" t="s">
        <v>90</v>
      </c>
      <c r="D29" s="212"/>
      <c r="E29" s="247">
        <v>45837</v>
      </c>
    </row>
    <row r="30" spans="3:15">
      <c r="C30" s="246" t="s">
        <v>91</v>
      </c>
      <c r="D30" s="212"/>
      <c r="E30" s="248">
        <v>360</v>
      </c>
    </row>
    <row r="31" spans="3:15">
      <c r="C31" s="246" t="s">
        <v>92</v>
      </c>
      <c r="D31" s="212"/>
      <c r="E31" s="249">
        <v>6.3100000000000003E-2</v>
      </c>
    </row>
    <row r="32" spans="3:15">
      <c r="C32" s="246" t="s">
        <v>93</v>
      </c>
      <c r="D32" s="212"/>
      <c r="E32" s="250">
        <v>5.0000000000000001E-3</v>
      </c>
    </row>
    <row r="33" spans="3:12">
      <c r="C33" s="246" t="s">
        <v>94</v>
      </c>
      <c r="D33" s="212"/>
      <c r="E33" s="250">
        <v>5.0000000000000001E-3</v>
      </c>
    </row>
    <row r="34" spans="3:12">
      <c r="C34" s="246" t="s">
        <v>205</v>
      </c>
      <c r="D34" s="212"/>
      <c r="E34" s="251">
        <v>7135.5</v>
      </c>
    </row>
    <row r="35" spans="3:12">
      <c r="C35" s="246" t="s">
        <v>95</v>
      </c>
      <c r="D35" s="212"/>
      <c r="E35" s="252">
        <v>1462</v>
      </c>
    </row>
    <row r="36" spans="3:12">
      <c r="C36" s="246" t="s">
        <v>96</v>
      </c>
      <c r="D36" s="212"/>
      <c r="E36" s="253">
        <v>0.05</v>
      </c>
    </row>
    <row r="37" spans="3:12">
      <c r="C37" s="246" t="s">
        <v>97</v>
      </c>
      <c r="D37" s="212"/>
      <c r="E37" s="254">
        <f>'Cost Buildup'!H31</f>
        <v>0.23165989149627841</v>
      </c>
    </row>
    <row r="38" spans="3:12">
      <c r="C38" s="246" t="s">
        <v>206</v>
      </c>
      <c r="D38" s="212"/>
      <c r="E38" s="255">
        <f>E35*E34</f>
        <v>10432101</v>
      </c>
    </row>
    <row r="39" spans="3:12" ht="15.75" thickBot="1">
      <c r="C39" s="79"/>
      <c r="D39" s="121"/>
      <c r="E39" s="80"/>
    </row>
    <row r="43" spans="3:12">
      <c r="C43" s="85" t="s">
        <v>310</v>
      </c>
      <c r="D43" s="85" t="s">
        <v>311</v>
      </c>
      <c r="E43" s="85" t="s">
        <v>312</v>
      </c>
      <c r="F43" s="280" t="s">
        <v>313</v>
      </c>
      <c r="G43" s="280"/>
      <c r="H43" s="280"/>
      <c r="I43" s="280"/>
      <c r="J43" s="280"/>
      <c r="K43" s="280"/>
      <c r="L43" s="280"/>
    </row>
    <row r="44" spans="3:12" ht="15" customHeight="1">
      <c r="C44" s="279" t="s">
        <v>330</v>
      </c>
      <c r="D44" s="275" t="s">
        <v>325</v>
      </c>
      <c r="E44" s="264" t="s">
        <v>328</v>
      </c>
      <c r="F44" s="276" t="s">
        <v>329</v>
      </c>
      <c r="G44" s="276"/>
      <c r="H44" s="276"/>
      <c r="I44" s="276"/>
      <c r="J44" s="276"/>
      <c r="K44" s="276"/>
      <c r="L44" s="277"/>
    </row>
    <row r="45" spans="3:12">
      <c r="C45" s="279"/>
      <c r="D45" s="275"/>
      <c r="E45" s="264"/>
      <c r="F45" s="276"/>
      <c r="G45" s="276"/>
      <c r="H45" s="276"/>
      <c r="I45" s="276"/>
      <c r="J45" s="276"/>
      <c r="K45" s="276"/>
      <c r="L45" s="277"/>
    </row>
    <row r="46" spans="3:12">
      <c r="C46" s="279"/>
      <c r="D46" s="275"/>
      <c r="E46" s="264"/>
      <c r="F46" s="276"/>
      <c r="G46" s="276"/>
      <c r="H46" s="276"/>
      <c r="I46" s="276"/>
      <c r="J46" s="276"/>
      <c r="K46" s="276"/>
      <c r="L46" s="277"/>
    </row>
    <row r="47" spans="3:12" ht="15" customHeight="1">
      <c r="C47" s="279" t="s">
        <v>323</v>
      </c>
      <c r="D47" s="275" t="s">
        <v>325</v>
      </c>
      <c r="E47" s="264" t="s">
        <v>331</v>
      </c>
      <c r="F47" s="281" t="s">
        <v>332</v>
      </c>
      <c r="G47" s="281"/>
      <c r="H47" s="281"/>
      <c r="I47" s="281"/>
      <c r="J47" s="281"/>
      <c r="K47" s="281"/>
      <c r="L47" s="282"/>
    </row>
    <row r="48" spans="3:12">
      <c r="C48" s="279"/>
      <c r="D48" s="275"/>
      <c r="E48" s="264"/>
      <c r="F48" s="281"/>
      <c r="G48" s="281"/>
      <c r="H48" s="281"/>
      <c r="I48" s="281"/>
      <c r="J48" s="281"/>
      <c r="K48" s="281"/>
      <c r="L48" s="282"/>
    </row>
    <row r="49" spans="3:12">
      <c r="C49" s="279"/>
      <c r="D49" s="275"/>
      <c r="E49" s="264"/>
      <c r="F49" s="281"/>
      <c r="G49" s="281"/>
      <c r="H49" s="281"/>
      <c r="I49" s="281"/>
      <c r="J49" s="281"/>
      <c r="K49" s="281"/>
      <c r="L49" s="282"/>
    </row>
    <row r="50" spans="3:12">
      <c r="C50" s="279" t="s">
        <v>54</v>
      </c>
      <c r="D50" s="275" t="s">
        <v>325</v>
      </c>
      <c r="E50" s="264" t="s">
        <v>333</v>
      </c>
      <c r="F50" s="276" t="s">
        <v>334</v>
      </c>
      <c r="G50" s="276"/>
      <c r="H50" s="276"/>
      <c r="I50" s="276"/>
      <c r="J50" s="276"/>
      <c r="K50" s="276"/>
      <c r="L50" s="277"/>
    </row>
    <row r="51" spans="3:12">
      <c r="C51" s="279"/>
      <c r="D51" s="275"/>
      <c r="E51" s="264"/>
      <c r="F51" s="276"/>
      <c r="G51" s="276"/>
      <c r="H51" s="276"/>
      <c r="I51" s="276"/>
      <c r="J51" s="276"/>
      <c r="K51" s="276"/>
      <c r="L51" s="277"/>
    </row>
    <row r="52" spans="3:12">
      <c r="C52" s="279"/>
      <c r="D52" s="275"/>
      <c r="E52" s="264"/>
      <c r="F52" s="276"/>
      <c r="G52" s="276"/>
      <c r="H52" s="276"/>
      <c r="I52" s="276"/>
      <c r="J52" s="276"/>
      <c r="K52" s="276"/>
      <c r="L52" s="277"/>
    </row>
    <row r="53" spans="3:12">
      <c r="C53" s="279" t="s">
        <v>55</v>
      </c>
      <c r="D53" s="275" t="s">
        <v>325</v>
      </c>
      <c r="E53" s="264" t="s">
        <v>335</v>
      </c>
      <c r="F53" s="281" t="s">
        <v>336</v>
      </c>
      <c r="G53" s="281"/>
      <c r="H53" s="281"/>
      <c r="I53" s="281"/>
      <c r="J53" s="281"/>
      <c r="K53" s="281"/>
      <c r="L53" s="282"/>
    </row>
    <row r="54" spans="3:12">
      <c r="C54" s="279"/>
      <c r="D54" s="275"/>
      <c r="E54" s="264"/>
      <c r="F54" s="281"/>
      <c r="G54" s="281"/>
      <c r="H54" s="281"/>
      <c r="I54" s="281"/>
      <c r="J54" s="281"/>
      <c r="K54" s="281"/>
      <c r="L54" s="282"/>
    </row>
    <row r="55" spans="3:12">
      <c r="C55" s="279"/>
      <c r="D55" s="275"/>
      <c r="E55" s="264"/>
      <c r="F55" s="281"/>
      <c r="G55" s="281"/>
      <c r="H55" s="281"/>
      <c r="I55" s="281"/>
      <c r="J55" s="281"/>
      <c r="K55" s="281"/>
      <c r="L55" s="282"/>
    </row>
    <row r="56" spans="3:12">
      <c r="C56" s="279" t="s">
        <v>56</v>
      </c>
      <c r="D56" s="275" t="s">
        <v>325</v>
      </c>
      <c r="E56" s="264" t="s">
        <v>337</v>
      </c>
      <c r="F56" s="276" t="s">
        <v>338</v>
      </c>
      <c r="G56" s="276"/>
      <c r="H56" s="276"/>
      <c r="I56" s="276"/>
      <c r="J56" s="276"/>
      <c r="K56" s="276"/>
      <c r="L56" s="277"/>
    </row>
    <row r="57" spans="3:12">
      <c r="C57" s="279"/>
      <c r="D57" s="275"/>
      <c r="E57" s="264"/>
      <c r="F57" s="276"/>
      <c r="G57" s="276"/>
      <c r="H57" s="276"/>
      <c r="I57" s="276"/>
      <c r="J57" s="276"/>
      <c r="K57" s="276"/>
      <c r="L57" s="277"/>
    </row>
    <row r="58" spans="3:12">
      <c r="C58" s="279"/>
      <c r="D58" s="275"/>
      <c r="E58" s="264"/>
      <c r="F58" s="276"/>
      <c r="G58" s="276"/>
      <c r="H58" s="276"/>
      <c r="I58" s="276"/>
      <c r="J58" s="276"/>
      <c r="K58" s="276"/>
      <c r="L58" s="277"/>
    </row>
    <row r="59" spans="3:12">
      <c r="C59" s="279" t="s">
        <v>57</v>
      </c>
      <c r="D59" s="275" t="s">
        <v>325</v>
      </c>
      <c r="E59" s="264" t="s">
        <v>339</v>
      </c>
      <c r="F59" s="276" t="s">
        <v>340</v>
      </c>
      <c r="G59" s="276"/>
      <c r="H59" s="276"/>
      <c r="I59" s="276"/>
      <c r="J59" s="276"/>
      <c r="K59" s="276"/>
      <c r="L59" s="277"/>
    </row>
    <row r="60" spans="3:12">
      <c r="C60" s="279"/>
      <c r="D60" s="275"/>
      <c r="E60" s="264"/>
      <c r="F60" s="276"/>
      <c r="G60" s="276"/>
      <c r="H60" s="276"/>
      <c r="I60" s="276"/>
      <c r="J60" s="276"/>
      <c r="K60" s="276"/>
      <c r="L60" s="277"/>
    </row>
    <row r="61" spans="3:12">
      <c r="C61" s="279"/>
      <c r="D61" s="275"/>
      <c r="E61" s="264"/>
      <c r="F61" s="276"/>
      <c r="G61" s="276"/>
      <c r="H61" s="276"/>
      <c r="I61" s="276"/>
      <c r="J61" s="276"/>
      <c r="K61" s="276"/>
      <c r="L61" s="277"/>
    </row>
    <row r="62" spans="3:12">
      <c r="C62" s="279" t="s">
        <v>59</v>
      </c>
      <c r="D62" s="275" t="s">
        <v>325</v>
      </c>
      <c r="E62" s="264" t="s">
        <v>341</v>
      </c>
      <c r="F62" s="281" t="s">
        <v>343</v>
      </c>
      <c r="G62" s="281"/>
      <c r="H62" s="281"/>
      <c r="I62" s="281"/>
      <c r="J62" s="281"/>
      <c r="K62" s="281"/>
      <c r="L62" s="282"/>
    </row>
    <row r="63" spans="3:12">
      <c r="C63" s="279"/>
      <c r="D63" s="275"/>
      <c r="E63" s="264"/>
      <c r="F63" s="281"/>
      <c r="G63" s="281"/>
      <c r="H63" s="281"/>
      <c r="I63" s="281"/>
      <c r="J63" s="281"/>
      <c r="K63" s="281"/>
      <c r="L63" s="282"/>
    </row>
    <row r="64" spans="3:12">
      <c r="C64" s="279"/>
      <c r="D64" s="275"/>
      <c r="E64" s="264"/>
      <c r="F64" s="281"/>
      <c r="G64" s="281"/>
      <c r="H64" s="281"/>
      <c r="I64" s="281"/>
      <c r="J64" s="281"/>
      <c r="K64" s="281"/>
      <c r="L64" s="282"/>
    </row>
    <row r="65" spans="3:12">
      <c r="C65" s="279" t="s">
        <v>58</v>
      </c>
      <c r="D65" s="275" t="s">
        <v>325</v>
      </c>
      <c r="E65" s="264" t="s">
        <v>342</v>
      </c>
      <c r="F65" s="281" t="s">
        <v>344</v>
      </c>
      <c r="G65" s="281"/>
      <c r="H65" s="281"/>
      <c r="I65" s="281"/>
      <c r="J65" s="281"/>
      <c r="K65" s="281"/>
      <c r="L65" s="282"/>
    </row>
    <row r="66" spans="3:12">
      <c r="C66" s="279"/>
      <c r="D66" s="275"/>
      <c r="E66" s="264"/>
      <c r="F66" s="281"/>
      <c r="G66" s="281"/>
      <c r="H66" s="281"/>
      <c r="I66" s="281"/>
      <c r="J66" s="281"/>
      <c r="K66" s="281"/>
      <c r="L66" s="282"/>
    </row>
    <row r="67" spans="3:12">
      <c r="C67" s="279"/>
      <c r="D67" s="275"/>
      <c r="E67" s="264"/>
      <c r="F67" s="281"/>
      <c r="G67" s="281"/>
      <c r="H67" s="281"/>
      <c r="I67" s="281"/>
      <c r="J67" s="281"/>
      <c r="K67" s="281"/>
      <c r="L67" s="282"/>
    </row>
    <row r="68" spans="3:12">
      <c r="C68" s="278" t="s">
        <v>14</v>
      </c>
      <c r="D68" s="275" t="s">
        <v>325</v>
      </c>
      <c r="E68" s="264" t="s">
        <v>345</v>
      </c>
      <c r="F68" s="276" t="s">
        <v>314</v>
      </c>
      <c r="G68" s="276"/>
      <c r="H68" s="276"/>
      <c r="I68" s="276"/>
      <c r="J68" s="276"/>
      <c r="K68" s="276"/>
      <c r="L68" s="277"/>
    </row>
    <row r="69" spans="3:12">
      <c r="C69" s="278"/>
      <c r="D69" s="275"/>
      <c r="E69" s="264"/>
      <c r="F69" s="276"/>
      <c r="G69" s="276"/>
      <c r="H69" s="276"/>
      <c r="I69" s="276"/>
      <c r="J69" s="276"/>
      <c r="K69" s="276"/>
      <c r="L69" s="277"/>
    </row>
    <row r="70" spans="3:12">
      <c r="C70" s="278" t="s">
        <v>77</v>
      </c>
      <c r="D70" s="275" t="s">
        <v>325</v>
      </c>
      <c r="E70" s="264" t="s">
        <v>346</v>
      </c>
      <c r="F70" s="276" t="s">
        <v>315</v>
      </c>
      <c r="G70" s="276"/>
      <c r="H70" s="276"/>
      <c r="I70" s="276"/>
      <c r="J70" s="276"/>
      <c r="K70" s="276"/>
      <c r="L70" s="277"/>
    </row>
    <row r="71" spans="3:12">
      <c r="C71" s="278"/>
      <c r="D71" s="275"/>
      <c r="E71" s="264"/>
      <c r="F71" s="276"/>
      <c r="G71" s="276"/>
      <c r="H71" s="276"/>
      <c r="I71" s="276"/>
      <c r="J71" s="276"/>
      <c r="K71" s="276"/>
      <c r="L71" s="277"/>
    </row>
    <row r="73" spans="3:12">
      <c r="C73" s="279" t="s">
        <v>324</v>
      </c>
      <c r="D73" s="275" t="s">
        <v>326</v>
      </c>
      <c r="E73" s="264" t="s">
        <v>347</v>
      </c>
      <c r="F73" s="276" t="s">
        <v>316</v>
      </c>
      <c r="G73" s="276"/>
      <c r="H73" s="276"/>
      <c r="I73" s="276"/>
      <c r="J73" s="276"/>
      <c r="K73" s="276"/>
      <c r="L73" s="277"/>
    </row>
    <row r="74" spans="3:12">
      <c r="C74" s="279"/>
      <c r="D74" s="275"/>
      <c r="E74" s="264"/>
      <c r="F74" s="276"/>
      <c r="G74" s="276"/>
      <c r="H74" s="276"/>
      <c r="I74" s="276"/>
      <c r="J74" s="276"/>
      <c r="K74" s="276"/>
      <c r="L74" s="277"/>
    </row>
    <row r="75" spans="3:12" ht="15" customHeight="1">
      <c r="C75" s="279"/>
      <c r="D75" s="275"/>
      <c r="E75" s="264"/>
      <c r="F75" s="276"/>
      <c r="G75" s="276"/>
      <c r="H75" s="276"/>
      <c r="I75" s="276"/>
      <c r="J75" s="276"/>
      <c r="K75" s="276"/>
      <c r="L75" s="277"/>
    </row>
    <row r="76" spans="3:12">
      <c r="C76" s="279" t="s">
        <v>13</v>
      </c>
      <c r="D76" s="275" t="s">
        <v>326</v>
      </c>
      <c r="E76" s="264" t="s">
        <v>331</v>
      </c>
      <c r="F76" s="276" t="s">
        <v>317</v>
      </c>
      <c r="G76" s="276"/>
      <c r="H76" s="276"/>
      <c r="I76" s="276"/>
      <c r="J76" s="276"/>
      <c r="K76" s="276"/>
      <c r="L76" s="277"/>
    </row>
    <row r="77" spans="3:12">
      <c r="C77" s="279"/>
      <c r="D77" s="275"/>
      <c r="E77" s="264"/>
      <c r="F77" s="276"/>
      <c r="G77" s="276"/>
      <c r="H77" s="276"/>
      <c r="I77" s="276"/>
      <c r="J77" s="276"/>
      <c r="K77" s="276"/>
      <c r="L77" s="277"/>
    </row>
    <row r="78" spans="3:12">
      <c r="C78" s="265" t="s">
        <v>17</v>
      </c>
      <c r="D78" s="267" t="s">
        <v>326</v>
      </c>
      <c r="E78" s="269" t="s">
        <v>348</v>
      </c>
      <c r="F78" s="271" t="s">
        <v>349</v>
      </c>
      <c r="G78" s="271"/>
      <c r="H78" s="271"/>
      <c r="I78" s="271"/>
      <c r="J78" s="271"/>
      <c r="K78" s="271"/>
      <c r="L78" s="272"/>
    </row>
    <row r="79" spans="3:12" ht="15" customHeight="1">
      <c r="C79" s="266"/>
      <c r="D79" s="268"/>
      <c r="E79" s="270"/>
      <c r="F79" s="273"/>
      <c r="G79" s="273"/>
      <c r="H79" s="273"/>
      <c r="I79" s="273"/>
      <c r="J79" s="273"/>
      <c r="K79" s="273"/>
      <c r="L79" s="274"/>
    </row>
    <row r="80" spans="3:12" ht="15" customHeight="1">
      <c r="C80" s="279" t="s">
        <v>93</v>
      </c>
      <c r="D80" s="275" t="s">
        <v>318</v>
      </c>
      <c r="E80" s="264" t="s">
        <v>350</v>
      </c>
      <c r="F80" s="276" t="s">
        <v>319</v>
      </c>
      <c r="G80" s="276"/>
      <c r="H80" s="276"/>
      <c r="I80" s="276"/>
      <c r="J80" s="276"/>
      <c r="K80" s="276"/>
      <c r="L80" s="277"/>
    </row>
    <row r="81" spans="3:12">
      <c r="C81" s="279"/>
      <c r="D81" s="275"/>
      <c r="E81" s="264"/>
      <c r="F81" s="276"/>
      <c r="G81" s="276"/>
      <c r="H81" s="276"/>
      <c r="I81" s="276"/>
      <c r="J81" s="276"/>
      <c r="K81" s="276"/>
      <c r="L81" s="277"/>
    </row>
    <row r="82" spans="3:12">
      <c r="C82" s="279"/>
      <c r="D82" s="275"/>
      <c r="E82" s="264"/>
      <c r="F82" s="276"/>
      <c r="G82" s="276"/>
      <c r="H82" s="276"/>
      <c r="I82" s="276"/>
      <c r="J82" s="276"/>
      <c r="K82" s="276"/>
      <c r="L82" s="277"/>
    </row>
    <row r="83" spans="3:12">
      <c r="C83" s="279" t="s">
        <v>94</v>
      </c>
      <c r="D83" s="275" t="s">
        <v>318</v>
      </c>
      <c r="E83" s="264" t="s">
        <v>351</v>
      </c>
      <c r="F83" s="276" t="s">
        <v>320</v>
      </c>
      <c r="G83" s="276"/>
      <c r="H83" s="276"/>
      <c r="I83" s="276"/>
      <c r="J83" s="276"/>
      <c r="K83" s="276"/>
      <c r="L83" s="277"/>
    </row>
    <row r="84" spans="3:12">
      <c r="C84" s="279"/>
      <c r="D84" s="275"/>
      <c r="E84" s="264"/>
      <c r="F84" s="276"/>
      <c r="G84" s="276"/>
      <c r="H84" s="276"/>
      <c r="I84" s="276"/>
      <c r="J84" s="276"/>
      <c r="K84" s="276"/>
      <c r="L84" s="277"/>
    </row>
    <row r="85" spans="3:12">
      <c r="C85" s="279"/>
      <c r="D85" s="275"/>
      <c r="E85" s="264"/>
      <c r="F85" s="276"/>
      <c r="G85" s="276"/>
      <c r="H85" s="276"/>
      <c r="I85" s="276"/>
      <c r="J85" s="276"/>
      <c r="K85" s="276"/>
      <c r="L85" s="277"/>
    </row>
    <row r="87" spans="3:12">
      <c r="C87" s="279" t="s">
        <v>321</v>
      </c>
      <c r="D87" s="275" t="s">
        <v>327</v>
      </c>
      <c r="E87" s="264" t="s">
        <v>352</v>
      </c>
      <c r="F87" s="281" t="s">
        <v>322</v>
      </c>
      <c r="G87" s="281"/>
      <c r="H87" s="281"/>
      <c r="I87" s="281"/>
      <c r="J87" s="281"/>
      <c r="K87" s="281"/>
      <c r="L87" s="282"/>
    </row>
    <row r="88" spans="3:12">
      <c r="C88" s="279"/>
      <c r="D88" s="275"/>
      <c r="E88" s="264"/>
      <c r="F88" s="281"/>
      <c r="G88" s="281"/>
      <c r="H88" s="281"/>
      <c r="I88" s="281"/>
      <c r="J88" s="281"/>
      <c r="K88" s="281"/>
      <c r="L88" s="282"/>
    </row>
    <row r="89" spans="3:12">
      <c r="C89" s="1"/>
    </row>
    <row r="90" spans="3:12">
      <c r="C90" s="117"/>
      <c r="D90" s="30"/>
      <c r="E90" s="30"/>
      <c r="F90" s="30"/>
      <c r="G90" s="30"/>
      <c r="H90" s="30"/>
      <c r="I90" s="30"/>
      <c r="J90" s="30"/>
      <c r="K90" s="30"/>
      <c r="L90" s="30"/>
    </row>
    <row r="92" spans="3:12">
      <c r="C92" s="1"/>
    </row>
    <row r="93" spans="3:12">
      <c r="C93" s="1"/>
    </row>
    <row r="94" spans="3:12">
      <c r="C94" s="1"/>
    </row>
  </sheetData>
  <mergeCells count="75">
    <mergeCell ref="D12:F12"/>
    <mergeCell ref="C24:E24"/>
    <mergeCell ref="C27:E27"/>
    <mergeCell ref="D7:F7"/>
    <mergeCell ref="D8:F8"/>
    <mergeCell ref="D9:F9"/>
    <mergeCell ref="D10:F10"/>
    <mergeCell ref="D11:F11"/>
    <mergeCell ref="C13:C22"/>
    <mergeCell ref="D13:F22"/>
    <mergeCell ref="D44:D46"/>
    <mergeCell ref="C87:C88"/>
    <mergeCell ref="F44:L46"/>
    <mergeCell ref="F47:L49"/>
    <mergeCell ref="F50:L52"/>
    <mergeCell ref="F53:L55"/>
    <mergeCell ref="F56:L58"/>
    <mergeCell ref="C59:C61"/>
    <mergeCell ref="C62:C64"/>
    <mergeCell ref="C65:C67"/>
    <mergeCell ref="C76:C77"/>
    <mergeCell ref="F76:L77"/>
    <mergeCell ref="E76:E77"/>
    <mergeCell ref="F59:L61"/>
    <mergeCell ref="F62:L64"/>
    <mergeCell ref="F65:L67"/>
    <mergeCell ref="F68:L69"/>
    <mergeCell ref="C68:C69"/>
    <mergeCell ref="E73:E75"/>
    <mergeCell ref="C73:C75"/>
    <mergeCell ref="F73:L75"/>
    <mergeCell ref="C44:C46"/>
    <mergeCell ref="C47:C49"/>
    <mergeCell ref="C50:C52"/>
    <mergeCell ref="C53:C55"/>
    <mergeCell ref="C56:C58"/>
    <mergeCell ref="F43:L43"/>
    <mergeCell ref="D47:D49"/>
    <mergeCell ref="D50:D52"/>
    <mergeCell ref="D53:D55"/>
    <mergeCell ref="D56:D58"/>
    <mergeCell ref="D76:D77"/>
    <mergeCell ref="D80:D82"/>
    <mergeCell ref="D83:D85"/>
    <mergeCell ref="D87:D88"/>
    <mergeCell ref="E44:E46"/>
    <mergeCell ref="E47:E49"/>
    <mergeCell ref="E50:E52"/>
    <mergeCell ref="E53:E55"/>
    <mergeCell ref="E56:E58"/>
    <mergeCell ref="D59:D61"/>
    <mergeCell ref="D62:D64"/>
    <mergeCell ref="D65:D67"/>
    <mergeCell ref="E80:E82"/>
    <mergeCell ref="E83:E85"/>
    <mergeCell ref="C70:C71"/>
    <mergeCell ref="D70:D71"/>
    <mergeCell ref="E68:E69"/>
    <mergeCell ref="E70:E71"/>
    <mergeCell ref="D73:D75"/>
    <mergeCell ref="E59:E61"/>
    <mergeCell ref="E62:E64"/>
    <mergeCell ref="E65:E67"/>
    <mergeCell ref="D68:D69"/>
    <mergeCell ref="F70:L71"/>
    <mergeCell ref="E87:E88"/>
    <mergeCell ref="C78:C79"/>
    <mergeCell ref="D78:D79"/>
    <mergeCell ref="E78:E79"/>
    <mergeCell ref="F78:L79"/>
    <mergeCell ref="C80:C82"/>
    <mergeCell ref="C83:C85"/>
    <mergeCell ref="F87:L88"/>
    <mergeCell ref="F80:L82"/>
    <mergeCell ref="F83:L8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'Revenue Buildup'!$B$21:$B$23</xm:f>
          </x14:formula1>
          <xm:sqref>C25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0"/>
  <sheetViews>
    <sheetView showGridLines="0" topLeftCell="A18" zoomScaleNormal="100" workbookViewId="0">
      <selection activeCell="D37" sqref="D37"/>
    </sheetView>
  </sheetViews>
  <sheetFormatPr defaultRowHeight="15"/>
  <cols>
    <col min="1" max="1" width="1.85546875" customWidth="1"/>
    <col min="2" max="2" width="40.42578125" bestFit="1" customWidth="1"/>
    <col min="4" max="4" width="13.42578125" bestFit="1" customWidth="1"/>
    <col min="5" max="5" width="14.140625" bestFit="1" customWidth="1"/>
    <col min="6" max="6" width="13.5703125" customWidth="1"/>
    <col min="7" max="8" width="13.42578125" bestFit="1" customWidth="1"/>
    <col min="9" max="9" width="10.7109375" bestFit="1" customWidth="1"/>
    <col min="10" max="11" width="11.7109375" bestFit="1" customWidth="1"/>
    <col min="12" max="12" width="10.7109375" bestFit="1" customWidth="1"/>
  </cols>
  <sheetData>
    <row r="1" spans="2:14" ht="5.0999999999999996" customHeight="1">
      <c r="B1" s="30"/>
      <c r="C1" s="30"/>
      <c r="D1" s="30"/>
      <c r="E1" s="30"/>
      <c r="F1" s="30"/>
      <c r="G1" s="30"/>
      <c r="H1" s="30"/>
    </row>
    <row r="3" spans="2:14">
      <c r="B3" s="170" t="s">
        <v>260</v>
      </c>
    </row>
    <row r="4" spans="2:14">
      <c r="B4" s="171" t="s">
        <v>262</v>
      </c>
    </row>
    <row r="5" spans="2:14">
      <c r="B5" s="25" t="s">
        <v>261</v>
      </c>
      <c r="C5" s="29"/>
      <c r="D5" s="29"/>
      <c r="E5" s="29"/>
      <c r="F5" s="29"/>
      <c r="G5" s="29"/>
      <c r="H5" s="29"/>
    </row>
    <row r="7" spans="2:14">
      <c r="B7" s="1" t="s">
        <v>47</v>
      </c>
    </row>
    <row r="8" spans="2:14">
      <c r="B8" s="31" t="s">
        <v>0</v>
      </c>
      <c r="C8" s="31"/>
      <c r="D8" s="31">
        <v>2020</v>
      </c>
      <c r="E8" s="31">
        <v>2021</v>
      </c>
      <c r="F8" s="31">
        <v>2022</v>
      </c>
      <c r="G8" s="31">
        <v>2023</v>
      </c>
      <c r="H8" s="31">
        <v>2024</v>
      </c>
    </row>
    <row r="9" spans="2:14">
      <c r="B9" s="31"/>
      <c r="C9" s="31"/>
      <c r="D9" s="167" t="s">
        <v>73</v>
      </c>
      <c r="E9" s="167" t="s">
        <v>73</v>
      </c>
      <c r="F9" s="167" t="s">
        <v>73</v>
      </c>
      <c r="G9" s="167" t="s">
        <v>73</v>
      </c>
      <c r="H9" s="167" t="s">
        <v>73</v>
      </c>
    </row>
    <row r="11" spans="2:14">
      <c r="B11" s="1" t="s">
        <v>2</v>
      </c>
    </row>
    <row r="12" spans="2:14">
      <c r="B12" t="s">
        <v>3</v>
      </c>
      <c r="D12" s="256">
        <v>848357.73</v>
      </c>
      <c r="E12" s="256">
        <v>891626.63800000004</v>
      </c>
      <c r="F12" s="256">
        <v>954068.65399999998</v>
      </c>
      <c r="G12" s="256">
        <v>1210668.098</v>
      </c>
      <c r="H12" s="256">
        <v>1595159.2520000001</v>
      </c>
      <c r="I12" s="163"/>
      <c r="N12" s="34">
        <v>1000</v>
      </c>
    </row>
    <row r="13" spans="2:14">
      <c r="B13" t="s">
        <v>4</v>
      </c>
      <c r="D13" s="256">
        <v>649503.30099999998</v>
      </c>
      <c r="E13" s="256">
        <v>721738.13800000004</v>
      </c>
      <c r="F13" s="256">
        <v>621294.51399999997</v>
      </c>
      <c r="G13" s="256">
        <v>651119.91200000001</v>
      </c>
      <c r="H13" s="256">
        <v>765218.02</v>
      </c>
      <c r="I13" s="163"/>
      <c r="K13" s="2"/>
    </row>
    <row r="14" spans="2:14">
      <c r="B14" s="8" t="s">
        <v>5</v>
      </c>
      <c r="C14" s="9"/>
      <c r="D14" s="165">
        <f>SUM(D12:D13)</f>
        <v>1497861.031</v>
      </c>
      <c r="E14" s="165">
        <f t="shared" ref="E14:H14" si="0">SUM(E12:E13)</f>
        <v>1613364.7760000001</v>
      </c>
      <c r="F14" s="165">
        <f t="shared" si="0"/>
        <v>1575363.1680000001</v>
      </c>
      <c r="G14" s="165">
        <f t="shared" si="0"/>
        <v>1861788.01</v>
      </c>
      <c r="H14" s="165">
        <f t="shared" si="0"/>
        <v>2360377.2719999999</v>
      </c>
    </row>
    <row r="15" spans="2:14">
      <c r="D15" s="163"/>
      <c r="E15" s="163"/>
      <c r="F15" s="163"/>
      <c r="G15" s="163"/>
      <c r="H15" s="163"/>
      <c r="K15" s="2"/>
    </row>
    <row r="16" spans="2:14">
      <c r="B16" s="1" t="s">
        <v>6</v>
      </c>
      <c r="D16" s="163"/>
      <c r="E16" s="163"/>
      <c r="F16" s="163"/>
      <c r="G16" s="163"/>
      <c r="H16" s="163"/>
      <c r="K16" s="2"/>
    </row>
    <row r="17" spans="2:12">
      <c r="B17" t="s">
        <v>21</v>
      </c>
      <c r="D17" s="256">
        <v>332242.78999999998</v>
      </c>
      <c r="E17" s="256">
        <v>337196.58500000002</v>
      </c>
      <c r="F17" s="256">
        <v>336132.83299999998</v>
      </c>
      <c r="G17" s="256">
        <v>394765.40700000001</v>
      </c>
      <c r="H17" s="256">
        <v>587844.55500000005</v>
      </c>
    </row>
    <row r="18" spans="2:12">
      <c r="B18" t="s">
        <v>7</v>
      </c>
      <c r="D18" s="256">
        <v>679547.88100000005</v>
      </c>
      <c r="E18" s="256">
        <v>710980.08900000004</v>
      </c>
      <c r="F18" s="256">
        <v>668399.46799999999</v>
      </c>
      <c r="G18" s="256">
        <v>700490.38199999998</v>
      </c>
      <c r="H18" s="256">
        <v>825039.76899999997</v>
      </c>
      <c r="K18" s="2"/>
    </row>
    <row r="19" spans="2:12">
      <c r="B19" t="s">
        <v>8</v>
      </c>
      <c r="D19" s="256">
        <v>223772.141</v>
      </c>
      <c r="E19" s="256">
        <v>220417.554</v>
      </c>
      <c r="F19" s="256">
        <v>174340.856</v>
      </c>
      <c r="G19" s="256">
        <v>187333.62899999999</v>
      </c>
      <c r="H19" s="256">
        <v>191400.27600000001</v>
      </c>
    </row>
    <row r="20" spans="2:12">
      <c r="B20" s="8" t="s">
        <v>9</v>
      </c>
      <c r="C20" s="9"/>
      <c r="D20" s="165">
        <f>SUM(D17:D19)</f>
        <v>1235562.8120000002</v>
      </c>
      <c r="E20" s="165">
        <f t="shared" ref="E20:H20" si="1">SUM(E17:E19)</f>
        <v>1268594.2280000001</v>
      </c>
      <c r="F20" s="165">
        <f t="shared" si="1"/>
        <v>1178873.1569999999</v>
      </c>
      <c r="G20" s="165">
        <f t="shared" si="1"/>
        <v>1282589.4179999998</v>
      </c>
      <c r="H20" s="165">
        <f t="shared" si="1"/>
        <v>1604284.6</v>
      </c>
      <c r="J20" s="2"/>
      <c r="K20" s="2"/>
    </row>
    <row r="21" spans="2:12">
      <c r="D21" s="163"/>
      <c r="E21" s="163"/>
      <c r="F21" s="163"/>
      <c r="G21" s="163"/>
      <c r="H21" s="163"/>
      <c r="K21" s="2"/>
    </row>
    <row r="22" spans="2:12">
      <c r="B22" s="8" t="s">
        <v>10</v>
      </c>
      <c r="C22" s="9"/>
      <c r="D22" s="165">
        <f>D14-D20</f>
        <v>262298.21899999981</v>
      </c>
      <c r="E22" s="165">
        <f t="shared" ref="E22:H22" si="2">E14-E20</f>
        <v>344770.54799999995</v>
      </c>
      <c r="F22" s="165">
        <f t="shared" si="2"/>
        <v>396490.01100000017</v>
      </c>
      <c r="G22" s="165">
        <f t="shared" si="2"/>
        <v>579198.59200000018</v>
      </c>
      <c r="H22" s="165">
        <f t="shared" si="2"/>
        <v>756092.67199999979</v>
      </c>
      <c r="J22" s="2"/>
    </row>
    <row r="23" spans="2:12">
      <c r="D23" s="163"/>
      <c r="E23" s="163"/>
      <c r="F23" s="163"/>
      <c r="G23" s="163"/>
      <c r="H23" s="163"/>
      <c r="J23" s="2"/>
    </row>
    <row r="24" spans="2:12">
      <c r="B24" s="3" t="s">
        <v>11</v>
      </c>
      <c r="D24" s="256">
        <v>11712.175999999999</v>
      </c>
      <c r="E24" s="256">
        <v>13400.744000000001</v>
      </c>
      <c r="F24" s="256">
        <v>13300.074000000001</v>
      </c>
      <c r="G24" s="256">
        <v>15145.592000000001</v>
      </c>
      <c r="H24" s="256">
        <v>19352.106</v>
      </c>
      <c r="K24" s="2"/>
    </row>
    <row r="25" spans="2:12">
      <c r="D25" s="163"/>
      <c r="E25" s="163"/>
      <c r="F25" s="163"/>
      <c r="G25" s="163"/>
      <c r="H25" s="163"/>
      <c r="I25" s="5"/>
      <c r="K25" s="2"/>
      <c r="L25" s="2"/>
    </row>
    <row r="26" spans="2:12">
      <c r="B26" s="8" t="s">
        <v>12</v>
      </c>
      <c r="C26" s="8"/>
      <c r="D26" s="165">
        <f>D22-D24</f>
        <v>250586.0429999998</v>
      </c>
      <c r="E26" s="165">
        <f t="shared" ref="E26:H26" si="3">E22-E24</f>
        <v>331369.80399999995</v>
      </c>
      <c r="F26" s="165">
        <f t="shared" si="3"/>
        <v>383189.93700000015</v>
      </c>
      <c r="G26" s="165">
        <f t="shared" si="3"/>
        <v>564053.00000000023</v>
      </c>
      <c r="H26" s="165">
        <f t="shared" si="3"/>
        <v>736740.56599999976</v>
      </c>
      <c r="K26" s="2"/>
      <c r="L26" s="2"/>
    </row>
    <row r="27" spans="2:12">
      <c r="D27" s="163"/>
      <c r="E27" s="163"/>
      <c r="F27" s="163"/>
      <c r="G27" s="163"/>
      <c r="H27" s="163"/>
      <c r="K27" s="2"/>
      <c r="L27" s="2"/>
    </row>
    <row r="28" spans="2:12">
      <c r="B28" t="s">
        <v>13</v>
      </c>
      <c r="D28" s="256">
        <v>114412.432</v>
      </c>
      <c r="E28" s="256">
        <v>89394.289000000004</v>
      </c>
      <c r="F28" s="256">
        <v>75533.877999999997</v>
      </c>
      <c r="G28" s="256">
        <v>110668.47199999999</v>
      </c>
      <c r="H28" s="256">
        <v>153237.07199999999</v>
      </c>
      <c r="K28" s="2"/>
    </row>
    <row r="29" spans="2:12">
      <c r="B29" t="s">
        <v>20</v>
      </c>
      <c r="D29" s="256">
        <v>0</v>
      </c>
      <c r="E29" s="256">
        <v>0</v>
      </c>
      <c r="F29" s="256">
        <v>7544.2790000000005</v>
      </c>
      <c r="G29" s="256">
        <v>9982.8760000000002</v>
      </c>
      <c r="H29" s="256">
        <v>10737.68</v>
      </c>
    </row>
    <row r="30" spans="2:12">
      <c r="B30" t="s">
        <v>15</v>
      </c>
      <c r="D30" s="256">
        <v>16591.601999999999</v>
      </c>
      <c r="E30" s="256">
        <v>19796.467000000001</v>
      </c>
      <c r="F30" s="256">
        <v>14281.645</v>
      </c>
      <c r="G30" s="256">
        <v>14246.737999999999</v>
      </c>
      <c r="H30" s="256">
        <v>18241.392</v>
      </c>
    </row>
    <row r="31" spans="2:12">
      <c r="D31" s="163"/>
      <c r="E31" s="163"/>
      <c r="F31" s="163"/>
      <c r="G31" s="163"/>
      <c r="H31" s="163"/>
    </row>
    <row r="32" spans="2:12">
      <c r="B32" s="8" t="s">
        <v>18</v>
      </c>
      <c r="C32" s="9"/>
      <c r="D32" s="165">
        <f t="shared" ref="D32:E32" si="4">D26+D29-D28-D30</f>
        <v>119582.0089999998</v>
      </c>
      <c r="E32" s="165">
        <f t="shared" si="4"/>
        <v>222179.04799999995</v>
      </c>
      <c r="F32" s="165">
        <f>F26+F29-F28-F30</f>
        <v>300918.69300000009</v>
      </c>
      <c r="G32" s="165">
        <f t="shared" ref="G32:H32" si="5">G26+G29-G28-G30</f>
        <v>449120.66600000026</v>
      </c>
      <c r="H32" s="165">
        <f t="shared" si="5"/>
        <v>575999.78199999989</v>
      </c>
    </row>
    <row r="33" spans="2:8">
      <c r="D33" s="163"/>
      <c r="E33" s="163"/>
      <c r="F33" s="163"/>
      <c r="G33" s="163"/>
      <c r="H33" s="163"/>
    </row>
    <row r="34" spans="2:8">
      <c r="B34" t="s">
        <v>17</v>
      </c>
      <c r="D34" s="256">
        <v>23918.931</v>
      </c>
      <c r="E34" s="256">
        <v>38335.862999999998</v>
      </c>
      <c r="F34" s="256">
        <v>49817.733</v>
      </c>
      <c r="G34" s="256">
        <v>108754.258</v>
      </c>
      <c r="H34" s="256">
        <v>133436.04699999999</v>
      </c>
    </row>
    <row r="35" spans="2:8">
      <c r="D35" s="163"/>
      <c r="E35" s="163"/>
      <c r="F35" s="163"/>
      <c r="G35" s="163"/>
      <c r="H35" s="163"/>
    </row>
    <row r="36" spans="2:8" ht="15.75" thickBot="1">
      <c r="B36" s="6" t="s">
        <v>19</v>
      </c>
      <c r="C36" s="7"/>
      <c r="D36" s="184">
        <f>D32-D34</f>
        <v>95663.077999999805</v>
      </c>
      <c r="E36" s="184">
        <f>E32-E34</f>
        <v>183843.18499999994</v>
      </c>
      <c r="F36" s="184">
        <f t="shared" ref="F36:H36" si="6">F32-F34</f>
        <v>251100.96000000008</v>
      </c>
      <c r="G36" s="184">
        <f t="shared" si="6"/>
        <v>340366.40800000029</v>
      </c>
      <c r="H36" s="184">
        <f t="shared" si="6"/>
        <v>442563.73499999987</v>
      </c>
    </row>
    <row r="37" spans="2:8" ht="15.75" thickTop="1"/>
    <row r="38" spans="2:8">
      <c r="B38" s="30"/>
      <c r="C38" s="30"/>
      <c r="D38" s="30"/>
      <c r="E38" s="30"/>
      <c r="F38" s="30"/>
      <c r="G38" s="30"/>
      <c r="H38" s="30"/>
    </row>
    <row r="39" spans="2:8">
      <c r="D39" s="2"/>
    </row>
    <row r="40" spans="2:8">
      <c r="D40"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5"/>
  <sheetViews>
    <sheetView showGridLines="0" topLeftCell="A46" workbookViewId="0">
      <selection activeCell="D68" sqref="D68"/>
    </sheetView>
  </sheetViews>
  <sheetFormatPr defaultRowHeight="15"/>
  <cols>
    <col min="1" max="1" width="1.85546875" customWidth="1"/>
    <col min="2" max="2" width="42.7109375" customWidth="1"/>
    <col min="4" max="8" width="13.42578125" bestFit="1" customWidth="1"/>
  </cols>
  <sheetData>
    <row r="1" spans="2:9" ht="5.0999999999999996" customHeight="1">
      <c r="B1" s="30"/>
      <c r="C1" s="30"/>
      <c r="D1" s="30"/>
      <c r="E1" s="30"/>
      <c r="F1" s="30"/>
      <c r="G1" s="30"/>
      <c r="H1" s="30"/>
    </row>
    <row r="3" spans="2:9">
      <c r="B3" s="170" t="s">
        <v>260</v>
      </c>
    </row>
    <row r="4" spans="2:9">
      <c r="B4" s="171" t="s">
        <v>262</v>
      </c>
    </row>
    <row r="5" spans="2:9">
      <c r="B5" s="25" t="s">
        <v>261</v>
      </c>
      <c r="C5" s="29"/>
      <c r="D5" s="29"/>
      <c r="E5" s="29"/>
      <c r="F5" s="29"/>
      <c r="G5" s="29"/>
      <c r="H5" s="29"/>
    </row>
    <row r="7" spans="2:9">
      <c r="B7" s="1" t="s">
        <v>234</v>
      </c>
    </row>
    <row r="8" spans="2:9">
      <c r="B8" s="31" t="s">
        <v>0</v>
      </c>
      <c r="C8" s="31"/>
      <c r="D8" s="31">
        <v>2020</v>
      </c>
      <c r="E8" s="31">
        <v>2021</v>
      </c>
      <c r="F8" s="31">
        <v>2022</v>
      </c>
      <c r="G8" s="31">
        <v>2023</v>
      </c>
      <c r="H8" s="31">
        <v>2024</v>
      </c>
    </row>
    <row r="9" spans="2:9">
      <c r="B9" s="31"/>
      <c r="C9" s="31"/>
      <c r="D9" s="167" t="s">
        <v>73</v>
      </c>
      <c r="E9" s="167" t="s">
        <v>73</v>
      </c>
      <c r="F9" s="167" t="s">
        <v>73</v>
      </c>
      <c r="G9" s="167" t="s">
        <v>73</v>
      </c>
      <c r="H9" s="167" t="s">
        <v>73</v>
      </c>
    </row>
    <row r="10" spans="2:9">
      <c r="B10" s="1" t="s">
        <v>1</v>
      </c>
    </row>
    <row r="12" spans="2:9">
      <c r="B12" t="s">
        <v>3</v>
      </c>
      <c r="D12" s="13">
        <f>'Income statement Historical'!D12/'Income statement Historical'!D$14</f>
        <v>0.56637946541250261</v>
      </c>
      <c r="E12" s="13">
        <f>'Income statement Historical'!E12/'Income statement Historical'!E$14</f>
        <v>0.55265036851157834</v>
      </c>
      <c r="F12" s="13">
        <f>'Income statement Historical'!F12/'Income statement Historical'!F$14</f>
        <v>0.60561823037365814</v>
      </c>
      <c r="G12" s="13">
        <f>'Income statement Historical'!G12/'Income statement Historical'!G$14</f>
        <v>0.65027172347081552</v>
      </c>
      <c r="H12" s="13">
        <f>'Income statement Historical'!H12/'Income statement Historical'!H$14</f>
        <v>0.67580690210950323</v>
      </c>
      <c r="I12" s="16"/>
    </row>
    <row r="13" spans="2:9">
      <c r="B13" t="s">
        <v>4</v>
      </c>
      <c r="D13" s="13">
        <f>'Income statement Historical'!D13/'Income statement Historical'!D$14</f>
        <v>0.43362053458749739</v>
      </c>
      <c r="E13" s="13">
        <f>'Income statement Historical'!E13/'Income statement Historical'!E$14</f>
        <v>0.44734963148842166</v>
      </c>
      <c r="F13" s="13">
        <f>'Income statement Historical'!F13/'Income statement Historical'!F$14</f>
        <v>0.39438176962634175</v>
      </c>
      <c r="G13" s="13">
        <f>'Income statement Historical'!G13/'Income statement Historical'!G$14</f>
        <v>0.34972827652918442</v>
      </c>
      <c r="H13" s="13">
        <f>'Income statement Historical'!H13/'Income statement Historical'!H$14</f>
        <v>0.32419309789049694</v>
      </c>
    </row>
    <row r="14" spans="2:9">
      <c r="B14" s="8" t="s">
        <v>5</v>
      </c>
      <c r="C14" s="9"/>
      <c r="D14" s="14">
        <f>SUM(D12:D13)</f>
        <v>1</v>
      </c>
      <c r="E14" s="14">
        <f t="shared" ref="E14:H14" si="0">SUM(E12:E13)</f>
        <v>1</v>
      </c>
      <c r="F14" s="14">
        <f t="shared" si="0"/>
        <v>0.99999999999999989</v>
      </c>
      <c r="G14" s="14">
        <f t="shared" si="0"/>
        <v>1</v>
      </c>
      <c r="H14" s="14">
        <f t="shared" si="0"/>
        <v>1.0000000000000002</v>
      </c>
    </row>
    <row r="16" spans="2:9">
      <c r="B16" s="1" t="s">
        <v>6</v>
      </c>
    </row>
    <row r="17" spans="2:8">
      <c r="B17" t="s">
        <v>21</v>
      </c>
      <c r="D17" s="13">
        <f>'Income statement Historical'!D17/'Income statement Historical'!D$14</f>
        <v>0.22181149193673094</v>
      </c>
      <c r="E17" s="13">
        <f>'Income statement Historical'!E17/'Income statement Historical'!E$14</f>
        <v>0.20900207443229812</v>
      </c>
      <c r="F17" s="13">
        <f>'Income statement Historical'!F17/'Income statement Historical'!F$14</f>
        <v>0.21336847263398759</v>
      </c>
      <c r="G17" s="13">
        <f>'Income statement Historical'!G17/'Income statement Historical'!G$14</f>
        <v>0.21203563718298948</v>
      </c>
      <c r="H17" s="13">
        <f>'Income statement Historical'!H17/'Income statement Historical'!H$14</f>
        <v>0.24904686296267645</v>
      </c>
    </row>
    <row r="18" spans="2:8">
      <c r="B18" t="s">
        <v>7</v>
      </c>
      <c r="D18" s="13">
        <f>'Income statement Historical'!D18/'Income statement Historical'!D$14</f>
        <v>0.45367885734120555</v>
      </c>
      <c r="E18" s="13">
        <f>'Income statement Historical'!E18/'Income statement Historical'!E$14</f>
        <v>0.44068154925430203</v>
      </c>
      <c r="F18" s="13">
        <f>'Income statement Historical'!F18/'Income statement Historical'!F$14</f>
        <v>0.42428278226700294</v>
      </c>
      <c r="G18" s="13">
        <f>'Income statement Historical'!G18/'Income statement Historical'!G$14</f>
        <v>0.3762460485498561</v>
      </c>
      <c r="H18" s="13">
        <f>'Income statement Historical'!H18/'Income statement Historical'!H$14</f>
        <v>0.3495372450781673</v>
      </c>
    </row>
    <row r="19" spans="2:8">
      <c r="B19" t="s">
        <v>8</v>
      </c>
      <c r="D19" s="13">
        <f>'Income statement Historical'!D19/'Income statement Historical'!D$14</f>
        <v>0.14939446074687285</v>
      </c>
      <c r="E19" s="13">
        <f>'Income statement Historical'!E19/'Income statement Historical'!E$14</f>
        <v>0.13661978820839213</v>
      </c>
      <c r="F19" s="13">
        <f>'Income statement Historical'!F19/'Income statement Historical'!F$14</f>
        <v>0.11066708905054203</v>
      </c>
      <c r="G19" s="13">
        <f>'Income statement Historical'!G19/'Income statement Historical'!G$14</f>
        <v>0.10062027899728497</v>
      </c>
      <c r="H19" s="13">
        <f>'Income statement Historical'!H19/'Income statement Historical'!H$14</f>
        <v>8.1088848918555431E-2</v>
      </c>
    </row>
    <row r="20" spans="2:8">
      <c r="B20" s="8" t="s">
        <v>9</v>
      </c>
      <c r="C20" s="9"/>
      <c r="D20" s="14">
        <f>SUM(D17:D19)</f>
        <v>0.8248848100248094</v>
      </c>
      <c r="E20" s="14">
        <f t="shared" ref="E20:H20" si="1">SUM(E17:E19)</f>
        <v>0.78630341189499231</v>
      </c>
      <c r="F20" s="14">
        <f t="shared" si="1"/>
        <v>0.74831834395153252</v>
      </c>
      <c r="G20" s="14">
        <f t="shared" si="1"/>
        <v>0.68890196473013054</v>
      </c>
      <c r="H20" s="14">
        <f t="shared" si="1"/>
        <v>0.67967295695939911</v>
      </c>
    </row>
    <row r="22" spans="2:8">
      <c r="B22" s="8" t="s">
        <v>10</v>
      </c>
      <c r="C22" s="9"/>
      <c r="D22" s="14">
        <f>D14-D20</f>
        <v>0.1751151899751906</v>
      </c>
      <c r="E22" s="14">
        <f t="shared" ref="E22:H22" si="2">E14-E20</f>
        <v>0.21369658810500769</v>
      </c>
      <c r="F22" s="14">
        <f t="shared" si="2"/>
        <v>0.25168165604846737</v>
      </c>
      <c r="G22" s="14">
        <f t="shared" si="2"/>
        <v>0.31109803526986946</v>
      </c>
      <c r="H22" s="14">
        <f t="shared" si="2"/>
        <v>0.32032704304060111</v>
      </c>
    </row>
    <row r="23" spans="2:8">
      <c r="H23" s="5"/>
    </row>
    <row r="24" spans="2:8">
      <c r="B24" s="3" t="s">
        <v>11</v>
      </c>
      <c r="D24" s="13">
        <f>'Income statement Historical'!D24/'Income statement Historical'!D$14</f>
        <v>7.819267447114725E-3</v>
      </c>
      <c r="E24" s="13">
        <f>'Income statement Historical'!E24/'Income statement Historical'!E$14</f>
        <v>8.3060844015848279E-3</v>
      </c>
      <c r="F24" s="13">
        <f>'Income statement Historical'!F24/'Income statement Historical'!F$14</f>
        <v>8.4425447224877603E-3</v>
      </c>
      <c r="G24" s="13">
        <f>'Income statement Historical'!G24/'Income statement Historical'!G$14</f>
        <v>8.1349712849423713E-3</v>
      </c>
      <c r="H24" s="13">
        <f>'Income statement Historical'!H24/'Income statement Historical'!H$14</f>
        <v>8.1987342572581758E-3</v>
      </c>
    </row>
    <row r="25" spans="2:8">
      <c r="H25" s="5"/>
    </row>
    <row r="26" spans="2:8">
      <c r="B26" s="8" t="s">
        <v>12</v>
      </c>
      <c r="C26" s="8"/>
      <c r="D26" s="14">
        <f>D22-D24</f>
        <v>0.16729592252807587</v>
      </c>
      <c r="E26" s="14">
        <f t="shared" ref="E26:H26" si="3">E22-E24</f>
        <v>0.20539050370342285</v>
      </c>
      <c r="F26" s="14">
        <f t="shared" si="3"/>
        <v>0.24323911132597961</v>
      </c>
      <c r="G26" s="14">
        <f t="shared" si="3"/>
        <v>0.30296306398492706</v>
      </c>
      <c r="H26" s="14">
        <f t="shared" si="3"/>
        <v>0.31212830878334291</v>
      </c>
    </row>
    <row r="27" spans="2:8">
      <c r="G27" s="2"/>
    </row>
    <row r="28" spans="2:8">
      <c r="B28" t="s">
        <v>13</v>
      </c>
      <c r="D28" s="13">
        <f>'Income statement Historical'!D28/'Income statement Historical'!D$14</f>
        <v>7.6383876495949785E-2</v>
      </c>
      <c r="E28" s="13">
        <f>'Income statement Historical'!E28/'Income statement Historical'!E$14</f>
        <v>5.5408603391995714E-2</v>
      </c>
      <c r="F28" s="13">
        <f>'Income statement Historical'!F28/'Income statement Historical'!F$14</f>
        <v>4.7946962030281509E-2</v>
      </c>
      <c r="G28" s="13">
        <f>'Income statement Historical'!G28/'Income statement Historical'!G$14</f>
        <v>5.944203712000487E-2</v>
      </c>
      <c r="H28" s="13">
        <f>'Income statement Historical'!H28/'Income statement Historical'!H$14</f>
        <v>6.4920584441214693E-2</v>
      </c>
    </row>
    <row r="29" spans="2:8">
      <c r="B29" t="s">
        <v>20</v>
      </c>
      <c r="D29" s="13">
        <f>'Income statement Historical'!D29/'Income statement Historical'!D$14</f>
        <v>0</v>
      </c>
      <c r="E29" s="13">
        <f>'Income statement Historical'!E29/'Income statement Historical'!E$14</f>
        <v>0</v>
      </c>
      <c r="F29" s="13">
        <f>'Income statement Historical'!F29/'Income statement Historical'!F$14</f>
        <v>4.7889141711862085E-3</v>
      </c>
      <c r="G29" s="13">
        <f>'Income statement Historical'!G29/'Income statement Historical'!G$14</f>
        <v>5.361983183037042E-3</v>
      </c>
      <c r="H29" s="13">
        <f>'Income statement Historical'!H29/'Income statement Historical'!H$14</f>
        <v>4.5491371770842916E-3</v>
      </c>
    </row>
    <row r="30" spans="2:8">
      <c r="B30" t="s">
        <v>15</v>
      </c>
      <c r="D30" s="13">
        <f>'Income statement Historical'!D30/'Income statement Historical'!D$14</f>
        <v>1.1076863378255549E-2</v>
      </c>
      <c r="E30" s="13">
        <f>'Income statement Historical'!E30/'Income statement Historical'!E$14</f>
        <v>1.227029825770784E-2</v>
      </c>
      <c r="F30" s="13">
        <f>'Income statement Historical'!F30/'Income statement Historical'!F$14</f>
        <v>9.0656207343804036E-3</v>
      </c>
      <c r="G30" s="13">
        <f>'Income statement Historical'!G30/'Income statement Historical'!G$14</f>
        <v>7.6521805508888196E-3</v>
      </c>
      <c r="H30" s="13">
        <f>'Income statement Historical'!H30/'Income statement Historical'!H$14</f>
        <v>7.7281679570417421E-3</v>
      </c>
    </row>
    <row r="32" spans="2:8">
      <c r="B32" s="8" t="s">
        <v>18</v>
      </c>
      <c r="C32" s="9"/>
      <c r="D32" s="14">
        <f t="shared" ref="D32:E32" si="4">D26+D29-D28-D30</f>
        <v>7.9835182653870546E-2</v>
      </c>
      <c r="E32" s="14">
        <f t="shared" si="4"/>
        <v>0.1377116020537193</v>
      </c>
      <c r="F32" s="14">
        <f>F26+F29-F28-F30</f>
        <v>0.1910154427325039</v>
      </c>
      <c r="G32" s="14">
        <f t="shared" ref="G32:H32" si="5">G26+G29-G28-G30</f>
        <v>0.24123082949707042</v>
      </c>
      <c r="H32" s="14">
        <f t="shared" si="5"/>
        <v>0.24402869356217077</v>
      </c>
    </row>
    <row r="34" spans="2:8">
      <c r="B34" t="s">
        <v>17</v>
      </c>
      <c r="D34" s="13">
        <f>'Income statement Historical'!D34/'Income statement Historical'!D$14</f>
        <v>1.5968725071932258E-2</v>
      </c>
      <c r="E34" s="13">
        <f>'Income statement Historical'!E34/'Income statement Historical'!E$14</f>
        <v>2.3761435461015664E-2</v>
      </c>
      <c r="F34" s="13">
        <f>'Income statement Historical'!F34/'Income statement Historical'!F$14</f>
        <v>3.1623014941529977E-2</v>
      </c>
      <c r="G34" s="13">
        <f>'Income statement Historical'!G34/'Income statement Historical'!G$14</f>
        <v>5.8413878172950531E-2</v>
      </c>
      <c r="H34" s="13">
        <f>'Income statement Historical'!H34/'Income statement Historical'!H$14</f>
        <v>5.6531660672590987E-2</v>
      </c>
    </row>
    <row r="36" spans="2:8" ht="15.75" thickBot="1">
      <c r="B36" s="6" t="s">
        <v>19</v>
      </c>
      <c r="C36" s="7"/>
      <c r="D36" s="15">
        <f>D32-D34</f>
        <v>6.3866457581938291E-2</v>
      </c>
      <c r="E36" s="15">
        <f>E32-E34</f>
        <v>0.11395016659270363</v>
      </c>
      <c r="F36" s="15">
        <f t="shared" ref="F36:H36" si="6">F32-F34</f>
        <v>0.15939242779097393</v>
      </c>
      <c r="G36" s="15">
        <f t="shared" si="6"/>
        <v>0.1828169513241199</v>
      </c>
      <c r="H36" s="15">
        <f t="shared" si="6"/>
        <v>0.18749703288957978</v>
      </c>
    </row>
    <row r="37" spans="2:8" ht="15.75" thickTop="1"/>
    <row r="38" spans="2:8">
      <c r="B38" s="1" t="s">
        <v>22</v>
      </c>
    </row>
    <row r="39" spans="2:8">
      <c r="B39" s="31" t="s">
        <v>0</v>
      </c>
      <c r="C39" s="31"/>
      <c r="D39" s="31">
        <v>2020</v>
      </c>
      <c r="E39" s="31">
        <v>2021</v>
      </c>
      <c r="F39" s="31">
        <v>2022</v>
      </c>
      <c r="G39" s="31">
        <v>2023</v>
      </c>
      <c r="H39" s="31">
        <v>2024</v>
      </c>
    </row>
    <row r="41" spans="2:8">
      <c r="B41" s="1" t="s">
        <v>23</v>
      </c>
    </row>
    <row r="42" spans="2:8">
      <c r="B42" t="s">
        <v>24</v>
      </c>
      <c r="D42" s="13">
        <f>'Balance Sheet Historical '!D11/'Balance Sheet Historical '!D$19</f>
        <v>2.5638664962940413E-2</v>
      </c>
      <c r="E42" s="13">
        <f>'Balance Sheet Historical '!E11/'Balance Sheet Historical '!E$19</f>
        <v>2.9420412160897989E-2</v>
      </c>
      <c r="F42" s="13">
        <f>'Balance Sheet Historical '!F11/'Balance Sheet Historical '!F$19</f>
        <v>3.4364613844337227E-2</v>
      </c>
      <c r="G42" s="13">
        <f>'Balance Sheet Historical '!G11/'Balance Sheet Historical '!G$19</f>
        <v>3.5051965483190187E-2</v>
      </c>
      <c r="H42" s="13">
        <f>'Balance Sheet Historical '!H11/'Balance Sheet Historical '!H$19</f>
        <v>3.8045949728808585E-2</v>
      </c>
    </row>
    <row r="43" spans="2:8">
      <c r="B43" t="s">
        <v>25</v>
      </c>
      <c r="D43" s="13">
        <f>'Balance Sheet Historical '!D12/'Balance Sheet Historical '!D$19</f>
        <v>6.7190524588570277E-2</v>
      </c>
      <c r="E43" s="13">
        <f>'Balance Sheet Historical '!E12/'Balance Sheet Historical '!E$19</f>
        <v>6.4345874577776171E-2</v>
      </c>
      <c r="F43" s="13">
        <f>'Balance Sheet Historical '!F12/'Balance Sheet Historical '!F$19</f>
        <v>7.0121336816718505E-2</v>
      </c>
      <c r="G43" s="13">
        <f>'Balance Sheet Historical '!G12/'Balance Sheet Historical '!G$19</f>
        <v>3.4622354105811118E-2</v>
      </c>
      <c r="H43" s="13">
        <f>'Balance Sheet Historical '!H12/'Balance Sheet Historical '!H$19</f>
        <v>3.0805388288235907E-2</v>
      </c>
    </row>
    <row r="44" spans="2:8">
      <c r="B44" t="s">
        <v>26</v>
      </c>
      <c r="D44" s="13">
        <f>'Balance Sheet Historical '!D13/'Balance Sheet Historical '!D$19</f>
        <v>0.3219887685414633</v>
      </c>
      <c r="E44" s="13">
        <f>'Balance Sheet Historical '!E13/'Balance Sheet Historical '!E$19</f>
        <v>0.34094195056690307</v>
      </c>
      <c r="F44" s="13">
        <f>'Balance Sheet Historical '!F13/'Balance Sheet Historical '!F$19</f>
        <v>0.32356819686385874</v>
      </c>
      <c r="G44" s="13">
        <f>'Balance Sheet Historical '!G13/'Balance Sheet Historical '!G$19</f>
        <v>0.32655352072407839</v>
      </c>
      <c r="H44" s="13">
        <f>'Balance Sheet Historical '!H13/'Balance Sheet Historical '!H$19</f>
        <v>0.34989020824657358</v>
      </c>
    </row>
    <row r="45" spans="2:8">
      <c r="B45" t="s">
        <v>27</v>
      </c>
      <c r="D45" s="13">
        <f>'Balance Sheet Historical '!D14/'Balance Sheet Historical '!D$19</f>
        <v>0.51277869404709342</v>
      </c>
      <c r="E45" s="13">
        <f>'Balance Sheet Historical '!E14/'Balance Sheet Historical '!E$19</f>
        <v>0.5031104533064833</v>
      </c>
      <c r="F45" s="13">
        <f>'Balance Sheet Historical '!F14/'Balance Sheet Historical '!F$19</f>
        <v>0.52509900083104111</v>
      </c>
      <c r="G45" s="13">
        <f>'Balance Sheet Historical '!G14/'Balance Sheet Historical '!G$19</f>
        <v>0.55341923606995169</v>
      </c>
      <c r="H45" s="13">
        <f>'Balance Sheet Historical '!H14/'Balance Sheet Historical '!H$19</f>
        <v>0.53330904812350655</v>
      </c>
    </row>
    <row r="46" spans="2:8">
      <c r="B46" t="s">
        <v>28</v>
      </c>
      <c r="D46" s="13">
        <f>'Balance Sheet Historical '!D15/'Balance Sheet Historical '!D$19</f>
        <v>7.5573341342513277E-3</v>
      </c>
      <c r="E46" s="13">
        <f>'Balance Sheet Historical '!E15/'Balance Sheet Historical '!E$19</f>
        <v>6.8682005347768024E-3</v>
      </c>
      <c r="F46" s="13">
        <f>'Balance Sheet Historical '!F15/'Balance Sheet Historical '!F$19</f>
        <v>6.0511151928135144E-3</v>
      </c>
      <c r="G46" s="13">
        <f>'Balance Sheet Historical '!G15/'Balance Sheet Historical '!G$19</f>
        <v>5.600743846754545E-3</v>
      </c>
      <c r="H46" s="13">
        <f>'Balance Sheet Historical '!H15/'Balance Sheet Historical '!H$19</f>
        <v>5.6006443762210579E-3</v>
      </c>
    </row>
    <row r="47" spans="2:8">
      <c r="B47" t="s">
        <v>29</v>
      </c>
      <c r="D47" s="13">
        <f>'Balance Sheet Historical '!D16/'Balance Sheet Historical '!D$19</f>
        <v>6.4846013725681273E-2</v>
      </c>
      <c r="E47" s="13">
        <f>'Balance Sheet Historical '!E16/'Balance Sheet Historical '!E$19</f>
        <v>5.5244695165081702E-2</v>
      </c>
      <c r="F47" s="13">
        <f>'Balance Sheet Historical '!F16/'Balance Sheet Historical '!F$19</f>
        <v>4.0737919699778226E-2</v>
      </c>
      <c r="G47" s="13">
        <f>'Balance Sheet Historical '!G16/'Balance Sheet Historical '!G$19</f>
        <v>4.4700440024652316E-2</v>
      </c>
      <c r="H47" s="13">
        <f>'Balance Sheet Historical '!H16/'Balance Sheet Historical '!H$19</f>
        <v>4.1302189351210106E-2</v>
      </c>
    </row>
    <row r="48" spans="2:8">
      <c r="B48" t="s">
        <v>42</v>
      </c>
      <c r="D48" s="13">
        <f>'Balance Sheet Historical '!D17/'Balance Sheet Historical '!D$19</f>
        <v>0</v>
      </c>
      <c r="E48" s="13">
        <f>'Balance Sheet Historical '!E17/'Balance Sheet Historical '!E$19</f>
        <v>6.8413688080921922E-5</v>
      </c>
      <c r="F48" s="13">
        <f>'Balance Sheet Historical '!F17/'Balance Sheet Historical '!F$19</f>
        <v>5.7816751452646761E-5</v>
      </c>
      <c r="G48" s="13">
        <f>'Balance Sheet Historical '!G17/'Balance Sheet Historical '!G$19</f>
        <v>5.1739745561808567E-5</v>
      </c>
      <c r="H48" s="13">
        <f>'Balance Sheet Historical '!H17/'Balance Sheet Historical '!H$19</f>
        <v>1.04657188544437E-3</v>
      </c>
    </row>
    <row r="50" spans="2:8">
      <c r="B50" s="11" t="s">
        <v>30</v>
      </c>
      <c r="C50" s="18"/>
      <c r="D50" s="19">
        <f>SUM(D42:D48)</f>
        <v>1</v>
      </c>
      <c r="E50" s="19">
        <f t="shared" ref="E50:H50" si="7">SUM(E42:E48)</f>
        <v>0.99999999999999989</v>
      </c>
      <c r="F50" s="19">
        <f t="shared" si="7"/>
        <v>1</v>
      </c>
      <c r="G50" s="19">
        <f t="shared" si="7"/>
        <v>1</v>
      </c>
      <c r="H50" s="19">
        <f t="shared" si="7"/>
        <v>1.0000000000000002</v>
      </c>
    </row>
    <row r="53" spans="2:8">
      <c r="B53" s="1" t="s">
        <v>31</v>
      </c>
    </row>
    <row r="54" spans="2:8">
      <c r="B54" t="s">
        <v>32</v>
      </c>
      <c r="D54" s="17">
        <f>'Balance Sheet Historical '!D23/'Balance Sheet Historical '!D$32</f>
        <v>9.4008001325747393E-4</v>
      </c>
      <c r="E54" s="17">
        <f>'Balance Sheet Historical '!E23/'Balance Sheet Historical '!E$32</f>
        <v>8.7901870426202421E-4</v>
      </c>
      <c r="F54" s="17">
        <f>'Balance Sheet Historical '!F23/'Balance Sheet Historical '!F$32</f>
        <v>7.9307118113938464E-4</v>
      </c>
      <c r="G54" s="17">
        <f>'Balance Sheet Historical '!G23/'Balance Sheet Historical '!G$32</f>
        <v>7.1318957234644176E-4</v>
      </c>
      <c r="H54" s="17">
        <f>'Balance Sheet Historical '!H23/'Balance Sheet Historical '!H$32</f>
        <v>5.9418001282539833E-4</v>
      </c>
    </row>
    <row r="55" spans="2:8">
      <c r="B55" t="s">
        <v>33</v>
      </c>
      <c r="D55" s="17">
        <f>'Balance Sheet Historical '!D24/'Balance Sheet Historical '!D$32</f>
        <v>2.5309080515025564E-6</v>
      </c>
      <c r="E55" s="17">
        <f>'Balance Sheet Historical '!E24/'Balance Sheet Historical '!E$32</f>
        <v>1.9703748084563605E-6</v>
      </c>
      <c r="F55" s="17">
        <f>'Balance Sheet Historical '!F24/'Balance Sheet Historical '!F$32</f>
        <v>1.5200754159287193E-4</v>
      </c>
      <c r="G55" s="17">
        <f>'Balance Sheet Historical '!G24/'Balance Sheet Historical '!G$32</f>
        <v>3.8850630174898425E-4</v>
      </c>
      <c r="H55" s="17">
        <f>'Balance Sheet Historical '!H24/'Balance Sheet Historical '!H$32</f>
        <v>5.9445031018742582E-4</v>
      </c>
    </row>
    <row r="56" spans="2:8">
      <c r="B56" t="s">
        <v>34</v>
      </c>
      <c r="D56" s="17">
        <f>'Balance Sheet Historical '!D25/'Balance Sheet Historical '!D$32</f>
        <v>8.8334054056800754E-2</v>
      </c>
      <c r="E56" s="17">
        <f>'Balance Sheet Historical '!E25/'Balance Sheet Historical '!E$32</f>
        <v>9.9250078677396505E-2</v>
      </c>
      <c r="F56" s="17">
        <f>'Balance Sheet Historical '!F25/'Balance Sheet Historical '!F$32</f>
        <v>0.10292836879877858</v>
      </c>
      <c r="G56" s="17">
        <f>'Balance Sheet Historical '!G25/'Balance Sheet Historical '!G$32</f>
        <v>0.1084203005964343</v>
      </c>
      <c r="H56" s="17">
        <f>'Balance Sheet Historical '!H25/'Balance Sheet Historical '!H$32</f>
        <v>0.10716035683189923</v>
      </c>
    </row>
    <row r="57" spans="2:8">
      <c r="B57" t="s">
        <v>39</v>
      </c>
      <c r="D57" s="17">
        <f>'Balance Sheet Historical '!D26/'Balance Sheet Historical '!D$32</f>
        <v>4.9334262117002713E-3</v>
      </c>
      <c r="E57" s="17">
        <f>'Balance Sheet Historical '!E26/'Balance Sheet Historical '!E$32</f>
        <v>6.0924289621580438E-3</v>
      </c>
      <c r="F57" s="17">
        <f>'Balance Sheet Historical '!F26/'Balance Sheet Historical '!F$32</f>
        <v>3.4125105145102579E-3</v>
      </c>
      <c r="G57" s="17">
        <f>'Balance Sheet Historical '!G26/'Balance Sheet Historical '!G$32</f>
        <v>3.4142379604306041E-3</v>
      </c>
      <c r="H57" s="17">
        <f>'Balance Sheet Historical '!H26/'Balance Sheet Historical '!H$32</f>
        <v>5.8748079211267982E-3</v>
      </c>
    </row>
    <row r="58" spans="2:8">
      <c r="B58" t="s">
        <v>40</v>
      </c>
      <c r="D58" s="17">
        <f>'Balance Sheet Historical '!D27/'Balance Sheet Historical '!D$32</f>
        <v>0.58141942735183749</v>
      </c>
      <c r="E58" s="17">
        <f>'Balance Sheet Historical '!E27/'Balance Sheet Historical '!E$32</f>
        <v>0.60994570432000816</v>
      </c>
      <c r="F58" s="17">
        <f>'Balance Sheet Historical '!F27/'Balance Sheet Historical '!F$32</f>
        <v>0.6226991409346827</v>
      </c>
      <c r="G58" s="17">
        <f>'Balance Sheet Historical '!G27/'Balance Sheet Historical '!G$32</f>
        <v>0.61824765244188984</v>
      </c>
      <c r="H58" s="17">
        <f>'Balance Sheet Historical '!H27/'Balance Sheet Historical '!H$32</f>
        <v>0.61063513773005773</v>
      </c>
    </row>
    <row r="59" spans="2:8">
      <c r="B59" t="s">
        <v>35</v>
      </c>
      <c r="D59" s="17">
        <f>'Balance Sheet Historical '!D28/'Balance Sheet Historical '!D$32</f>
        <v>0.15526972205664707</v>
      </c>
      <c r="E59" s="17">
        <f>'Balance Sheet Historical '!E28/'Balance Sheet Historical '!E$32</f>
        <v>9.1433993981012388E-2</v>
      </c>
      <c r="F59" s="17">
        <f>'Balance Sheet Historical '!F28/'Balance Sheet Historical '!F$32</f>
        <v>9.2205429544610015E-2</v>
      </c>
      <c r="G59" s="17">
        <f>'Balance Sheet Historical '!G28/'Balance Sheet Historical '!G$32</f>
        <v>9.6534452216951463E-2</v>
      </c>
      <c r="H59" s="17">
        <f>'Balance Sheet Historical '!H28/'Balance Sheet Historical '!H$32</f>
        <v>8.7742161857399956E-2</v>
      </c>
    </row>
    <row r="60" spans="2:8">
      <c r="B60" t="s">
        <v>41</v>
      </c>
      <c r="D60" s="17">
        <f>'Balance Sheet Historical '!D29/'Balance Sheet Historical '!D$32</f>
        <v>0.10563208554298328</v>
      </c>
      <c r="E60" s="17">
        <f>'Balance Sheet Historical '!E29/'Balance Sheet Historical '!E$32</f>
        <v>0.12910055948359977</v>
      </c>
      <c r="F60" s="17">
        <f>'Balance Sheet Historical '!F29/'Balance Sheet Historical '!F$32</f>
        <v>0.13056163153208677</v>
      </c>
      <c r="G60" s="17">
        <f>'Balance Sheet Historical '!G29/'Balance Sheet Historical '!G$32</f>
        <v>0.1219650372906558</v>
      </c>
      <c r="H60" s="17">
        <f>'Balance Sheet Historical '!H29/'Balance Sheet Historical '!H$32</f>
        <v>0.11899781297180324</v>
      </c>
    </row>
    <row r="61" spans="2:8">
      <c r="B61" t="s">
        <v>36</v>
      </c>
      <c r="D61" s="17">
        <f>'Balance Sheet Historical '!D30/'Balance Sheet Historical '!D$32</f>
        <v>6.3468673858722083E-2</v>
      </c>
      <c r="E61" s="17">
        <f>'Balance Sheet Historical '!E30/'Balance Sheet Historical '!E$32</f>
        <v>6.3296245496754597E-2</v>
      </c>
      <c r="F61" s="17">
        <f>'Balance Sheet Historical '!F30/'Balance Sheet Historical '!F$32</f>
        <v>4.7247839952599312E-2</v>
      </c>
      <c r="G61" s="17">
        <f>'Balance Sheet Historical '!G30/'Balance Sheet Historical '!G$32</f>
        <v>5.0316623619542644E-2</v>
      </c>
      <c r="H61" s="17">
        <f>'Balance Sheet Historical '!H30/'Balance Sheet Historical '!H$32</f>
        <v>6.8401092364700072E-2</v>
      </c>
    </row>
    <row r="63" spans="2:8">
      <c r="B63" s="11" t="s">
        <v>37</v>
      </c>
      <c r="C63" s="11"/>
      <c r="D63" s="118">
        <f>SUM(D54:D61)</f>
        <v>0.99999999999999989</v>
      </c>
      <c r="E63" s="118">
        <f t="shared" ref="E63:H63" si="8">SUM(E54:E61)</f>
        <v>1</v>
      </c>
      <c r="F63" s="118">
        <f t="shared" si="8"/>
        <v>0.99999999999999978</v>
      </c>
      <c r="G63" s="118">
        <f t="shared" si="8"/>
        <v>1</v>
      </c>
      <c r="H63" s="118">
        <f t="shared" si="8"/>
        <v>0.99999999999999978</v>
      </c>
    </row>
    <row r="65" spans="2:8">
      <c r="B65" s="30"/>
      <c r="C65" s="30"/>
      <c r="D65" s="30"/>
      <c r="E65" s="30"/>
      <c r="F65" s="30"/>
      <c r="G65" s="30"/>
      <c r="H65" s="3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94"/>
  <sheetViews>
    <sheetView showGridLines="0" topLeftCell="B1" workbookViewId="0">
      <pane xSplit="1" ySplit="9" topLeftCell="G10" activePane="bottomRight" state="frozen"/>
      <selection activeCell="B1" sqref="B1"/>
      <selection pane="topRight" activeCell="C1" sqref="C1"/>
      <selection pane="bottomLeft" activeCell="B10" sqref="B10"/>
      <selection pane="bottomRight" activeCell="D8" sqref="D8:R8"/>
    </sheetView>
  </sheetViews>
  <sheetFormatPr defaultRowHeight="15"/>
  <cols>
    <col min="1" max="1" width="1.85546875" customWidth="1"/>
    <col min="2" max="2" width="31.140625" bestFit="1" customWidth="1"/>
    <col min="3" max="3" width="10.5703125" bestFit="1" customWidth="1"/>
    <col min="4" max="6" width="11.7109375" bestFit="1" customWidth="1"/>
    <col min="7" max="7" width="12.7109375" bestFit="1" customWidth="1"/>
    <col min="8" max="8" width="13.140625" customWidth="1"/>
    <col min="9" max="15" width="12.85546875" bestFit="1" customWidth="1"/>
    <col min="16" max="16" width="12.140625" bestFit="1" customWidth="1"/>
    <col min="17" max="17" width="12.85546875" bestFit="1" customWidth="1"/>
    <col min="18" max="18" width="12.28515625" bestFit="1" customWidth="1"/>
  </cols>
  <sheetData>
    <row r="1" spans="2:19" ht="5.0999999999999996" customHeight="1">
      <c r="B1" s="30"/>
      <c r="C1" s="30"/>
      <c r="D1" s="30"/>
      <c r="E1" s="30"/>
      <c r="F1" s="30"/>
      <c r="G1" s="30"/>
      <c r="H1" s="30"/>
      <c r="I1" s="30"/>
      <c r="J1" s="30"/>
      <c r="K1" s="30"/>
      <c r="L1" s="30"/>
      <c r="M1" s="30"/>
      <c r="N1" s="30"/>
      <c r="O1" s="30"/>
      <c r="P1" s="30"/>
      <c r="Q1" s="30"/>
      <c r="R1" s="30"/>
    </row>
    <row r="3" spans="2:19">
      <c r="B3" s="170" t="s">
        <v>260</v>
      </c>
    </row>
    <row r="4" spans="2:19">
      <c r="B4" s="171" t="s">
        <v>262</v>
      </c>
    </row>
    <row r="5" spans="2:19">
      <c r="B5" s="25" t="s">
        <v>261</v>
      </c>
      <c r="C5" s="29"/>
      <c r="D5" s="29"/>
      <c r="E5" s="29"/>
      <c r="F5" s="29"/>
      <c r="G5" s="29"/>
      <c r="H5" s="29"/>
      <c r="I5" s="29"/>
      <c r="J5" s="29"/>
      <c r="K5" s="29"/>
      <c r="L5" s="29"/>
      <c r="M5" s="29"/>
      <c r="N5" s="29"/>
      <c r="O5" s="29"/>
      <c r="P5" s="29"/>
      <c r="Q5" s="29"/>
      <c r="R5" s="29"/>
    </row>
    <row r="7" spans="2:19">
      <c r="B7" s="307" t="s">
        <v>43</v>
      </c>
      <c r="C7" s="307"/>
      <c r="D7" s="307"/>
      <c r="E7" s="307"/>
      <c r="F7" s="307"/>
      <c r="G7" s="307"/>
      <c r="H7" s="307"/>
      <c r="I7" s="307"/>
      <c r="J7" s="307"/>
      <c r="K7" s="307"/>
      <c r="L7" s="307"/>
      <c r="M7" s="307"/>
      <c r="N7" s="307"/>
      <c r="O7" s="307"/>
      <c r="P7" s="307"/>
      <c r="Q7" s="307"/>
      <c r="R7" s="307"/>
      <c r="S7" s="172"/>
    </row>
    <row r="8" spans="2:19">
      <c r="B8" s="31" t="s">
        <v>0</v>
      </c>
      <c r="C8" s="31" t="s">
        <v>44</v>
      </c>
      <c r="D8" s="31">
        <v>2020</v>
      </c>
      <c r="E8" s="31">
        <v>2021</v>
      </c>
      <c r="F8" s="31">
        <v>2022</v>
      </c>
      <c r="G8" s="31">
        <v>2023</v>
      </c>
      <c r="H8" s="31">
        <v>2024</v>
      </c>
      <c r="I8" s="31">
        <v>2025</v>
      </c>
      <c r="J8" s="31">
        <v>2026</v>
      </c>
      <c r="K8" s="31">
        <v>2027</v>
      </c>
      <c r="L8" s="31">
        <v>2028</v>
      </c>
      <c r="M8" s="31">
        <v>2029</v>
      </c>
      <c r="N8" s="31">
        <v>2030</v>
      </c>
      <c r="O8" s="31">
        <v>2031</v>
      </c>
      <c r="P8" s="31">
        <v>2032</v>
      </c>
      <c r="Q8" s="31">
        <v>2033</v>
      </c>
      <c r="R8" s="31">
        <v>2034</v>
      </c>
    </row>
    <row r="9" spans="2:19">
      <c r="B9" s="31"/>
      <c r="C9" s="31"/>
      <c r="D9" s="167" t="s">
        <v>73</v>
      </c>
      <c r="E9" s="167" t="s">
        <v>73</v>
      </c>
      <c r="F9" s="167" t="s">
        <v>73</v>
      </c>
      <c r="G9" s="167" t="s">
        <v>73</v>
      </c>
      <c r="H9" s="167" t="s">
        <v>73</v>
      </c>
      <c r="I9" s="167" t="s">
        <v>259</v>
      </c>
      <c r="J9" s="167" t="s">
        <v>259</v>
      </c>
      <c r="K9" s="167" t="s">
        <v>259</v>
      </c>
      <c r="L9" s="167" t="s">
        <v>259</v>
      </c>
      <c r="M9" s="167" t="s">
        <v>259</v>
      </c>
      <c r="N9" s="167" t="s">
        <v>259</v>
      </c>
      <c r="O9" s="167" t="s">
        <v>259</v>
      </c>
      <c r="P9" s="167" t="s">
        <v>259</v>
      </c>
      <c r="Q9" s="167" t="s">
        <v>259</v>
      </c>
      <c r="R9" s="167" t="s">
        <v>259</v>
      </c>
    </row>
    <row r="10" spans="2:19">
      <c r="B10" s="1" t="s">
        <v>45</v>
      </c>
      <c r="C10" s="1" t="s">
        <v>60</v>
      </c>
      <c r="D10" s="1">
        <v>12</v>
      </c>
      <c r="E10" s="1">
        <v>12</v>
      </c>
      <c r="F10" s="1">
        <v>12</v>
      </c>
      <c r="G10" s="1">
        <v>12</v>
      </c>
      <c r="H10" s="1">
        <v>12</v>
      </c>
      <c r="I10" s="1">
        <v>12</v>
      </c>
      <c r="J10" s="1">
        <v>12</v>
      </c>
      <c r="K10" s="1">
        <v>12</v>
      </c>
      <c r="L10" s="1">
        <v>12</v>
      </c>
      <c r="M10" s="1">
        <v>12</v>
      </c>
      <c r="N10" s="1">
        <v>12</v>
      </c>
      <c r="O10" s="1">
        <v>12</v>
      </c>
      <c r="P10" s="1">
        <v>12</v>
      </c>
      <c r="Q10" s="1">
        <v>12</v>
      </c>
      <c r="R10" s="1">
        <v>12</v>
      </c>
    </row>
    <row r="12" spans="2:19">
      <c r="B12" s="25" t="s">
        <v>5</v>
      </c>
      <c r="C12" s="25" t="s">
        <v>61</v>
      </c>
      <c r="D12" s="185">
        <f>D17+D26+D35+D44+D53+D62+D71+D80</f>
        <v>1497860.9999999993</v>
      </c>
      <c r="E12" s="185">
        <f t="shared" ref="E12:R12" si="0">E17+E26+E35+E44+E53+E62+E71+E80</f>
        <v>1613364.7999999996</v>
      </c>
      <c r="F12" s="185">
        <f t="shared" si="0"/>
        <v>1575363.2</v>
      </c>
      <c r="G12" s="185">
        <f t="shared" si="0"/>
        <v>1861787.9999999995</v>
      </c>
      <c r="H12" s="185">
        <f t="shared" si="0"/>
        <v>2360377.1999999997</v>
      </c>
      <c r="I12" s="185">
        <f t="shared" si="0"/>
        <v>2768702.9719339074</v>
      </c>
      <c r="J12" s="185">
        <f t="shared" si="0"/>
        <v>3242148.501308708</v>
      </c>
      <c r="K12" s="185">
        <f t="shared" si="0"/>
        <v>3793857.7313623894</v>
      </c>
      <c r="L12" s="185">
        <f t="shared" si="0"/>
        <v>4440035.5020245984</v>
      </c>
      <c r="M12" s="185">
        <f t="shared" si="0"/>
        <v>5200488.8929056376</v>
      </c>
      <c r="N12" s="185">
        <f t="shared" si="0"/>
        <v>6099288.4389730319</v>
      </c>
      <c r="O12" s="185">
        <f t="shared" si="0"/>
        <v>7165580.9980989909</v>
      </c>
      <c r="P12" s="185">
        <f t="shared" si="0"/>
        <v>8434589.4642331339</v>
      </c>
      <c r="Q12" s="185">
        <f t="shared" si="0"/>
        <v>9948839.7233990394</v>
      </c>
      <c r="R12" s="185">
        <f t="shared" si="0"/>
        <v>11759662.534830462</v>
      </c>
    </row>
    <row r="15" spans="2:19">
      <c r="B15" s="1" t="s">
        <v>46</v>
      </c>
    </row>
    <row r="17" spans="2:18">
      <c r="B17" s="1" t="s">
        <v>48</v>
      </c>
      <c r="C17" s="50" t="s">
        <v>61</v>
      </c>
      <c r="D17" s="257">
        <v>725542.40000000002</v>
      </c>
      <c r="E17" s="257">
        <v>756692.9</v>
      </c>
      <c r="F17" s="257">
        <v>846392.2</v>
      </c>
      <c r="G17" s="257">
        <v>1037753.4</v>
      </c>
      <c r="H17" s="257">
        <v>1345475.7</v>
      </c>
      <c r="I17" s="4">
        <f>H17*(1+I18)</f>
        <v>1570106.5448263655</v>
      </c>
      <c r="J17" s="4">
        <f t="shared" ref="J17:R17" si="1">I17*(1+J18)</f>
        <v>1832240.1230335026</v>
      </c>
      <c r="K17" s="4">
        <f t="shared" si="1"/>
        <v>2138137.618441097</v>
      </c>
      <c r="L17" s="4">
        <f t="shared" si="1"/>
        <v>2495105.5366171421</v>
      </c>
      <c r="M17" s="4">
        <f t="shared" si="1"/>
        <v>2911670.2242003153</v>
      </c>
      <c r="N17" s="4">
        <f t="shared" si="1"/>
        <v>3397781.5247001238</v>
      </c>
      <c r="O17" s="4">
        <f t="shared" si="1"/>
        <v>3965050.4351894069</v>
      </c>
      <c r="P17" s="4">
        <f t="shared" si="1"/>
        <v>4627026.4404310808</v>
      </c>
      <c r="Q17" s="4">
        <f t="shared" si="1"/>
        <v>5399521.1486952025</v>
      </c>
      <c r="R17" s="4">
        <f t="shared" si="1"/>
        <v>6300985.9594600732</v>
      </c>
    </row>
    <row r="18" spans="2:18">
      <c r="B18" t="s">
        <v>62</v>
      </c>
      <c r="C18" s="51">
        <f>_xlfn.STDEV.S(D18:H18)</f>
        <v>0.1124646345491124</v>
      </c>
      <c r="E18" s="49">
        <f>E17/D17-1</f>
        <v>4.2934086278072714E-2</v>
      </c>
      <c r="F18" s="49">
        <f t="shared" ref="F18:H18" si="2">F17/E17-1</f>
        <v>0.11854122061935546</v>
      </c>
      <c r="G18" s="49">
        <f t="shared" si="2"/>
        <v>0.22609045782794324</v>
      </c>
      <c r="H18" s="49">
        <f t="shared" si="2"/>
        <v>0.29652738309505899</v>
      </c>
      <c r="I18" s="49">
        <f t="array" ref="I18:R18">CHOOSE(Assumption!$E$25,'Revenue Buildup'!I21:R21,'Revenue Buildup'!I22:R22,'Revenue Buildup'!I23:R23)</f>
        <v>0.16695273264791455</v>
      </c>
      <c r="J18" s="49">
        <v>0.16695273264791455</v>
      </c>
      <c r="K18" s="49">
        <v>0.16695273264791455</v>
      </c>
      <c r="L18" s="49">
        <v>0.16695273264791455</v>
      </c>
      <c r="M18" s="49">
        <v>0.16695273264791455</v>
      </c>
      <c r="N18" s="49">
        <v>0.16695273264791455</v>
      </c>
      <c r="O18" s="49">
        <v>0.16695273264791455</v>
      </c>
      <c r="P18" s="49">
        <v>0.16695273264791455</v>
      </c>
      <c r="Q18" s="49">
        <v>0.16695273264791455</v>
      </c>
      <c r="R18" s="49">
        <v>0.16695273264791455</v>
      </c>
    </row>
    <row r="19" spans="2:18">
      <c r="B19" s="21"/>
      <c r="C19" s="50"/>
    </row>
    <row r="20" spans="2:18">
      <c r="B20" s="1" t="s">
        <v>49</v>
      </c>
      <c r="C20" s="50"/>
    </row>
    <row r="21" spans="2:18">
      <c r="B21" t="s">
        <v>50</v>
      </c>
      <c r="C21" s="50"/>
      <c r="E21" s="186"/>
      <c r="F21" s="186"/>
      <c r="G21" s="186"/>
      <c r="H21" s="186"/>
      <c r="I21" s="47">
        <f>I22+$C$18</f>
        <v>0.27941736719702692</v>
      </c>
      <c r="J21" s="47">
        <f>I21</f>
        <v>0.27941736719702692</v>
      </c>
      <c r="K21" s="47">
        <f t="shared" ref="K21:R21" si="3">J21</f>
        <v>0.27941736719702692</v>
      </c>
      <c r="L21" s="47">
        <f t="shared" si="3"/>
        <v>0.27941736719702692</v>
      </c>
      <c r="M21" s="47">
        <f t="shared" si="3"/>
        <v>0.27941736719702692</v>
      </c>
      <c r="N21" s="47">
        <f t="shared" si="3"/>
        <v>0.27941736719702692</v>
      </c>
      <c r="O21" s="47">
        <f t="shared" si="3"/>
        <v>0.27941736719702692</v>
      </c>
      <c r="P21" s="47">
        <f t="shared" si="3"/>
        <v>0.27941736719702692</v>
      </c>
      <c r="Q21" s="47">
        <f t="shared" si="3"/>
        <v>0.27941736719702692</v>
      </c>
      <c r="R21" s="47">
        <f t="shared" si="3"/>
        <v>0.27941736719702692</v>
      </c>
    </row>
    <row r="22" spans="2:18">
      <c r="B22" t="s">
        <v>51</v>
      </c>
      <c r="C22" s="50"/>
      <c r="E22" s="186"/>
      <c r="F22" s="186"/>
      <c r="G22" s="186"/>
      <c r="H22" s="186"/>
      <c r="I22" s="48">
        <f>_xlfn.RRI(COUNT(D17:H17)-1,D17,H17)</f>
        <v>0.16695273264791455</v>
      </c>
      <c r="J22" s="47">
        <f>I22</f>
        <v>0.16695273264791455</v>
      </c>
      <c r="K22" s="47">
        <f t="shared" ref="J22:R23" si="4">J22</f>
        <v>0.16695273264791455</v>
      </c>
      <c r="L22" s="47">
        <f t="shared" si="4"/>
        <v>0.16695273264791455</v>
      </c>
      <c r="M22" s="47">
        <f t="shared" si="4"/>
        <v>0.16695273264791455</v>
      </c>
      <c r="N22" s="47">
        <f t="shared" si="4"/>
        <v>0.16695273264791455</v>
      </c>
      <c r="O22" s="47">
        <f t="shared" si="4"/>
        <v>0.16695273264791455</v>
      </c>
      <c r="P22" s="47">
        <f t="shared" si="4"/>
        <v>0.16695273264791455</v>
      </c>
      <c r="Q22" s="47">
        <f t="shared" si="4"/>
        <v>0.16695273264791455</v>
      </c>
      <c r="R22" s="47">
        <f t="shared" si="4"/>
        <v>0.16695273264791455</v>
      </c>
    </row>
    <row r="23" spans="2:18">
      <c r="B23" t="s">
        <v>52</v>
      </c>
      <c r="C23" s="50"/>
      <c r="E23" s="186"/>
      <c r="F23" s="186"/>
      <c r="G23" s="186"/>
      <c r="H23" s="186"/>
      <c r="I23" s="47">
        <f>I22-$C$18</f>
        <v>5.4488098098802146E-2</v>
      </c>
      <c r="J23" s="47">
        <f t="shared" si="4"/>
        <v>5.4488098098802146E-2</v>
      </c>
      <c r="K23" s="47">
        <f t="shared" si="4"/>
        <v>5.4488098098802146E-2</v>
      </c>
      <c r="L23" s="47">
        <f t="shared" si="4"/>
        <v>5.4488098098802146E-2</v>
      </c>
      <c r="M23" s="47">
        <f t="shared" si="4"/>
        <v>5.4488098098802146E-2</v>
      </c>
      <c r="N23" s="47">
        <f t="shared" si="4"/>
        <v>5.4488098098802146E-2</v>
      </c>
      <c r="O23" s="47">
        <f t="shared" si="4"/>
        <v>5.4488098098802146E-2</v>
      </c>
      <c r="P23" s="47">
        <f t="shared" si="4"/>
        <v>5.4488098098802146E-2</v>
      </c>
      <c r="Q23" s="47">
        <f t="shared" si="4"/>
        <v>5.4488098098802146E-2</v>
      </c>
      <c r="R23" s="47">
        <f t="shared" si="4"/>
        <v>5.4488098098802146E-2</v>
      </c>
    </row>
    <row r="24" spans="2:18">
      <c r="C24" s="50"/>
    </row>
    <row r="25" spans="2:18">
      <c r="C25" s="50"/>
    </row>
    <row r="26" spans="2:18">
      <c r="B26" s="1" t="s">
        <v>53</v>
      </c>
      <c r="C26" s="50" t="s">
        <v>61</v>
      </c>
      <c r="D26" s="257">
        <v>399423.4</v>
      </c>
      <c r="E26" s="257">
        <v>371945.3</v>
      </c>
      <c r="F26" s="257">
        <v>399714.9</v>
      </c>
      <c r="G26" s="257">
        <v>506148.5</v>
      </c>
      <c r="H26" s="257">
        <v>717802.2</v>
      </c>
      <c r="I26" s="4">
        <f>H26*(1+I27)</f>
        <v>872693.77617668605</v>
      </c>
      <c r="J26" s="4">
        <f t="shared" ref="J26:R26" si="5">I26*(1+J27)</f>
        <v>1061008.766729224</v>
      </c>
      <c r="K26" s="4">
        <f t="shared" si="5"/>
        <v>1289959.4723915518</v>
      </c>
      <c r="L26" s="4">
        <f t="shared" si="5"/>
        <v>1568314.5065259887</v>
      </c>
      <c r="M26" s="4">
        <f t="shared" si="5"/>
        <v>1906734.6254063321</v>
      </c>
      <c r="N26" s="4">
        <f t="shared" si="5"/>
        <v>2318181.0259326189</v>
      </c>
      <c r="O26" s="4">
        <f t="shared" si="5"/>
        <v>2818411.7482257388</v>
      </c>
      <c r="P26" s="4">
        <f t="shared" si="5"/>
        <v>3426585.1948905359</v>
      </c>
      <c r="Q26" s="4">
        <f t="shared" si="5"/>
        <v>4165993.8812114922</v>
      </c>
      <c r="R26" s="4">
        <f t="shared" si="5"/>
        <v>5064956.5182767976</v>
      </c>
    </row>
    <row r="27" spans="2:18">
      <c r="B27" t="s">
        <v>62</v>
      </c>
      <c r="C27" s="51">
        <f>_xlfn.STDEV.S(D27:H27)</f>
        <v>0.21365117703807104</v>
      </c>
      <c r="E27" s="49">
        <f>E26/D26-1</f>
        <v>-6.8794417152325149E-2</v>
      </c>
      <c r="F27" s="49">
        <f t="shared" ref="F27:H27" si="6">F26/E26-1</f>
        <v>7.4660440661570515E-2</v>
      </c>
      <c r="G27" s="49">
        <f t="shared" si="6"/>
        <v>0.26627378664142864</v>
      </c>
      <c r="H27" s="49">
        <f t="shared" si="6"/>
        <v>0.41816522226184594</v>
      </c>
      <c r="I27" s="49">
        <f t="array" ref="I27">CHOOSE(Assumption!$E$25,'Revenue Buildup'!I30:R30,'Revenue Buildup'!I31:R31,'Revenue Buildup'!I32:R32)</f>
        <v>0.21578587551930895</v>
      </c>
      <c r="J27" s="49">
        <f t="array" ref="J27">CHOOSE(Assumption!$E$25,'Revenue Buildup'!J30:S30,'Revenue Buildup'!J31:S31,'Revenue Buildup'!J32:S32)</f>
        <v>0.21578587551930895</v>
      </c>
      <c r="K27" s="49">
        <f t="array" ref="K27">CHOOSE(Assumption!$E$25,'Revenue Buildup'!K30:T30,'Revenue Buildup'!K31:T31,'Revenue Buildup'!K32:T32)</f>
        <v>0.21578587551930895</v>
      </c>
      <c r="L27" s="49">
        <f t="array" ref="L27">CHOOSE(Assumption!$E$25,'Revenue Buildup'!L30:U30,'Revenue Buildup'!L31:U31,'Revenue Buildup'!L32:U32)</f>
        <v>0.21578587551930895</v>
      </c>
      <c r="M27" s="49">
        <f t="array" ref="M27">CHOOSE(Assumption!$E$25,'Revenue Buildup'!M30:V30,'Revenue Buildup'!M31:V31,'Revenue Buildup'!M32:V32)</f>
        <v>0.21578587551930895</v>
      </c>
      <c r="N27" s="49">
        <f t="array" ref="N27">CHOOSE(Assumption!$E$25,'Revenue Buildup'!N30:W30,'Revenue Buildup'!N31:W31,'Revenue Buildup'!N32:W32)</f>
        <v>0.21578587551930895</v>
      </c>
      <c r="O27" s="49">
        <f t="array" ref="O27">CHOOSE(Assumption!$E$25,'Revenue Buildup'!O30:X30,'Revenue Buildup'!O31:X31,'Revenue Buildup'!O32:X32)</f>
        <v>0.21578587551930895</v>
      </c>
      <c r="P27" s="49">
        <f t="array" ref="P27">CHOOSE(Assumption!$E$25,'Revenue Buildup'!P30:Y30,'Revenue Buildup'!P31:Y31,'Revenue Buildup'!P32:Y32)</f>
        <v>0.21578587551930895</v>
      </c>
      <c r="Q27" s="49">
        <f t="array" ref="Q27">CHOOSE(Assumption!$E$25,'Revenue Buildup'!Q30:Z30,'Revenue Buildup'!Q31:Z31,'Revenue Buildup'!Q32:Z32)</f>
        <v>0.21578587551930895</v>
      </c>
      <c r="R27" s="49">
        <f t="array" ref="R27">CHOOSE(Assumption!$E$25,'Revenue Buildup'!R30:AA30,'Revenue Buildup'!R31:AA31,'Revenue Buildup'!R32:AA32)</f>
        <v>0.21578587551930895</v>
      </c>
    </row>
    <row r="28" spans="2:18">
      <c r="B28" s="21"/>
      <c r="C28" s="50"/>
    </row>
    <row r="29" spans="2:18">
      <c r="B29" s="1" t="s">
        <v>49</v>
      </c>
      <c r="C29" s="50"/>
    </row>
    <row r="30" spans="2:18">
      <c r="B30" t="s">
        <v>50</v>
      </c>
      <c r="C30" s="50"/>
      <c r="E30" s="186"/>
      <c r="F30" s="186"/>
      <c r="G30" s="186"/>
      <c r="H30" s="186"/>
      <c r="I30" s="47">
        <f>I31+5%</f>
        <v>0.26578587551930893</v>
      </c>
      <c r="J30" s="47">
        <f>I30</f>
        <v>0.26578587551930893</v>
      </c>
      <c r="K30" s="47">
        <f t="shared" ref="K30:R30" si="7">J30</f>
        <v>0.26578587551930893</v>
      </c>
      <c r="L30" s="47">
        <f t="shared" si="7"/>
        <v>0.26578587551930893</v>
      </c>
      <c r="M30" s="47">
        <f t="shared" si="7"/>
        <v>0.26578587551930893</v>
      </c>
      <c r="N30" s="47">
        <f t="shared" si="7"/>
        <v>0.26578587551930893</v>
      </c>
      <c r="O30" s="47">
        <f t="shared" si="7"/>
        <v>0.26578587551930893</v>
      </c>
      <c r="P30" s="47">
        <f t="shared" si="7"/>
        <v>0.26578587551930893</v>
      </c>
      <c r="Q30" s="47">
        <f t="shared" si="7"/>
        <v>0.26578587551930893</v>
      </c>
      <c r="R30" s="47">
        <f t="shared" si="7"/>
        <v>0.26578587551930893</v>
      </c>
    </row>
    <row r="31" spans="2:18">
      <c r="B31" t="s">
        <v>51</v>
      </c>
      <c r="C31" s="50"/>
      <c r="E31" s="186"/>
      <c r="F31" s="186"/>
      <c r="G31" s="186"/>
      <c r="H31" s="186"/>
      <c r="I31" s="48">
        <f>_xlfn.RRI(COUNT(D27:H27)-1,D26,H26)</f>
        <v>0.21578587551930895</v>
      </c>
      <c r="J31" s="47">
        <f t="shared" ref="J31:R32" si="8">I31</f>
        <v>0.21578587551930895</v>
      </c>
      <c r="K31" s="47">
        <f t="shared" si="8"/>
        <v>0.21578587551930895</v>
      </c>
      <c r="L31" s="47">
        <f t="shared" si="8"/>
        <v>0.21578587551930895</v>
      </c>
      <c r="M31" s="47">
        <f t="shared" si="8"/>
        <v>0.21578587551930895</v>
      </c>
      <c r="N31" s="47">
        <f t="shared" si="8"/>
        <v>0.21578587551930895</v>
      </c>
      <c r="O31" s="47">
        <f t="shared" si="8"/>
        <v>0.21578587551930895</v>
      </c>
      <c r="P31" s="47">
        <f t="shared" si="8"/>
        <v>0.21578587551930895</v>
      </c>
      <c r="Q31" s="47">
        <f t="shared" si="8"/>
        <v>0.21578587551930895</v>
      </c>
      <c r="R31" s="47">
        <f t="shared" si="8"/>
        <v>0.21578587551930895</v>
      </c>
    </row>
    <row r="32" spans="2:18">
      <c r="B32" t="s">
        <v>52</v>
      </c>
      <c r="C32" s="50"/>
      <c r="E32" s="186"/>
      <c r="F32" s="186"/>
      <c r="G32" s="186"/>
      <c r="H32" s="186"/>
      <c r="I32" s="47">
        <f>MIN(E27)</f>
        <v>-6.8794417152325149E-2</v>
      </c>
      <c r="J32" s="47">
        <f t="shared" si="8"/>
        <v>-6.8794417152325149E-2</v>
      </c>
      <c r="K32" s="47">
        <f t="shared" si="8"/>
        <v>-6.8794417152325149E-2</v>
      </c>
      <c r="L32" s="47">
        <f t="shared" si="8"/>
        <v>-6.8794417152325149E-2</v>
      </c>
      <c r="M32" s="47">
        <f t="shared" si="8"/>
        <v>-6.8794417152325149E-2</v>
      </c>
      <c r="N32" s="47">
        <f t="shared" si="8"/>
        <v>-6.8794417152325149E-2</v>
      </c>
      <c r="O32" s="47">
        <f t="shared" si="8"/>
        <v>-6.8794417152325149E-2</v>
      </c>
      <c r="P32" s="47">
        <f t="shared" si="8"/>
        <v>-6.8794417152325149E-2</v>
      </c>
      <c r="Q32" s="47">
        <f t="shared" si="8"/>
        <v>-6.8794417152325149E-2</v>
      </c>
      <c r="R32" s="47">
        <f t="shared" si="8"/>
        <v>-6.8794417152325149E-2</v>
      </c>
    </row>
    <row r="33" spans="2:18">
      <c r="C33" s="50"/>
    </row>
    <row r="34" spans="2:18">
      <c r="C34" s="50"/>
    </row>
    <row r="35" spans="2:18">
      <c r="B35" s="1" t="s">
        <v>54</v>
      </c>
      <c r="C35" s="50" t="s">
        <v>61</v>
      </c>
      <c r="D35" s="257">
        <v>620926.1</v>
      </c>
      <c r="E35" s="257">
        <v>666253.80000000005</v>
      </c>
      <c r="F35" s="257">
        <v>673210.9</v>
      </c>
      <c r="G35" s="257">
        <v>845369.2</v>
      </c>
      <c r="H35" s="257">
        <v>1137018.3</v>
      </c>
      <c r="I35" s="4">
        <f>H35*(1+I36)</f>
        <v>1322663.4098852642</v>
      </c>
      <c r="J35" s="4">
        <f t="shared" ref="J35:R35" si="9">I35*(1+J36)</f>
        <v>1538619.4715153787</v>
      </c>
      <c r="K35" s="4">
        <f t="shared" si="9"/>
        <v>1789835.4641349164</v>
      </c>
      <c r="L35" s="4">
        <f t="shared" si="9"/>
        <v>2082068.404814824</v>
      </c>
      <c r="M35" s="4">
        <f t="shared" si="9"/>
        <v>2422015.279724827</v>
      </c>
      <c r="N35" s="4">
        <f t="shared" si="9"/>
        <v>2817466.5163041363</v>
      </c>
      <c r="O35" s="4">
        <f t="shared" si="9"/>
        <v>3277484.5133911958</v>
      </c>
      <c r="P35" s="4">
        <f t="shared" si="9"/>
        <v>3812611.3206165149</v>
      </c>
      <c r="Q35" s="4">
        <f t="shared" si="9"/>
        <v>4435110.2263646936</v>
      </c>
      <c r="R35" s="4">
        <f t="shared" si="9"/>
        <v>5159246.7906809691</v>
      </c>
    </row>
    <row r="36" spans="2:18">
      <c r="B36" t="s">
        <v>62</v>
      </c>
      <c r="C36" s="51">
        <f>_xlfn.STDEV.S(D36:H36)</f>
        <v>0.15581627868409834</v>
      </c>
      <c r="E36" s="49">
        <f>E35/D35-1</f>
        <v>7.3000152514123728E-2</v>
      </c>
      <c r="F36" s="49">
        <f t="shared" ref="F36:H36" si="10">F35/E35-1</f>
        <v>1.0442116802936052E-2</v>
      </c>
      <c r="G36" s="49">
        <f t="shared" si="10"/>
        <v>0.25572714286117471</v>
      </c>
      <c r="H36" s="49">
        <f t="shared" si="10"/>
        <v>0.34499612713593075</v>
      </c>
      <c r="I36" s="49">
        <f t="array" ref="I36">CHOOSE(Assumption!$E$25,'Revenue Buildup'!I39:R39,'Revenue Buildup'!I40:R40,'Revenue Buildup'!I41:R41)</f>
        <v>0.1632736341053298</v>
      </c>
      <c r="J36" s="49">
        <f t="array" ref="J36">CHOOSE(Assumption!$E$25,'Revenue Buildup'!J39:S39,'Revenue Buildup'!J40:S40,'Revenue Buildup'!J41:S41)</f>
        <v>0.1632736341053298</v>
      </c>
      <c r="K36" s="49">
        <f t="array" ref="K36">CHOOSE(Assumption!$E$25,'Revenue Buildup'!K39:T39,'Revenue Buildup'!K40:T40,'Revenue Buildup'!K41:T41)</f>
        <v>0.1632736341053298</v>
      </c>
      <c r="L36" s="49">
        <f t="array" ref="L36">CHOOSE(Assumption!$E$25,'Revenue Buildup'!L39:U39,'Revenue Buildup'!L40:U40,'Revenue Buildup'!L41:U41)</f>
        <v>0.1632736341053298</v>
      </c>
      <c r="M36" s="49">
        <f t="array" ref="M36">CHOOSE(Assumption!$E$25,'Revenue Buildup'!M39:V39,'Revenue Buildup'!M40:V40,'Revenue Buildup'!M41:V41)</f>
        <v>0.1632736341053298</v>
      </c>
      <c r="N36" s="49">
        <f t="array" ref="N36">CHOOSE(Assumption!$E$25,'Revenue Buildup'!N39:W39,'Revenue Buildup'!N40:W40,'Revenue Buildup'!N41:W41)</f>
        <v>0.1632736341053298</v>
      </c>
      <c r="O36" s="49">
        <f t="array" ref="O36">CHOOSE(Assumption!$E$25,'Revenue Buildup'!O39:X39,'Revenue Buildup'!O40:X40,'Revenue Buildup'!O41:X41)</f>
        <v>0.1632736341053298</v>
      </c>
      <c r="P36" s="49">
        <f t="array" ref="P36">CHOOSE(Assumption!$E$25,'Revenue Buildup'!P39:Y39,'Revenue Buildup'!P40:Y40,'Revenue Buildup'!P41:Y41)</f>
        <v>0.1632736341053298</v>
      </c>
      <c r="Q36" s="49">
        <f t="array" ref="Q36">CHOOSE(Assumption!$E$25,'Revenue Buildup'!Q39:Z39,'Revenue Buildup'!Q40:Z40,'Revenue Buildup'!Q41:Z41)</f>
        <v>0.1632736341053298</v>
      </c>
      <c r="R36" s="49">
        <f t="array" ref="R36">CHOOSE(Assumption!$E$25,'Revenue Buildup'!R39:AA39,'Revenue Buildup'!R40:AA40,'Revenue Buildup'!R41:AA41)</f>
        <v>0.1632736341053298</v>
      </c>
    </row>
    <row r="37" spans="2:18">
      <c r="B37" s="21"/>
      <c r="C37" s="50"/>
    </row>
    <row r="38" spans="2:18">
      <c r="B38" s="1" t="s">
        <v>49</v>
      </c>
      <c r="C38" s="50"/>
    </row>
    <row r="39" spans="2:18">
      <c r="B39" t="s">
        <v>50</v>
      </c>
      <c r="C39" s="50"/>
      <c r="E39" s="186"/>
      <c r="F39" s="186"/>
      <c r="G39" s="186"/>
      <c r="H39" s="186"/>
      <c r="I39" s="47">
        <f>I40+5%</f>
        <v>0.21327363410532979</v>
      </c>
      <c r="J39" s="47">
        <f>I39</f>
        <v>0.21327363410532979</v>
      </c>
      <c r="K39" s="47">
        <f t="shared" ref="K39:R39" si="11">J39</f>
        <v>0.21327363410532979</v>
      </c>
      <c r="L39" s="47">
        <f t="shared" si="11"/>
        <v>0.21327363410532979</v>
      </c>
      <c r="M39" s="47">
        <f t="shared" si="11"/>
        <v>0.21327363410532979</v>
      </c>
      <c r="N39" s="47">
        <f t="shared" si="11"/>
        <v>0.21327363410532979</v>
      </c>
      <c r="O39" s="47">
        <f t="shared" si="11"/>
        <v>0.21327363410532979</v>
      </c>
      <c r="P39" s="47">
        <f t="shared" si="11"/>
        <v>0.21327363410532979</v>
      </c>
      <c r="Q39" s="47">
        <f t="shared" si="11"/>
        <v>0.21327363410532979</v>
      </c>
      <c r="R39" s="47">
        <f t="shared" si="11"/>
        <v>0.21327363410532979</v>
      </c>
    </row>
    <row r="40" spans="2:18">
      <c r="B40" t="s">
        <v>51</v>
      </c>
      <c r="C40" s="50"/>
      <c r="E40" s="186"/>
      <c r="F40" s="186"/>
      <c r="G40" s="186"/>
      <c r="H40" s="186"/>
      <c r="I40" s="48">
        <f>_xlfn.RRI(COUNT(D35:H35)-1,D35,H35)</f>
        <v>0.1632736341053298</v>
      </c>
      <c r="J40" s="47">
        <f t="shared" ref="J40:R41" si="12">I40</f>
        <v>0.1632736341053298</v>
      </c>
      <c r="K40" s="47">
        <f t="shared" si="12"/>
        <v>0.1632736341053298</v>
      </c>
      <c r="L40" s="47">
        <f t="shared" si="12"/>
        <v>0.1632736341053298</v>
      </c>
      <c r="M40" s="47">
        <f t="shared" si="12"/>
        <v>0.1632736341053298</v>
      </c>
      <c r="N40" s="47">
        <f t="shared" si="12"/>
        <v>0.1632736341053298</v>
      </c>
      <c r="O40" s="47">
        <f t="shared" si="12"/>
        <v>0.1632736341053298</v>
      </c>
      <c r="P40" s="47">
        <f t="shared" si="12"/>
        <v>0.1632736341053298</v>
      </c>
      <c r="Q40" s="47">
        <f t="shared" si="12"/>
        <v>0.1632736341053298</v>
      </c>
      <c r="R40" s="47">
        <f t="shared" si="12"/>
        <v>0.1632736341053298</v>
      </c>
    </row>
    <row r="41" spans="2:18">
      <c r="B41" t="s">
        <v>52</v>
      </c>
      <c r="C41" s="50"/>
      <c r="E41" s="186"/>
      <c r="F41" s="186"/>
      <c r="G41" s="186"/>
      <c r="H41" s="186"/>
      <c r="I41" s="47">
        <f>I40-5%</f>
        <v>0.1132736341053298</v>
      </c>
      <c r="J41" s="47">
        <f t="shared" si="12"/>
        <v>0.1132736341053298</v>
      </c>
      <c r="K41" s="47">
        <f t="shared" si="12"/>
        <v>0.1132736341053298</v>
      </c>
      <c r="L41" s="47">
        <f t="shared" si="12"/>
        <v>0.1132736341053298</v>
      </c>
      <c r="M41" s="47">
        <f t="shared" si="12"/>
        <v>0.1132736341053298</v>
      </c>
      <c r="N41" s="47">
        <f t="shared" si="12"/>
        <v>0.1132736341053298</v>
      </c>
      <c r="O41" s="47">
        <f t="shared" si="12"/>
        <v>0.1132736341053298</v>
      </c>
      <c r="P41" s="47">
        <f t="shared" si="12"/>
        <v>0.1132736341053298</v>
      </c>
      <c r="Q41" s="47">
        <f t="shared" si="12"/>
        <v>0.1132736341053298</v>
      </c>
      <c r="R41" s="47">
        <f t="shared" si="12"/>
        <v>0.1132736341053298</v>
      </c>
    </row>
    <row r="42" spans="2:18">
      <c r="C42" s="50"/>
    </row>
    <row r="43" spans="2:18">
      <c r="C43" s="50"/>
    </row>
    <row r="44" spans="2:18">
      <c r="B44" s="1" t="s">
        <v>55</v>
      </c>
      <c r="C44" s="50" t="s">
        <v>61</v>
      </c>
      <c r="D44" s="257">
        <v>39966.699999999997</v>
      </c>
      <c r="E44" s="257">
        <v>31800.6</v>
      </c>
      <c r="F44" s="257">
        <v>27784.1</v>
      </c>
      <c r="G44" s="257">
        <v>44640</v>
      </c>
      <c r="H44" s="257">
        <v>64034</v>
      </c>
      <c r="I44" s="4">
        <f>H44*(1+I45)</f>
        <v>72042.490337203926</v>
      </c>
      <c r="J44" s="4">
        <f t="shared" ref="J44:R44" si="13">I44*(1+J45)</f>
        <v>81052.572289504344</v>
      </c>
      <c r="K44" s="4">
        <f t="shared" si="13"/>
        <v>91189.511134274595</v>
      </c>
      <c r="L44" s="4">
        <f t="shared" si="13"/>
        <v>102594.23860363755</v>
      </c>
      <c r="M44" s="4">
        <f t="shared" si="13"/>
        <v>115425.31222874337</v>
      </c>
      <c r="N44" s="4">
        <f t="shared" si="13"/>
        <v>129861.11973182981</v>
      </c>
      <c r="O44" s="4">
        <f t="shared" si="13"/>
        <v>146102.35911326532</v>
      </c>
      <c r="P44" s="4">
        <f t="shared" si="13"/>
        <v>164374.82891370388</v>
      </c>
      <c r="Q44" s="4">
        <f t="shared" si="13"/>
        <v>184932.5674437808</v>
      </c>
      <c r="R44" s="4">
        <f t="shared" si="13"/>
        <v>208061.38462540045</v>
      </c>
    </row>
    <row r="45" spans="2:18">
      <c r="B45" t="s">
        <v>62</v>
      </c>
      <c r="C45" s="51">
        <f>_xlfn.STDEV.S(D45:H45)</f>
        <v>0.40344356602669679</v>
      </c>
      <c r="E45" s="49">
        <f t="shared" ref="E45:H45" si="14">E44/D44-1</f>
        <v>-0.20432259856330393</v>
      </c>
      <c r="F45" s="49">
        <f t="shared" si="14"/>
        <v>-0.12630264837770355</v>
      </c>
      <c r="G45" s="49">
        <f t="shared" si="14"/>
        <v>0.60667432092455775</v>
      </c>
      <c r="H45" s="49">
        <f t="shared" si="14"/>
        <v>0.43445340501792118</v>
      </c>
      <c r="I45" s="49">
        <f t="array" ref="I45">CHOOSE(Assumption!$E$25,'Revenue Buildup'!I48:R48,'Revenue Buildup'!I49:R49,'Revenue Buildup'!I50:R50)</f>
        <v>0.12506622008938884</v>
      </c>
      <c r="J45" s="49">
        <f t="array" ref="J45">CHOOSE(Assumption!$E$25,'Revenue Buildup'!J48:S48,'Revenue Buildup'!J49:S49,'Revenue Buildup'!J50:S50)</f>
        <v>0.12506622008938884</v>
      </c>
      <c r="K45" s="49">
        <f t="array" ref="K45">CHOOSE(Assumption!$E$25,'Revenue Buildup'!K48:T48,'Revenue Buildup'!K49:T49,'Revenue Buildup'!K50:T50)</f>
        <v>0.12506622008938884</v>
      </c>
      <c r="L45" s="49">
        <f t="array" ref="L45">CHOOSE(Assumption!$E$25,'Revenue Buildup'!L48:U48,'Revenue Buildup'!L49:U49,'Revenue Buildup'!L50:U50)</f>
        <v>0.12506622008938884</v>
      </c>
      <c r="M45" s="49">
        <f t="array" ref="M45">CHOOSE(Assumption!$E$25,'Revenue Buildup'!M48:V48,'Revenue Buildup'!M49:V49,'Revenue Buildup'!M50:V50)</f>
        <v>0.12506622008938884</v>
      </c>
      <c r="N45" s="49">
        <f t="array" ref="N45">CHOOSE(Assumption!$E$25,'Revenue Buildup'!N48:W48,'Revenue Buildup'!N49:W49,'Revenue Buildup'!N50:W50)</f>
        <v>0.12506622008938884</v>
      </c>
      <c r="O45" s="49">
        <f t="array" ref="O45">CHOOSE(Assumption!$E$25,'Revenue Buildup'!O48:X48,'Revenue Buildup'!O49:X49,'Revenue Buildup'!O50:X50)</f>
        <v>0.12506622008938884</v>
      </c>
      <c r="P45" s="49">
        <f t="array" ref="P45">CHOOSE(Assumption!$E$25,'Revenue Buildup'!P48:Y48,'Revenue Buildup'!P49:Y49,'Revenue Buildup'!P50:Y50)</f>
        <v>0.12506622008938884</v>
      </c>
      <c r="Q45" s="49">
        <f t="array" ref="Q45">CHOOSE(Assumption!$E$25,'Revenue Buildup'!Q48:Z48,'Revenue Buildup'!Q49:Z49,'Revenue Buildup'!Q50:Z50)</f>
        <v>0.12506622008938884</v>
      </c>
      <c r="R45" s="49">
        <f t="array" ref="R45">CHOOSE(Assumption!$E$25,'Revenue Buildup'!R48:AA48,'Revenue Buildup'!R49:AA49,'Revenue Buildup'!R50:AA50)</f>
        <v>0.12506622008938884</v>
      </c>
    </row>
    <row r="46" spans="2:18">
      <c r="B46" s="21"/>
      <c r="C46" s="50"/>
    </row>
    <row r="47" spans="2:18">
      <c r="B47" s="1" t="s">
        <v>49</v>
      </c>
      <c r="C47" s="50"/>
    </row>
    <row r="48" spans="2:18">
      <c r="B48" t="s">
        <v>50</v>
      </c>
      <c r="C48" s="50"/>
      <c r="E48" s="186"/>
      <c r="F48" s="186"/>
      <c r="G48" s="186"/>
      <c r="H48" s="186"/>
      <c r="I48" s="47">
        <f>I49+5%</f>
        <v>0.17506622008938882</v>
      </c>
      <c r="J48" s="47">
        <f>I48</f>
        <v>0.17506622008938882</v>
      </c>
      <c r="K48" s="47">
        <f t="shared" ref="K48:R48" si="15">J48</f>
        <v>0.17506622008938882</v>
      </c>
      <c r="L48" s="47">
        <f t="shared" si="15"/>
        <v>0.17506622008938882</v>
      </c>
      <c r="M48" s="47">
        <f t="shared" si="15"/>
        <v>0.17506622008938882</v>
      </c>
      <c r="N48" s="47">
        <f t="shared" si="15"/>
        <v>0.17506622008938882</v>
      </c>
      <c r="O48" s="47">
        <f t="shared" si="15"/>
        <v>0.17506622008938882</v>
      </c>
      <c r="P48" s="47">
        <f t="shared" si="15"/>
        <v>0.17506622008938882</v>
      </c>
      <c r="Q48" s="47">
        <f t="shared" si="15"/>
        <v>0.17506622008938882</v>
      </c>
      <c r="R48" s="47">
        <f t="shared" si="15"/>
        <v>0.17506622008938882</v>
      </c>
    </row>
    <row r="49" spans="2:18">
      <c r="B49" t="s">
        <v>51</v>
      </c>
      <c r="C49" s="50"/>
      <c r="E49" s="186"/>
      <c r="F49" s="186"/>
      <c r="G49" s="186"/>
      <c r="H49" s="186"/>
      <c r="I49" s="48">
        <f>_xlfn.RRI(COUNT(D44:H44)-1,D44,H44)</f>
        <v>0.12506622008938884</v>
      </c>
      <c r="J49" s="47">
        <f t="shared" ref="J49:R50" si="16">I49</f>
        <v>0.12506622008938884</v>
      </c>
      <c r="K49" s="47">
        <f t="shared" si="16"/>
        <v>0.12506622008938884</v>
      </c>
      <c r="L49" s="47">
        <f t="shared" si="16"/>
        <v>0.12506622008938884</v>
      </c>
      <c r="M49" s="47">
        <f t="shared" si="16"/>
        <v>0.12506622008938884</v>
      </c>
      <c r="N49" s="47">
        <f t="shared" si="16"/>
        <v>0.12506622008938884</v>
      </c>
      <c r="O49" s="47">
        <f t="shared" si="16"/>
        <v>0.12506622008938884</v>
      </c>
      <c r="P49" s="47">
        <f t="shared" si="16"/>
        <v>0.12506622008938884</v>
      </c>
      <c r="Q49" s="47">
        <f t="shared" si="16"/>
        <v>0.12506622008938884</v>
      </c>
      <c r="R49" s="47">
        <f t="shared" si="16"/>
        <v>0.12506622008938884</v>
      </c>
    </row>
    <row r="50" spans="2:18">
      <c r="B50" t="s">
        <v>52</v>
      </c>
      <c r="C50" s="50"/>
      <c r="E50" s="186"/>
      <c r="F50" s="186"/>
      <c r="G50" s="186"/>
      <c r="H50" s="186"/>
      <c r="I50" s="47">
        <f>MIN(E45:H45)</f>
        <v>-0.20432259856330393</v>
      </c>
      <c r="J50" s="47">
        <f t="shared" si="16"/>
        <v>-0.20432259856330393</v>
      </c>
      <c r="K50" s="47">
        <f t="shared" si="16"/>
        <v>-0.20432259856330393</v>
      </c>
      <c r="L50" s="47">
        <f t="shared" si="16"/>
        <v>-0.20432259856330393</v>
      </c>
      <c r="M50" s="47">
        <f t="shared" si="16"/>
        <v>-0.20432259856330393</v>
      </c>
      <c r="N50" s="47">
        <f t="shared" si="16"/>
        <v>-0.20432259856330393</v>
      </c>
      <c r="O50" s="47">
        <f t="shared" si="16"/>
        <v>-0.20432259856330393</v>
      </c>
      <c r="P50" s="47">
        <f t="shared" si="16"/>
        <v>-0.20432259856330393</v>
      </c>
      <c r="Q50" s="47">
        <f t="shared" si="16"/>
        <v>-0.20432259856330393</v>
      </c>
      <c r="R50" s="47">
        <f t="shared" si="16"/>
        <v>-0.20432259856330393</v>
      </c>
    </row>
    <row r="51" spans="2:18">
      <c r="C51" s="50"/>
    </row>
    <row r="52" spans="2:18">
      <c r="C52" s="50"/>
    </row>
    <row r="53" spans="2:18">
      <c r="B53" s="1" t="s">
        <v>56</v>
      </c>
      <c r="C53" s="50" t="s">
        <v>61</v>
      </c>
      <c r="D53" s="257">
        <v>397038.1</v>
      </c>
      <c r="E53" s="257">
        <v>436215.9</v>
      </c>
      <c r="F53" s="257">
        <v>453402.4</v>
      </c>
      <c r="G53" s="257">
        <v>479301.7</v>
      </c>
      <c r="H53" s="257">
        <v>542361.30000000005</v>
      </c>
      <c r="I53" s="4">
        <f>H53*(1+I54)</f>
        <v>601784.31321406865</v>
      </c>
      <c r="J53" s="4">
        <f t="shared" ref="J53:R53" si="17">I53*(1+J54)</f>
        <v>657827.87977517478</v>
      </c>
      <c r="K53" s="4">
        <f t="shared" si="17"/>
        <v>709901.3000902941</v>
      </c>
      <c r="L53" s="4">
        <f t="shared" si="17"/>
        <v>757667.50372902222</v>
      </c>
      <c r="M53" s="4">
        <f t="shared" si="17"/>
        <v>801000.66177313263</v>
      </c>
      <c r="N53" s="4">
        <f t="shared" si="17"/>
        <v>839940.44061324012</v>
      </c>
      <c r="O53" s="4">
        <f t="shared" si="17"/>
        <v>874648.31549233082</v>
      </c>
      <c r="P53" s="4">
        <f t="shared" si="17"/>
        <v>905369.07306637825</v>
      </c>
      <c r="Q53" s="4">
        <f t="shared" si="17"/>
        <v>932398.88587073702</v>
      </c>
      <c r="R53" s="4">
        <f t="shared" si="17"/>
        <v>956060.15604193078</v>
      </c>
    </row>
    <row r="54" spans="2:18">
      <c r="B54" t="s">
        <v>62</v>
      </c>
      <c r="C54" s="51">
        <f>_xlfn.STDEV.S(D54:H54)</f>
        <v>4.150571184741271E-2</v>
      </c>
      <c r="E54" s="49">
        <f t="shared" ref="E54" si="18">E53/D53-1</f>
        <v>9.8675164927497061E-2</v>
      </c>
      <c r="F54" s="49">
        <f t="shared" ref="F54" si="19">F53/E53-1</f>
        <v>3.9399068213698873E-2</v>
      </c>
      <c r="G54" s="49">
        <f t="shared" ref="G54" si="20">G53/F53-1</f>
        <v>5.7122106102658554E-2</v>
      </c>
      <c r="H54" s="49">
        <f t="shared" ref="H54" si="21">H53/G53-1</f>
        <v>0.13156556715738765</v>
      </c>
      <c r="I54" s="49">
        <f t="array" ref="I54">CHOOSE(Assumption!$E$25,'Revenue Buildup'!I57:R57,'Revenue Buildup'!I58:R58,'Revenue Buildup'!I59:R59)</f>
        <v>0.10956352013698001</v>
      </c>
      <c r="J54" s="49">
        <f t="array" ref="J54">CHOOSE(Assumption!$E$25,'Revenue Buildup'!J57:S57,'Revenue Buildup'!J58:S58,'Revenue Buildup'!J59:S59)</f>
        <v>9.312899211643301E-2</v>
      </c>
      <c r="K54" s="49">
        <f t="array" ref="K54">CHOOSE(Assumption!$E$25,'Revenue Buildup'!K57:T57,'Revenue Buildup'!K58:T58,'Revenue Buildup'!K59:T59)</f>
        <v>7.915964329896806E-2</v>
      </c>
      <c r="L54" s="49">
        <f t="array" ref="L54">CHOOSE(Assumption!$E$25,'Revenue Buildup'!L57:U57,'Revenue Buildup'!L58:U58,'Revenue Buildup'!L59:U59)</f>
        <v>6.7285696804122844E-2</v>
      </c>
      <c r="M54" s="49">
        <f t="array" ref="M54">CHOOSE(Assumption!$E$25,'Revenue Buildup'!M57:V57,'Revenue Buildup'!M58:V58,'Revenue Buildup'!M59:V59)</f>
        <v>5.7192842283504415E-2</v>
      </c>
      <c r="N54" s="49">
        <f t="array" ref="N54">CHOOSE(Assumption!$E$25,'Revenue Buildup'!N57:W57,'Revenue Buildup'!N58:W58,'Revenue Buildup'!N59:W59)</f>
        <v>4.8613915940978754E-2</v>
      </c>
      <c r="O54" s="49">
        <f t="array" ref="O54">CHOOSE(Assumption!$E$25,'Revenue Buildup'!O57:X57,'Revenue Buildup'!O58:X58,'Revenue Buildup'!O59:X59)</f>
        <v>4.1321828549831942E-2</v>
      </c>
      <c r="P54" s="49">
        <f t="array" ref="P54">CHOOSE(Assumption!$E$25,'Revenue Buildup'!P57:Y57,'Revenue Buildup'!P58:Y58,'Revenue Buildup'!P59:Y59)</f>
        <v>3.5123554267357152E-2</v>
      </c>
      <c r="Q54" s="49">
        <f t="array" ref="Q54">CHOOSE(Assumption!$E$25,'Revenue Buildup'!Q57:Z57,'Revenue Buildup'!Q58:Z58,'Revenue Buildup'!Q59:Z59)</f>
        <v>2.9855021127253578E-2</v>
      </c>
      <c r="R54" s="49">
        <f t="array" ref="R54">CHOOSE(Assumption!$E$25,'Revenue Buildup'!R57:AA57,'Revenue Buildup'!R58:AA58,'Revenue Buildup'!R59:AA59)</f>
        <v>2.5376767958165541E-2</v>
      </c>
    </row>
    <row r="55" spans="2:18">
      <c r="B55" s="21">
        <v>0.15</v>
      </c>
      <c r="C55" s="50"/>
    </row>
    <row r="56" spans="2:18">
      <c r="B56" s="1" t="s">
        <v>49</v>
      </c>
      <c r="C56" s="50"/>
    </row>
    <row r="57" spans="2:18">
      <c r="B57" t="s">
        <v>50</v>
      </c>
      <c r="C57" s="50"/>
      <c r="E57" s="186"/>
      <c r="F57" s="186"/>
      <c r="G57" s="186"/>
      <c r="H57" s="186"/>
      <c r="I57" s="47">
        <f>I58+5%</f>
        <v>0.15956352013698</v>
      </c>
      <c r="J57" s="47">
        <f>I57*(1-$B$55)</f>
        <v>0.13562899211643301</v>
      </c>
      <c r="K57" s="47">
        <f t="shared" ref="K57:R57" si="22">J57*(1-$B$55)</f>
        <v>0.11528464329896805</v>
      </c>
      <c r="L57" s="47">
        <f t="shared" si="22"/>
        <v>9.7991946804122834E-2</v>
      </c>
      <c r="M57" s="47">
        <f t="shared" si="22"/>
        <v>8.3293154783504408E-2</v>
      </c>
      <c r="N57" s="47">
        <f t="shared" si="22"/>
        <v>7.0799181565978739E-2</v>
      </c>
      <c r="O57" s="47">
        <f t="shared" si="22"/>
        <v>6.0179304331081929E-2</v>
      </c>
      <c r="P57" s="47">
        <f t="shared" si="22"/>
        <v>5.1152408681419639E-2</v>
      </c>
      <c r="Q57" s="47">
        <f t="shared" si="22"/>
        <v>4.3479547379206694E-2</v>
      </c>
      <c r="R57" s="47">
        <f t="shared" si="22"/>
        <v>3.6957615272325689E-2</v>
      </c>
    </row>
    <row r="58" spans="2:18">
      <c r="B58" t="s">
        <v>51</v>
      </c>
      <c r="C58" s="50"/>
      <c r="E58" s="186"/>
      <c r="F58" s="186"/>
      <c r="G58" s="186"/>
      <c r="H58" s="186"/>
      <c r="I58" s="48">
        <f>_xlfn.RRI(COUNT(D54:H54)-1,D53,H53)</f>
        <v>0.10956352013698001</v>
      </c>
      <c r="J58" s="47">
        <f t="shared" ref="J58:R59" si="23">I58*(1-$B$55)</f>
        <v>9.312899211643301E-2</v>
      </c>
      <c r="K58" s="47">
        <f t="shared" si="23"/>
        <v>7.915964329896806E-2</v>
      </c>
      <c r="L58" s="47">
        <f t="shared" si="23"/>
        <v>6.7285696804122844E-2</v>
      </c>
      <c r="M58" s="47">
        <f t="shared" si="23"/>
        <v>5.7192842283504415E-2</v>
      </c>
      <c r="N58" s="47">
        <f t="shared" si="23"/>
        <v>4.8613915940978754E-2</v>
      </c>
      <c r="O58" s="47">
        <f t="shared" si="23"/>
        <v>4.1321828549831942E-2</v>
      </c>
      <c r="P58" s="47">
        <f t="shared" si="23"/>
        <v>3.5123554267357152E-2</v>
      </c>
      <c r="Q58" s="47">
        <f t="shared" si="23"/>
        <v>2.9855021127253578E-2</v>
      </c>
      <c r="R58" s="47">
        <f t="shared" si="23"/>
        <v>2.5376767958165541E-2</v>
      </c>
    </row>
    <row r="59" spans="2:18">
      <c r="B59" t="s">
        <v>52</v>
      </c>
      <c r="C59" s="50"/>
      <c r="E59" s="186"/>
      <c r="F59" s="186"/>
      <c r="G59" s="186"/>
      <c r="H59" s="186"/>
      <c r="I59" s="47">
        <f>I58-5%</f>
        <v>5.9563520136980005E-2</v>
      </c>
      <c r="J59" s="47">
        <f t="shared" si="23"/>
        <v>5.0628992116433007E-2</v>
      </c>
      <c r="K59" s="47">
        <f t="shared" si="23"/>
        <v>4.3034643298968056E-2</v>
      </c>
      <c r="L59" s="47">
        <f t="shared" si="23"/>
        <v>3.6579446804122846E-2</v>
      </c>
      <c r="M59" s="47">
        <f t="shared" si="23"/>
        <v>3.1092529783504418E-2</v>
      </c>
      <c r="N59" s="47">
        <f t="shared" si="23"/>
        <v>2.6428650315978755E-2</v>
      </c>
      <c r="O59" s="47">
        <f t="shared" si="23"/>
        <v>2.2464352768581941E-2</v>
      </c>
      <c r="P59" s="47">
        <f t="shared" si="23"/>
        <v>1.909469985329465E-2</v>
      </c>
      <c r="Q59" s="47">
        <f t="shared" si="23"/>
        <v>1.6230494875300452E-2</v>
      </c>
      <c r="R59" s="47">
        <f t="shared" si="23"/>
        <v>1.3795920644005383E-2</v>
      </c>
    </row>
    <row r="60" spans="2:18">
      <c r="C60" s="50"/>
    </row>
    <row r="61" spans="2:18">
      <c r="C61" s="50"/>
    </row>
    <row r="62" spans="2:18">
      <c r="B62" s="1" t="s">
        <v>57</v>
      </c>
      <c r="C62" s="50" t="s">
        <v>61</v>
      </c>
      <c r="D62" s="257">
        <v>123744.8</v>
      </c>
      <c r="E62" s="257">
        <v>129648.3</v>
      </c>
      <c r="F62" s="257">
        <v>0</v>
      </c>
      <c r="G62" s="257">
        <v>0</v>
      </c>
      <c r="H62" s="257">
        <v>0</v>
      </c>
      <c r="I62" s="4">
        <f>H62*(1+I63)</f>
        <v>0</v>
      </c>
      <c r="J62" s="4">
        <f t="shared" ref="J62:R62" si="24">I62*(1+J63)</f>
        <v>0</v>
      </c>
      <c r="K62" s="4">
        <f t="shared" si="24"/>
        <v>0</v>
      </c>
      <c r="L62" s="4">
        <f t="shared" si="24"/>
        <v>0</v>
      </c>
      <c r="M62" s="4">
        <f t="shared" si="24"/>
        <v>0</v>
      </c>
      <c r="N62" s="4">
        <f t="shared" si="24"/>
        <v>0</v>
      </c>
      <c r="O62" s="4">
        <f t="shared" si="24"/>
        <v>0</v>
      </c>
      <c r="P62" s="4">
        <f t="shared" si="24"/>
        <v>0</v>
      </c>
      <c r="Q62" s="4">
        <f t="shared" si="24"/>
        <v>0</v>
      </c>
      <c r="R62" s="4">
        <f t="shared" si="24"/>
        <v>0</v>
      </c>
    </row>
    <row r="63" spans="2:18">
      <c r="B63" t="s">
        <v>62</v>
      </c>
      <c r="C63" s="51">
        <f>_xlfn.STDEV.S(D63:H63)</f>
        <v>2.3853527582573197E-2</v>
      </c>
      <c r="E63" s="49">
        <f t="shared" ref="E63" si="25">E62/D62-1</f>
        <v>4.7707055165146395E-2</v>
      </c>
      <c r="F63" s="49">
        <v>0</v>
      </c>
      <c r="G63" s="49">
        <f>F63</f>
        <v>0</v>
      </c>
      <c r="H63" s="49">
        <f>G63</f>
        <v>0</v>
      </c>
      <c r="I63" s="49">
        <f t="array" ref="I63">CHOOSE(Assumption!$E$25,'Revenue Buildup'!I66:R66,'Revenue Buildup'!I67:R67,'Revenue Buildup'!I68:R68)</f>
        <v>0</v>
      </c>
      <c r="J63" s="49">
        <f t="array" ref="J63">CHOOSE(Assumption!$E$25,'Revenue Buildup'!J66:S66,'Revenue Buildup'!J67:S67,'Revenue Buildup'!J68:S68)</f>
        <v>0</v>
      </c>
      <c r="K63" s="49">
        <f t="array" ref="K63">CHOOSE(Assumption!$E$25,'Revenue Buildup'!K66:T66,'Revenue Buildup'!K67:T67,'Revenue Buildup'!K68:T68)</f>
        <v>0</v>
      </c>
      <c r="L63" s="49">
        <f t="array" ref="L63">CHOOSE(Assumption!$E$25,'Revenue Buildup'!L66:U66,'Revenue Buildup'!L67:U67,'Revenue Buildup'!L68:U68)</f>
        <v>0</v>
      </c>
      <c r="M63" s="49">
        <f t="array" ref="M63">CHOOSE(Assumption!$E$25,'Revenue Buildup'!M66:V66,'Revenue Buildup'!M67:V67,'Revenue Buildup'!M68:V68)</f>
        <v>0</v>
      </c>
      <c r="N63" s="49">
        <f t="array" ref="N63">CHOOSE(Assumption!$E$25,'Revenue Buildup'!N66:W66,'Revenue Buildup'!N67:W67,'Revenue Buildup'!N68:W68)</f>
        <v>0</v>
      </c>
      <c r="O63" s="49">
        <f t="array" ref="O63">CHOOSE(Assumption!$E$25,'Revenue Buildup'!O66:X66,'Revenue Buildup'!O67:X67,'Revenue Buildup'!O68:X68)</f>
        <v>0</v>
      </c>
      <c r="P63" s="49">
        <f t="array" ref="P63">CHOOSE(Assumption!$E$25,'Revenue Buildup'!P66:Y66,'Revenue Buildup'!P67:Y67,'Revenue Buildup'!P68:Y68)</f>
        <v>0</v>
      </c>
      <c r="Q63" s="49">
        <f t="array" ref="Q63">CHOOSE(Assumption!$E$25,'Revenue Buildup'!Q66:Z66,'Revenue Buildup'!Q67:Z67,'Revenue Buildup'!Q68:Z68)</f>
        <v>0</v>
      </c>
      <c r="R63" s="49">
        <f t="array" ref="R63">CHOOSE(Assumption!$E$25,'Revenue Buildup'!R66:AA66,'Revenue Buildup'!R67:AA67,'Revenue Buildup'!R68:AA68)</f>
        <v>0</v>
      </c>
    </row>
    <row r="64" spans="2:18">
      <c r="C64" s="50"/>
    </row>
    <row r="65" spans="2:18">
      <c r="B65" s="1" t="s">
        <v>49</v>
      </c>
      <c r="C65" s="50"/>
    </row>
    <row r="66" spans="2:18">
      <c r="B66" t="s">
        <v>50</v>
      </c>
      <c r="C66" s="50"/>
      <c r="E66" s="186"/>
      <c r="F66" s="186"/>
      <c r="G66" s="186"/>
      <c r="H66" s="186"/>
      <c r="I66" s="47">
        <v>0</v>
      </c>
      <c r="J66" s="47">
        <f>I66</f>
        <v>0</v>
      </c>
      <c r="K66" s="47">
        <f t="shared" ref="K66:R66" si="26">J66</f>
        <v>0</v>
      </c>
      <c r="L66" s="47">
        <f t="shared" si="26"/>
        <v>0</v>
      </c>
      <c r="M66" s="47">
        <f t="shared" si="26"/>
        <v>0</v>
      </c>
      <c r="N66" s="47">
        <f t="shared" si="26"/>
        <v>0</v>
      </c>
      <c r="O66" s="47">
        <f t="shared" si="26"/>
        <v>0</v>
      </c>
      <c r="P66" s="47">
        <f t="shared" si="26"/>
        <v>0</v>
      </c>
      <c r="Q66" s="47">
        <f t="shared" si="26"/>
        <v>0</v>
      </c>
      <c r="R66" s="47">
        <f t="shared" si="26"/>
        <v>0</v>
      </c>
    </row>
    <row r="67" spans="2:18">
      <c r="B67" t="s">
        <v>51</v>
      </c>
      <c r="C67" s="50"/>
      <c r="E67" s="186"/>
      <c r="F67" s="186"/>
      <c r="G67" s="186"/>
      <c r="H67" s="186"/>
      <c r="I67" s="48">
        <v>0</v>
      </c>
      <c r="J67" s="47">
        <f t="shared" ref="J67:R67" si="27">I67</f>
        <v>0</v>
      </c>
      <c r="K67" s="47">
        <f t="shared" si="27"/>
        <v>0</v>
      </c>
      <c r="L67" s="47">
        <f t="shared" si="27"/>
        <v>0</v>
      </c>
      <c r="M67" s="47">
        <f t="shared" si="27"/>
        <v>0</v>
      </c>
      <c r="N67" s="47">
        <f t="shared" si="27"/>
        <v>0</v>
      </c>
      <c r="O67" s="47">
        <f t="shared" si="27"/>
        <v>0</v>
      </c>
      <c r="P67" s="47">
        <f t="shared" si="27"/>
        <v>0</v>
      </c>
      <c r="Q67" s="47">
        <f t="shared" si="27"/>
        <v>0</v>
      </c>
      <c r="R67" s="47">
        <f t="shared" si="27"/>
        <v>0</v>
      </c>
    </row>
    <row r="68" spans="2:18">
      <c r="B68" t="s">
        <v>52</v>
      </c>
      <c r="C68" s="50"/>
      <c r="E68" s="186"/>
      <c r="F68" s="186"/>
      <c r="G68" s="186"/>
      <c r="H68" s="186"/>
      <c r="I68" s="47">
        <v>0</v>
      </c>
      <c r="J68" s="47">
        <f t="shared" ref="J68:R68" si="28">I68</f>
        <v>0</v>
      </c>
      <c r="K68" s="47">
        <f t="shared" si="28"/>
        <v>0</v>
      </c>
      <c r="L68" s="47">
        <f t="shared" si="28"/>
        <v>0</v>
      </c>
      <c r="M68" s="47">
        <f t="shared" si="28"/>
        <v>0</v>
      </c>
      <c r="N68" s="47">
        <f t="shared" si="28"/>
        <v>0</v>
      </c>
      <c r="O68" s="47">
        <f t="shared" si="28"/>
        <v>0</v>
      </c>
      <c r="P68" s="47">
        <f t="shared" si="28"/>
        <v>0</v>
      </c>
      <c r="Q68" s="47">
        <f t="shared" si="28"/>
        <v>0</v>
      </c>
      <c r="R68" s="47">
        <f t="shared" si="28"/>
        <v>0</v>
      </c>
    </row>
    <row r="69" spans="2:18">
      <c r="C69" s="50"/>
    </row>
    <row r="70" spans="2:18">
      <c r="C70" s="50"/>
    </row>
    <row r="71" spans="2:18">
      <c r="B71" s="1" t="s">
        <v>58</v>
      </c>
      <c r="C71" s="50" t="s">
        <v>61</v>
      </c>
      <c r="D71" s="257">
        <v>67371.3</v>
      </c>
      <c r="E71" s="257">
        <v>78270.3</v>
      </c>
      <c r="F71" s="257">
        <v>87332.5</v>
      </c>
      <c r="G71" s="257">
        <v>97259.8</v>
      </c>
      <c r="H71" s="257">
        <v>159326.79999999999</v>
      </c>
      <c r="I71" s="4">
        <f>H71*(1+I72)</f>
        <v>197579.6947548587</v>
      </c>
      <c r="J71" s="4">
        <f t="shared" ref="J71:R71" si="29">I71*(1+J72)</f>
        <v>245016.75662489387</v>
      </c>
      <c r="K71" s="4">
        <f t="shared" si="29"/>
        <v>303843.01940271212</v>
      </c>
      <c r="L71" s="4">
        <f t="shared" si="29"/>
        <v>376792.92515121418</v>
      </c>
      <c r="M71" s="4">
        <f t="shared" si="29"/>
        <v>467257.43024505122</v>
      </c>
      <c r="N71" s="4">
        <f t="shared" si="29"/>
        <v>579441.6283999735</v>
      </c>
      <c r="O71" s="4">
        <f t="shared" si="29"/>
        <v>718560.21753731975</v>
      </c>
      <c r="P71" s="4">
        <f t="shared" si="29"/>
        <v>891079.89643932157</v>
      </c>
      <c r="Q71" s="4">
        <f t="shared" si="29"/>
        <v>1105019.9586050324</v>
      </c>
      <c r="R71" s="4">
        <f t="shared" si="29"/>
        <v>1370325.05591783</v>
      </c>
    </row>
    <row r="72" spans="2:18">
      <c r="B72" t="s">
        <v>62</v>
      </c>
      <c r="C72" s="51">
        <f>_xlfn.STDEV.S(D72:H72)</f>
        <v>0.25484205721541897</v>
      </c>
      <c r="E72" s="49">
        <f t="shared" ref="E72" si="30">E71/D71-1</f>
        <v>0.16177511789144638</v>
      </c>
      <c r="F72" s="49">
        <f t="shared" ref="F72" si="31">F71/E71-1</f>
        <v>0.11578082618822205</v>
      </c>
      <c r="G72" s="49">
        <f t="shared" ref="G72" si="32">G71/F71-1</f>
        <v>0.11367245870666709</v>
      </c>
      <c r="H72" s="49">
        <f t="shared" ref="H72" si="33">H71/G71-1</f>
        <v>0.63815677186257824</v>
      </c>
      <c r="I72" s="49">
        <f t="array" ref="I72">CHOOSE(Assumption!$E$25,'Revenue Buildup'!I75:R75,'Revenue Buildup'!I76:R76,'Revenue Buildup'!I77:R77)</f>
        <v>0.24009077415010349</v>
      </c>
      <c r="J72" s="49">
        <f t="array" ref="J72">CHOOSE(Assumption!$E$25,'Revenue Buildup'!J75:S75,'Revenue Buildup'!J76:S76,'Revenue Buildup'!J77:S77)</f>
        <v>0.24009077415010349</v>
      </c>
      <c r="K72" s="49">
        <f t="array" ref="K72">CHOOSE(Assumption!$E$25,'Revenue Buildup'!K75:T75,'Revenue Buildup'!K76:T76,'Revenue Buildup'!K77:T77)</f>
        <v>0.24009077415010349</v>
      </c>
      <c r="L72" s="49">
        <f t="array" ref="L72">CHOOSE(Assumption!$E$25,'Revenue Buildup'!L75:U75,'Revenue Buildup'!L76:U76,'Revenue Buildup'!L77:U77)</f>
        <v>0.24009077415010349</v>
      </c>
      <c r="M72" s="49">
        <f t="array" ref="M72">CHOOSE(Assumption!$E$25,'Revenue Buildup'!M75:V75,'Revenue Buildup'!M76:V76,'Revenue Buildup'!M77:V77)</f>
        <v>0.24009077415010349</v>
      </c>
      <c r="N72" s="49">
        <f t="array" ref="N72">CHOOSE(Assumption!$E$25,'Revenue Buildup'!N75:W75,'Revenue Buildup'!N76:W76,'Revenue Buildup'!N77:W77)</f>
        <v>0.24009077415010349</v>
      </c>
      <c r="O72" s="49">
        <f t="array" ref="O72">CHOOSE(Assumption!$E$25,'Revenue Buildup'!O75:X75,'Revenue Buildup'!O76:X76,'Revenue Buildup'!O77:X77)</f>
        <v>0.24009077415010349</v>
      </c>
      <c r="P72" s="49">
        <f t="array" ref="P72">CHOOSE(Assumption!$E$25,'Revenue Buildup'!P75:Y75,'Revenue Buildup'!P76:Y76,'Revenue Buildup'!P77:Y77)</f>
        <v>0.24009077415010349</v>
      </c>
      <c r="Q72" s="49">
        <f t="array" ref="Q72">CHOOSE(Assumption!$E$25,'Revenue Buildup'!Q75:Z75,'Revenue Buildup'!Q76:Z76,'Revenue Buildup'!Q77:Z77)</f>
        <v>0.24009077415010349</v>
      </c>
      <c r="R72" s="49">
        <f t="array" ref="R72">CHOOSE(Assumption!$E$25,'Revenue Buildup'!R75:AA75,'Revenue Buildup'!R76:AA76,'Revenue Buildup'!R77:AA77)</f>
        <v>0.24009077415010349</v>
      </c>
    </row>
    <row r="73" spans="2:18">
      <c r="B73" s="21"/>
      <c r="C73" s="50"/>
    </row>
    <row r="74" spans="2:18">
      <c r="B74" s="1" t="s">
        <v>49</v>
      </c>
      <c r="C74" s="50"/>
    </row>
    <row r="75" spans="2:18">
      <c r="B75" t="s">
        <v>50</v>
      </c>
      <c r="C75" s="50"/>
      <c r="E75" s="186"/>
      <c r="F75" s="186"/>
      <c r="G75" s="186"/>
      <c r="H75" s="186"/>
      <c r="I75" s="47">
        <f>I76+$C$72</f>
        <v>0.49493283136552246</v>
      </c>
      <c r="J75" s="47">
        <f>I75</f>
        <v>0.49493283136552246</v>
      </c>
      <c r="K75" s="47">
        <f t="shared" ref="K75:R75" si="34">J75</f>
        <v>0.49493283136552246</v>
      </c>
      <c r="L75" s="47">
        <f t="shared" si="34"/>
        <v>0.49493283136552246</v>
      </c>
      <c r="M75" s="47">
        <f t="shared" si="34"/>
        <v>0.49493283136552246</v>
      </c>
      <c r="N75" s="47">
        <f t="shared" si="34"/>
        <v>0.49493283136552246</v>
      </c>
      <c r="O75" s="47">
        <f t="shared" si="34"/>
        <v>0.49493283136552246</v>
      </c>
      <c r="P75" s="47">
        <f t="shared" si="34"/>
        <v>0.49493283136552246</v>
      </c>
      <c r="Q75" s="47">
        <f t="shared" si="34"/>
        <v>0.49493283136552246</v>
      </c>
      <c r="R75" s="47">
        <f t="shared" si="34"/>
        <v>0.49493283136552246</v>
      </c>
    </row>
    <row r="76" spans="2:18">
      <c r="B76" t="s">
        <v>51</v>
      </c>
      <c r="C76" s="50"/>
      <c r="E76" s="186"/>
      <c r="F76" s="186"/>
      <c r="G76" s="186"/>
      <c r="H76" s="186"/>
      <c r="I76" s="48">
        <f>_xlfn.RRI(COUNT(D71:H71)-1,D71,H71)</f>
        <v>0.24009077415010349</v>
      </c>
      <c r="J76" s="47">
        <f t="shared" ref="J76:R77" si="35">I76</f>
        <v>0.24009077415010349</v>
      </c>
      <c r="K76" s="47">
        <f t="shared" si="35"/>
        <v>0.24009077415010349</v>
      </c>
      <c r="L76" s="47">
        <f t="shared" si="35"/>
        <v>0.24009077415010349</v>
      </c>
      <c r="M76" s="47">
        <f t="shared" si="35"/>
        <v>0.24009077415010349</v>
      </c>
      <c r="N76" s="47">
        <f t="shared" si="35"/>
        <v>0.24009077415010349</v>
      </c>
      <c r="O76" s="47">
        <f t="shared" si="35"/>
        <v>0.24009077415010349</v>
      </c>
      <c r="P76" s="47">
        <f t="shared" si="35"/>
        <v>0.24009077415010349</v>
      </c>
      <c r="Q76" s="47">
        <f t="shared" si="35"/>
        <v>0.24009077415010349</v>
      </c>
      <c r="R76" s="47">
        <f t="shared" si="35"/>
        <v>0.24009077415010349</v>
      </c>
    </row>
    <row r="77" spans="2:18">
      <c r="B77" t="s">
        <v>52</v>
      </c>
      <c r="C77" s="50"/>
      <c r="E77" s="186"/>
      <c r="F77" s="186"/>
      <c r="G77" s="186"/>
      <c r="H77" s="186"/>
      <c r="I77" s="47">
        <f>MIN(D72:H72)</f>
        <v>0.11367245870666709</v>
      </c>
      <c r="J77" s="47">
        <f t="shared" si="35"/>
        <v>0.11367245870666709</v>
      </c>
      <c r="K77" s="47">
        <f t="shared" si="35"/>
        <v>0.11367245870666709</v>
      </c>
      <c r="L77" s="47">
        <f t="shared" si="35"/>
        <v>0.11367245870666709</v>
      </c>
      <c r="M77" s="47">
        <f t="shared" si="35"/>
        <v>0.11367245870666709</v>
      </c>
      <c r="N77" s="47">
        <f t="shared" si="35"/>
        <v>0.11367245870666709</v>
      </c>
      <c r="O77" s="47">
        <f t="shared" si="35"/>
        <v>0.11367245870666709</v>
      </c>
      <c r="P77" s="47">
        <f t="shared" si="35"/>
        <v>0.11367245870666709</v>
      </c>
      <c r="Q77" s="47">
        <f t="shared" si="35"/>
        <v>0.11367245870666709</v>
      </c>
      <c r="R77" s="47">
        <f t="shared" si="35"/>
        <v>0.11367245870666709</v>
      </c>
    </row>
    <row r="78" spans="2:18">
      <c r="C78" s="50"/>
    </row>
    <row r="79" spans="2:18">
      <c r="C79" s="50"/>
    </row>
    <row r="80" spans="2:18">
      <c r="B80" s="1" t="s">
        <v>59</v>
      </c>
      <c r="C80" s="50" t="s">
        <v>61</v>
      </c>
      <c r="D80" s="258">
        <v>-876151.8</v>
      </c>
      <c r="E80" s="258">
        <v>-857462.3</v>
      </c>
      <c r="F80" s="258">
        <v>-912473.8</v>
      </c>
      <c r="G80" s="258">
        <v>-1148684.6000000001</v>
      </c>
      <c r="H80" s="258">
        <v>-1605641.1</v>
      </c>
      <c r="I80" s="259">
        <f>H80*(1+I81)</f>
        <v>-1868167.2572605391</v>
      </c>
      <c r="J80" s="259">
        <f t="shared" ref="J80:R80" si="36">I80*(1+J81)</f>
        <v>-2173617.0686589708</v>
      </c>
      <c r="K80" s="259">
        <f t="shared" si="36"/>
        <v>-2529008.6542324573</v>
      </c>
      <c r="L80" s="259">
        <f t="shared" si="36"/>
        <v>-2942507.6134172305</v>
      </c>
      <c r="M80" s="259">
        <f t="shared" si="36"/>
        <v>-3423614.6406727643</v>
      </c>
      <c r="N80" s="259">
        <f t="shared" si="36"/>
        <v>-3983383.8167088921</v>
      </c>
      <c r="O80" s="259">
        <f t="shared" si="36"/>
        <v>-4634676.5908502648</v>
      </c>
      <c r="P80" s="259">
        <f t="shared" si="36"/>
        <v>-5392457.2901244024</v>
      </c>
      <c r="Q80" s="259">
        <f t="shared" si="36"/>
        <v>-6274136.9447918981</v>
      </c>
      <c r="R80" s="259">
        <f t="shared" si="36"/>
        <v>-7299973.3301725388</v>
      </c>
    </row>
    <row r="81" spans="2:18">
      <c r="B81" t="s">
        <v>62</v>
      </c>
      <c r="C81" s="51">
        <f>_xlfn.STDEV.S(D81:H81)</f>
        <v>0.18930562449761984</v>
      </c>
      <c r="E81" s="49">
        <f t="shared" ref="E81" si="37">E80/D80-1</f>
        <v>-2.1331349202272976E-2</v>
      </c>
      <c r="F81" s="49">
        <f t="shared" ref="F81" si="38">F80/E80-1</f>
        <v>6.4156173396777927E-2</v>
      </c>
      <c r="G81" s="49">
        <f t="shared" ref="G81" si="39">G80/F80-1</f>
        <v>0.25886858340480567</v>
      </c>
      <c r="H81" s="49">
        <f t="shared" ref="H81" si="40">H80/G80-1</f>
        <v>0.39780850200307372</v>
      </c>
      <c r="I81" s="49">
        <f t="array" ref="I81">CHOOSE(Assumption!$E$25,'Revenue Buildup'!I84:R84,'Revenue Buildup'!I85:R85,'Revenue Buildup'!I86:R86)</f>
        <v>0.16350238995535116</v>
      </c>
      <c r="J81" s="49">
        <f t="array" ref="J81">CHOOSE(Assumption!$E$25,'Revenue Buildup'!J84:S84,'Revenue Buildup'!J85:S85,'Revenue Buildup'!J86:S86)</f>
        <v>0.16350238995535116</v>
      </c>
      <c r="K81" s="49">
        <f t="array" ref="K81">CHOOSE(Assumption!$E$25,'Revenue Buildup'!K84:T84,'Revenue Buildup'!K85:T85,'Revenue Buildup'!K86:T86)</f>
        <v>0.16350238995535116</v>
      </c>
      <c r="L81" s="49">
        <f t="array" ref="L81">CHOOSE(Assumption!$E$25,'Revenue Buildup'!L84:U84,'Revenue Buildup'!L85:U85,'Revenue Buildup'!L86:U86)</f>
        <v>0.16350238995535116</v>
      </c>
      <c r="M81" s="49">
        <f t="array" ref="M81">CHOOSE(Assumption!$E$25,'Revenue Buildup'!M84:V84,'Revenue Buildup'!M85:V85,'Revenue Buildup'!M86:V86)</f>
        <v>0.16350238995535116</v>
      </c>
      <c r="N81" s="49">
        <f t="array" ref="N81">CHOOSE(Assumption!$E$25,'Revenue Buildup'!N84:W84,'Revenue Buildup'!N85:W85,'Revenue Buildup'!N86:W86)</f>
        <v>0.16350238995535116</v>
      </c>
      <c r="O81" s="49">
        <f t="array" ref="O81">CHOOSE(Assumption!$E$25,'Revenue Buildup'!O84:X84,'Revenue Buildup'!O85:X85,'Revenue Buildup'!O86:X86)</f>
        <v>0.16350238995535116</v>
      </c>
      <c r="P81" s="49">
        <f t="array" ref="P81">CHOOSE(Assumption!$E$25,'Revenue Buildup'!P84:Y84,'Revenue Buildup'!P85:Y85,'Revenue Buildup'!P86:Y86)</f>
        <v>0.16350238995535116</v>
      </c>
      <c r="Q81" s="49">
        <f t="array" ref="Q81">CHOOSE(Assumption!$E$25,'Revenue Buildup'!Q84:Z84,'Revenue Buildup'!Q85:Z85,'Revenue Buildup'!Q86:Z86)</f>
        <v>0.16350238995535116</v>
      </c>
      <c r="R81" s="49">
        <f t="array" ref="R81">CHOOSE(Assumption!$E$25,'Revenue Buildup'!R84:AA84,'Revenue Buildup'!R85:AA85,'Revenue Buildup'!R86:AA86)</f>
        <v>0.16350238995535116</v>
      </c>
    </row>
    <row r="82" spans="2:18">
      <c r="B82" s="21"/>
      <c r="C82" s="50"/>
    </row>
    <row r="83" spans="2:18">
      <c r="B83" t="s">
        <v>49</v>
      </c>
      <c r="C83" s="50"/>
    </row>
    <row r="84" spans="2:18">
      <c r="B84" t="s">
        <v>50</v>
      </c>
      <c r="C84" s="50"/>
      <c r="E84" s="186"/>
      <c r="F84" s="186"/>
      <c r="G84" s="186"/>
      <c r="H84" s="186"/>
      <c r="I84" s="47">
        <f>I85+$C$81</f>
        <v>0.352808014452971</v>
      </c>
      <c r="J84" s="47">
        <f>I84</f>
        <v>0.352808014452971</v>
      </c>
      <c r="K84" s="47">
        <f t="shared" ref="K84:R84" si="41">J84</f>
        <v>0.352808014452971</v>
      </c>
      <c r="L84" s="47">
        <f t="shared" si="41"/>
        <v>0.352808014452971</v>
      </c>
      <c r="M84" s="47">
        <f t="shared" si="41"/>
        <v>0.352808014452971</v>
      </c>
      <c r="N84" s="47">
        <f t="shared" si="41"/>
        <v>0.352808014452971</v>
      </c>
      <c r="O84" s="47">
        <f t="shared" si="41"/>
        <v>0.352808014452971</v>
      </c>
      <c r="P84" s="47">
        <f t="shared" si="41"/>
        <v>0.352808014452971</v>
      </c>
      <c r="Q84" s="47">
        <f t="shared" si="41"/>
        <v>0.352808014452971</v>
      </c>
      <c r="R84" s="47">
        <f t="shared" si="41"/>
        <v>0.352808014452971</v>
      </c>
    </row>
    <row r="85" spans="2:18">
      <c r="B85" t="s">
        <v>51</v>
      </c>
      <c r="C85" s="50"/>
      <c r="E85" s="186"/>
      <c r="F85" s="186"/>
      <c r="G85" s="186"/>
      <c r="H85" s="186"/>
      <c r="I85" s="48">
        <f>_xlfn.RRI(COUNT(D80:H80)-1,D80,H80)</f>
        <v>0.16350238995535116</v>
      </c>
      <c r="J85" s="47">
        <f t="shared" ref="J85:R86" si="42">I85</f>
        <v>0.16350238995535116</v>
      </c>
      <c r="K85" s="47">
        <f t="shared" si="42"/>
        <v>0.16350238995535116</v>
      </c>
      <c r="L85" s="47">
        <f t="shared" si="42"/>
        <v>0.16350238995535116</v>
      </c>
      <c r="M85" s="47">
        <f t="shared" si="42"/>
        <v>0.16350238995535116</v>
      </c>
      <c r="N85" s="47">
        <f t="shared" si="42"/>
        <v>0.16350238995535116</v>
      </c>
      <c r="O85" s="47">
        <f t="shared" si="42"/>
        <v>0.16350238995535116</v>
      </c>
      <c r="P85" s="47">
        <f t="shared" si="42"/>
        <v>0.16350238995535116</v>
      </c>
      <c r="Q85" s="47">
        <f t="shared" si="42"/>
        <v>0.16350238995535116</v>
      </c>
      <c r="R85" s="47">
        <f t="shared" si="42"/>
        <v>0.16350238995535116</v>
      </c>
    </row>
    <row r="86" spans="2:18">
      <c r="B86" t="s">
        <v>52</v>
      </c>
      <c r="C86" s="50"/>
      <c r="E86" s="186"/>
      <c r="F86" s="186"/>
      <c r="G86" s="186"/>
      <c r="H86" s="186"/>
      <c r="I86" s="47">
        <f>MIN(D81:H81)</f>
        <v>-2.1331349202272976E-2</v>
      </c>
      <c r="J86" s="47">
        <f t="shared" si="42"/>
        <v>-2.1331349202272976E-2</v>
      </c>
      <c r="K86" s="47">
        <f t="shared" si="42"/>
        <v>-2.1331349202272976E-2</v>
      </c>
      <c r="L86" s="47">
        <f t="shared" si="42"/>
        <v>-2.1331349202272976E-2</v>
      </c>
      <c r="M86" s="47">
        <f t="shared" si="42"/>
        <v>-2.1331349202272976E-2</v>
      </c>
      <c r="N86" s="47">
        <f t="shared" si="42"/>
        <v>-2.1331349202272976E-2</v>
      </c>
      <c r="O86" s="47">
        <f t="shared" si="42"/>
        <v>-2.1331349202272976E-2</v>
      </c>
      <c r="P86" s="47">
        <f t="shared" si="42"/>
        <v>-2.1331349202272976E-2</v>
      </c>
      <c r="Q86" s="47">
        <f t="shared" si="42"/>
        <v>-2.1331349202272976E-2</v>
      </c>
      <c r="R86" s="47">
        <f t="shared" si="42"/>
        <v>-2.1331349202272976E-2</v>
      </c>
    </row>
    <row r="87" spans="2:18">
      <c r="C87" s="50"/>
    </row>
    <row r="88" spans="2:18">
      <c r="B88" s="1" t="s">
        <v>14</v>
      </c>
      <c r="C88" s="50" t="s">
        <v>61</v>
      </c>
      <c r="D88" s="257">
        <f>'Income statement Historical'!D29</f>
        <v>0</v>
      </c>
      <c r="E88" s="257">
        <f>'Income statement Historical'!E29</f>
        <v>0</v>
      </c>
      <c r="F88" s="257">
        <f>'Income statement Historical'!F29</f>
        <v>7544.2790000000005</v>
      </c>
      <c r="G88" s="257">
        <f>'Income statement Historical'!G29</f>
        <v>9982.8760000000002</v>
      </c>
      <c r="H88" s="257">
        <f>'Income statement Historical'!H29</f>
        <v>10737.68</v>
      </c>
      <c r="I88" s="4">
        <f>H88*(1+I89)</f>
        <v>12165.246636870783</v>
      </c>
      <c r="J88" s="4">
        <f t="shared" ref="J88:R88" si="43">I88*(1+J89)</f>
        <v>13782.607205271146</v>
      </c>
      <c r="K88" s="4">
        <f t="shared" si="43"/>
        <v>15614.994668423329</v>
      </c>
      <c r="L88" s="4">
        <f t="shared" si="43"/>
        <v>17690.996693400444</v>
      </c>
      <c r="M88" s="4">
        <f t="shared" si="43"/>
        <v>20043.001656529334</v>
      </c>
      <c r="N88" s="4">
        <f t="shared" si="43"/>
        <v>22707.703944882785</v>
      </c>
      <c r="O88" s="4">
        <f t="shared" si="43"/>
        <v>25726.676437232501</v>
      </c>
      <c r="P88" s="4">
        <f t="shared" si="43"/>
        <v>29147.019095922533</v>
      </c>
      <c r="Q88" s="4">
        <f t="shared" si="43"/>
        <v>33022.093788553961</v>
      </c>
      <c r="R88" s="4">
        <f t="shared" si="43"/>
        <v>37412.356803670591</v>
      </c>
    </row>
    <row r="89" spans="2:18">
      <c r="B89" s="46"/>
      <c r="C89" s="50"/>
      <c r="E89" s="49">
        <v>0</v>
      </c>
      <c r="F89" s="49">
        <v>0</v>
      </c>
      <c r="G89" s="49">
        <f t="shared" ref="G89:H89" si="44">G88/F88-1</f>
        <v>0.32323791312595929</v>
      </c>
      <c r="H89" s="49">
        <f t="shared" si="44"/>
        <v>7.5609874348834927E-2</v>
      </c>
      <c r="I89" s="49">
        <f>AVERAGE(F89:H89)</f>
        <v>0.13294926249159808</v>
      </c>
      <c r="J89" s="49">
        <f>I89</f>
        <v>0.13294926249159808</v>
      </c>
      <c r="K89" s="49">
        <f t="shared" ref="K89:R89" si="45">J89</f>
        <v>0.13294926249159808</v>
      </c>
      <c r="L89" s="49">
        <f t="shared" si="45"/>
        <v>0.13294926249159808</v>
      </c>
      <c r="M89" s="49">
        <f t="shared" si="45"/>
        <v>0.13294926249159808</v>
      </c>
      <c r="N89" s="49">
        <f t="shared" si="45"/>
        <v>0.13294926249159808</v>
      </c>
      <c r="O89" s="49">
        <f t="shared" si="45"/>
        <v>0.13294926249159808</v>
      </c>
      <c r="P89" s="49">
        <f t="shared" si="45"/>
        <v>0.13294926249159808</v>
      </c>
      <c r="Q89" s="49">
        <f t="shared" si="45"/>
        <v>0.13294926249159808</v>
      </c>
      <c r="R89" s="49">
        <f t="shared" si="45"/>
        <v>0.13294926249159808</v>
      </c>
    </row>
    <row r="90" spans="2:18">
      <c r="B90" s="46"/>
      <c r="C90" s="50"/>
    </row>
    <row r="91" spans="2:18">
      <c r="B91" s="1" t="s">
        <v>77</v>
      </c>
      <c r="C91" s="50" t="s">
        <v>61</v>
      </c>
      <c r="D91" s="257">
        <f>'Income statement Historical'!D30</f>
        <v>16591.601999999999</v>
      </c>
      <c r="E91" s="257">
        <f>'Income statement Historical'!E30</f>
        <v>19796.467000000001</v>
      </c>
      <c r="F91" s="257">
        <f>'Income statement Historical'!F30</f>
        <v>14281.645</v>
      </c>
      <c r="G91" s="257">
        <f>'Income statement Historical'!G30</f>
        <v>14246.737999999999</v>
      </c>
      <c r="H91" s="257">
        <f>'Income statement Historical'!H30</f>
        <v>18241.392</v>
      </c>
      <c r="I91" s="4">
        <f>H91*(1+I92)</f>
        <v>19119.406753949152</v>
      </c>
      <c r="J91" s="4">
        <f t="shared" ref="J91:R91" si="46">I91*(1+J92)</f>
        <v>20039.683080269115</v>
      </c>
      <c r="K91" s="4">
        <f t="shared" si="46"/>
        <v>21004.25515946907</v>
      </c>
      <c r="L91" s="4">
        <f t="shared" si="46"/>
        <v>22015.255083473028</v>
      </c>
      <c r="M91" s="4">
        <f t="shared" si="46"/>
        <v>23074.9175683998</v>
      </c>
      <c r="N91" s="4">
        <f t="shared" si="46"/>
        <v>24185.584894183681</v>
      </c>
      <c r="O91" s="4">
        <f t="shared" si="46"/>
        <v>25349.712081954382</v>
      </c>
      <c r="P91" s="4">
        <f t="shared" si="46"/>
        <v>26569.872320620321</v>
      </c>
      <c r="Q91" s="4">
        <f t="shared" si="46"/>
        <v>27848.762654650192</v>
      </c>
      <c r="R91" s="4">
        <f t="shared" si="46"/>
        <v>29189.20994562508</v>
      </c>
    </row>
    <row r="92" spans="2:18">
      <c r="C92" s="50"/>
      <c r="E92" s="49">
        <f>E91/D91-1</f>
        <v>0.19316187791872075</v>
      </c>
      <c r="F92" s="49">
        <f t="shared" ref="F92:H92" si="47">F91/E91-1</f>
        <v>-0.27857607117472016</v>
      </c>
      <c r="G92" s="49">
        <f t="shared" si="47"/>
        <v>-2.4441862264467096E-3</v>
      </c>
      <c r="H92" s="49">
        <f t="shared" si="47"/>
        <v>0.28039078138448259</v>
      </c>
      <c r="I92" s="49">
        <f>AVERAGE(E92:H92)</f>
        <v>4.8133100475509116E-2</v>
      </c>
      <c r="J92" s="49">
        <f>I92</f>
        <v>4.8133100475509116E-2</v>
      </c>
      <c r="K92" s="49">
        <f t="shared" ref="K92:R92" si="48">J92</f>
        <v>4.8133100475509116E-2</v>
      </c>
      <c r="L92" s="49">
        <f t="shared" si="48"/>
        <v>4.8133100475509116E-2</v>
      </c>
      <c r="M92" s="49">
        <f t="shared" si="48"/>
        <v>4.8133100475509116E-2</v>
      </c>
      <c r="N92" s="49">
        <f t="shared" si="48"/>
        <v>4.8133100475509116E-2</v>
      </c>
      <c r="O92" s="49">
        <f t="shared" si="48"/>
        <v>4.8133100475509116E-2</v>
      </c>
      <c r="P92" s="49">
        <f t="shared" si="48"/>
        <v>4.8133100475509116E-2</v>
      </c>
      <c r="Q92" s="49">
        <f t="shared" si="48"/>
        <v>4.8133100475509116E-2</v>
      </c>
      <c r="R92" s="49">
        <f t="shared" si="48"/>
        <v>4.8133100475509116E-2</v>
      </c>
    </row>
    <row r="94" spans="2:18">
      <c r="B94" s="30"/>
      <c r="C94" s="30"/>
      <c r="D94" s="30"/>
      <c r="E94" s="30"/>
      <c r="F94" s="30"/>
      <c r="G94" s="30"/>
      <c r="H94" s="30"/>
      <c r="I94" s="30"/>
      <c r="J94" s="30"/>
      <c r="K94" s="30"/>
      <c r="L94" s="30"/>
      <c r="M94" s="30"/>
      <c r="N94" s="30"/>
      <c r="O94" s="30"/>
      <c r="P94" s="30"/>
      <c r="Q94" s="30"/>
      <c r="R94" s="30"/>
    </row>
  </sheetData>
  <mergeCells count="1">
    <mergeCell ref="B7:R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3"/>
  <sheetViews>
    <sheetView showGridLines="0" topLeftCell="B8" zoomScaleNormal="100" workbookViewId="0">
      <pane xSplit="1" ySplit="2" topLeftCell="C17" activePane="bottomRight" state="frozen"/>
      <selection activeCell="B8" sqref="B8"/>
      <selection pane="topRight" activeCell="C8" sqref="C8"/>
      <selection pane="bottomLeft" activeCell="B10" sqref="B10"/>
      <selection pane="bottomRight" activeCell="H31" sqref="H31"/>
    </sheetView>
  </sheetViews>
  <sheetFormatPr defaultRowHeight="15"/>
  <cols>
    <col min="1" max="1" width="1.85546875" customWidth="1"/>
    <col min="2" max="2" width="27.42578125" bestFit="1" customWidth="1"/>
    <col min="4" max="4" width="12.28515625" bestFit="1" customWidth="1"/>
    <col min="5" max="8" width="10.7109375" bestFit="1" customWidth="1"/>
    <col min="9" max="9" width="12.140625" bestFit="1" customWidth="1"/>
    <col min="10" max="17" width="10.7109375" bestFit="1" customWidth="1"/>
    <col min="18" max="18" width="12.28515625" bestFit="1" customWidth="1"/>
  </cols>
  <sheetData>
    <row r="1" spans="2:18" ht="5.0999999999999996" customHeight="1">
      <c r="B1" s="30"/>
      <c r="C1" s="30"/>
      <c r="D1" s="30"/>
      <c r="E1" s="30"/>
      <c r="F1" s="30"/>
      <c r="G1" s="30"/>
      <c r="H1" s="30"/>
      <c r="I1" s="30"/>
      <c r="J1" s="30"/>
      <c r="K1" s="30"/>
      <c r="L1" s="30"/>
      <c r="M1" s="30"/>
      <c r="N1" s="30"/>
      <c r="O1" s="30"/>
      <c r="P1" s="30"/>
      <c r="Q1" s="30"/>
      <c r="R1" s="30"/>
    </row>
    <row r="3" spans="2:18">
      <c r="B3" s="170" t="s">
        <v>260</v>
      </c>
    </row>
    <row r="4" spans="2:18">
      <c r="B4" s="171" t="s">
        <v>262</v>
      </c>
    </row>
    <row r="5" spans="2:18">
      <c r="B5" s="25" t="s">
        <v>261</v>
      </c>
      <c r="C5" s="29"/>
      <c r="D5" s="29"/>
      <c r="E5" s="29"/>
      <c r="F5" s="29"/>
      <c r="G5" s="29"/>
      <c r="H5" s="29"/>
      <c r="I5" s="29"/>
      <c r="J5" s="29"/>
      <c r="K5" s="29"/>
      <c r="L5" s="29"/>
      <c r="M5" s="29"/>
      <c r="N5" s="29"/>
      <c r="O5" s="29"/>
      <c r="P5" s="29"/>
      <c r="Q5" s="29"/>
      <c r="R5" s="29"/>
    </row>
    <row r="6" spans="2:18">
      <c r="B6" s="33"/>
      <c r="C6" s="26"/>
      <c r="D6" s="26"/>
      <c r="E6" s="26"/>
      <c r="F6" s="26"/>
      <c r="G6" s="26"/>
      <c r="H6" s="26"/>
      <c r="I6" s="26"/>
      <c r="J6" s="26"/>
      <c r="K6" s="26"/>
      <c r="L6" s="26"/>
      <c r="M6" s="26"/>
      <c r="N6" s="26"/>
      <c r="O6" s="26"/>
      <c r="P6" s="26"/>
      <c r="Q6" s="26"/>
      <c r="R6" s="26"/>
    </row>
    <row r="7" spans="2:18">
      <c r="B7" s="308" t="s">
        <v>285</v>
      </c>
      <c r="C7" s="308"/>
      <c r="D7" s="308"/>
      <c r="E7" s="308"/>
      <c r="F7" s="308"/>
      <c r="G7" s="308"/>
      <c r="H7" s="308"/>
      <c r="I7" s="308"/>
      <c r="J7" s="308"/>
      <c r="K7" s="308"/>
      <c r="L7" s="308"/>
      <c r="M7" s="308"/>
      <c r="N7" s="308"/>
      <c r="O7" s="308"/>
      <c r="P7" s="308"/>
      <c r="Q7" s="308"/>
      <c r="R7" s="308"/>
    </row>
    <row r="8" spans="2:18">
      <c r="B8" s="32" t="s">
        <v>0</v>
      </c>
      <c r="C8" s="32" t="s">
        <v>44</v>
      </c>
      <c r="D8" s="32">
        <v>2020</v>
      </c>
      <c r="E8" s="32">
        <v>2021</v>
      </c>
      <c r="F8" s="32">
        <v>2022</v>
      </c>
      <c r="G8" s="32">
        <v>2023</v>
      </c>
      <c r="H8" s="32">
        <v>2024</v>
      </c>
      <c r="I8" s="32">
        <v>2025</v>
      </c>
      <c r="J8" s="32">
        <v>2026</v>
      </c>
      <c r="K8" s="32">
        <v>2027</v>
      </c>
      <c r="L8" s="32">
        <v>2028</v>
      </c>
      <c r="M8" s="32">
        <v>2029</v>
      </c>
      <c r="N8" s="32">
        <v>2030</v>
      </c>
      <c r="O8" s="32">
        <v>2031</v>
      </c>
      <c r="P8" s="32">
        <v>2032</v>
      </c>
      <c r="Q8" s="32">
        <v>2033</v>
      </c>
      <c r="R8" s="32">
        <v>2034</v>
      </c>
    </row>
    <row r="9" spans="2:18">
      <c r="B9" s="151"/>
      <c r="C9" s="151"/>
      <c r="D9" s="169" t="s">
        <v>73</v>
      </c>
      <c r="E9" s="169" t="s">
        <v>73</v>
      </c>
      <c r="F9" s="169" t="s">
        <v>73</v>
      </c>
      <c r="G9" s="169" t="s">
        <v>73</v>
      </c>
      <c r="H9" s="169" t="s">
        <v>73</v>
      </c>
      <c r="I9" s="169" t="s">
        <v>259</v>
      </c>
      <c r="J9" s="169" t="s">
        <v>259</v>
      </c>
      <c r="K9" s="169" t="s">
        <v>259</v>
      </c>
      <c r="L9" s="169" t="s">
        <v>259</v>
      </c>
      <c r="M9" s="169" t="s">
        <v>259</v>
      </c>
      <c r="N9" s="169" t="s">
        <v>259</v>
      </c>
      <c r="O9" s="169" t="s">
        <v>259</v>
      </c>
      <c r="P9" s="169" t="s">
        <v>259</v>
      </c>
      <c r="Q9" s="169" t="s">
        <v>259</v>
      </c>
      <c r="R9" s="169" t="s">
        <v>259</v>
      </c>
    </row>
    <row r="10" spans="2:18">
      <c r="B10" s="1" t="s">
        <v>45</v>
      </c>
      <c r="C10" s="1"/>
      <c r="D10" s="1">
        <v>12</v>
      </c>
      <c r="E10" s="1">
        <v>12</v>
      </c>
      <c r="F10" s="1">
        <v>12</v>
      </c>
      <c r="G10" s="1">
        <v>12</v>
      </c>
      <c r="H10" s="1">
        <v>12</v>
      </c>
      <c r="I10" s="1">
        <v>12</v>
      </c>
      <c r="J10" s="1">
        <v>12</v>
      </c>
      <c r="K10" s="1">
        <v>12</v>
      </c>
      <c r="L10" s="1">
        <v>12</v>
      </c>
      <c r="M10" s="1">
        <v>12</v>
      </c>
      <c r="N10" s="1">
        <v>12</v>
      </c>
      <c r="O10" s="1">
        <v>12</v>
      </c>
      <c r="P10" s="1">
        <v>12</v>
      </c>
      <c r="Q10" s="1">
        <v>12</v>
      </c>
      <c r="R10" s="1">
        <v>12</v>
      </c>
    </row>
    <row r="13" spans="2:18">
      <c r="B13" s="25" t="s">
        <v>5</v>
      </c>
      <c r="C13" s="25" t="s">
        <v>75</v>
      </c>
      <c r="D13" s="260">
        <f>'Revenue Buildup'!D12</f>
        <v>1497860.9999999993</v>
      </c>
      <c r="E13" s="260">
        <f>'Revenue Buildup'!E12</f>
        <v>1613364.7999999996</v>
      </c>
      <c r="F13" s="260">
        <f>'Revenue Buildup'!F12</f>
        <v>1575363.2</v>
      </c>
      <c r="G13" s="260">
        <f>'Revenue Buildup'!G12</f>
        <v>1861787.9999999995</v>
      </c>
      <c r="H13" s="260">
        <f>'Revenue Buildup'!H12</f>
        <v>2360377.1999999997</v>
      </c>
      <c r="I13" s="260">
        <f>'Revenue Buildup'!I12</f>
        <v>2768702.9719339074</v>
      </c>
      <c r="J13" s="260">
        <f>'Revenue Buildup'!J12</f>
        <v>3242148.501308708</v>
      </c>
      <c r="K13" s="260">
        <f>'Revenue Buildup'!K12</f>
        <v>3793857.7313623894</v>
      </c>
      <c r="L13" s="260">
        <f>'Revenue Buildup'!L12</f>
        <v>4440035.5020245984</v>
      </c>
      <c r="M13" s="260">
        <f>'Revenue Buildup'!M12</f>
        <v>5200488.8929056376</v>
      </c>
      <c r="N13" s="260">
        <f>'Revenue Buildup'!N12</f>
        <v>6099288.4389730319</v>
      </c>
      <c r="O13" s="260">
        <f>'Revenue Buildup'!O12</f>
        <v>7165580.9980989909</v>
      </c>
      <c r="P13" s="260">
        <f>'Revenue Buildup'!P12</f>
        <v>8434589.4642331339</v>
      </c>
      <c r="Q13" s="260">
        <f>'Revenue Buildup'!Q12</f>
        <v>9948839.7233990394</v>
      </c>
      <c r="R13" s="260">
        <f>'Revenue Buildup'!R12</f>
        <v>11759662.534830462</v>
      </c>
    </row>
    <row r="15" spans="2:18">
      <c r="B15" s="1" t="s">
        <v>64</v>
      </c>
    </row>
    <row r="16" spans="2:18">
      <c r="B16" s="25" t="s">
        <v>65</v>
      </c>
      <c r="C16" s="25" t="s">
        <v>75</v>
      </c>
      <c r="D16" s="206">
        <f>'Income statement Historical'!D17</f>
        <v>332242.78999999998</v>
      </c>
      <c r="E16" s="206">
        <f>'Income statement Historical'!E17</f>
        <v>337196.58500000002</v>
      </c>
      <c r="F16" s="206">
        <f>'Income statement Historical'!F17</f>
        <v>336132.83299999998</v>
      </c>
      <c r="G16" s="206">
        <f>'Income statement Historical'!G17</f>
        <v>394765.40700000001</v>
      </c>
      <c r="H16" s="206">
        <f>'Income statement Historical'!H17</f>
        <v>587844.55500000005</v>
      </c>
      <c r="I16" s="205">
        <f>I17*I$13</f>
        <v>612029.84612058522</v>
      </c>
      <c r="J16" s="205">
        <f t="shared" ref="J16:R16" si="0">J17*J$13</f>
        <v>716686.35764494794</v>
      </c>
      <c r="K16" s="205">
        <f t="shared" si="0"/>
        <v>838643.2878739814</v>
      </c>
      <c r="L16" s="205">
        <f t="shared" si="0"/>
        <v>981482.76381411671</v>
      </c>
      <c r="M16" s="205">
        <f t="shared" si="0"/>
        <v>1149583.1980321321</v>
      </c>
      <c r="N16" s="205">
        <f t="shared" si="0"/>
        <v>1348265.4523039388</v>
      </c>
      <c r="O16" s="205">
        <f t="shared" si="0"/>
        <v>1583972.5243505838</v>
      </c>
      <c r="P16" s="205">
        <f t="shared" si="0"/>
        <v>1864490.5373432536</v>
      </c>
      <c r="Q16" s="205">
        <f t="shared" si="0"/>
        <v>2199219.962095534</v>
      </c>
      <c r="R16" s="205">
        <f t="shared" si="0"/>
        <v>2599507.6122575519</v>
      </c>
    </row>
    <row r="17" spans="2:18">
      <c r="B17" t="s">
        <v>66</v>
      </c>
      <c r="C17" s="43" t="s">
        <v>76</v>
      </c>
      <c r="D17" s="41">
        <f>D16/D$13</f>
        <v>0.22181149652738147</v>
      </c>
      <c r="E17" s="41">
        <f t="shared" ref="E17:H17" si="1">E16/E$13</f>
        <v>0.20900207132323706</v>
      </c>
      <c r="F17" s="41">
        <f t="shared" si="1"/>
        <v>0.21336846829988157</v>
      </c>
      <c r="G17" s="41">
        <f t="shared" si="1"/>
        <v>0.21203563832187128</v>
      </c>
      <c r="H17" s="41">
        <f t="shared" si="1"/>
        <v>0.24904687055950214</v>
      </c>
      <c r="I17" s="42">
        <f>AVERAGE(D17:H17)</f>
        <v>0.2210529090063747</v>
      </c>
      <c r="J17" s="42">
        <f>I17</f>
        <v>0.2210529090063747</v>
      </c>
      <c r="K17" s="42">
        <f t="shared" ref="K17:R17" si="2">J17</f>
        <v>0.2210529090063747</v>
      </c>
      <c r="L17" s="42">
        <f t="shared" si="2"/>
        <v>0.2210529090063747</v>
      </c>
      <c r="M17" s="42">
        <f t="shared" si="2"/>
        <v>0.2210529090063747</v>
      </c>
      <c r="N17" s="42">
        <f t="shared" si="2"/>
        <v>0.2210529090063747</v>
      </c>
      <c r="O17" s="42">
        <f t="shared" si="2"/>
        <v>0.2210529090063747</v>
      </c>
      <c r="P17" s="42">
        <f t="shared" si="2"/>
        <v>0.2210529090063747</v>
      </c>
      <c r="Q17" s="42">
        <f t="shared" si="2"/>
        <v>0.2210529090063747</v>
      </c>
      <c r="R17" s="42">
        <f t="shared" si="2"/>
        <v>0.2210529090063747</v>
      </c>
    </row>
    <row r="18" spans="2:18">
      <c r="C18" s="1"/>
    </row>
    <row r="19" spans="2:18">
      <c r="B19" s="25" t="s">
        <v>67</v>
      </c>
      <c r="C19" s="25" t="s">
        <v>75</v>
      </c>
      <c r="D19" s="261">
        <f>'Income statement Historical'!D18</f>
        <v>679547.88100000005</v>
      </c>
      <c r="E19" s="261">
        <f>'Income statement Historical'!E18</f>
        <v>710980.08900000004</v>
      </c>
      <c r="F19" s="261">
        <f>'Income statement Historical'!F18</f>
        <v>668399.46799999999</v>
      </c>
      <c r="G19" s="261">
        <f>'Income statement Historical'!G18</f>
        <v>700490.38199999998</v>
      </c>
      <c r="H19" s="261">
        <f>'Income statement Historical'!H18</f>
        <v>825039.76899999997</v>
      </c>
      <c r="I19" s="205">
        <f>I20*I$13</f>
        <v>1132081.9394144325</v>
      </c>
      <c r="J19" s="205">
        <f t="shared" ref="J19:R19" si="3">J20*J$13</f>
        <v>1325666.8557217754</v>
      </c>
      <c r="K19" s="205">
        <f t="shared" si="3"/>
        <v>1551252.6485942239</v>
      </c>
      <c r="L19" s="205">
        <f t="shared" si="3"/>
        <v>1815465.2388334742</v>
      </c>
      <c r="M19" s="205">
        <f t="shared" si="3"/>
        <v>2126403.4500860749</v>
      </c>
      <c r="N19" s="205">
        <f t="shared" si="3"/>
        <v>2493909.3702123007</v>
      </c>
      <c r="O19" s="205">
        <f t="shared" si="3"/>
        <v>2929900.7208754336</v>
      </c>
      <c r="P19" s="205">
        <f t="shared" si="3"/>
        <v>3448779.6255601826</v>
      </c>
      <c r="Q19" s="205">
        <f t="shared" si="3"/>
        <v>4067934.2938408167</v>
      </c>
      <c r="R19" s="205">
        <f t="shared" si="3"/>
        <v>4808353.1184969265</v>
      </c>
    </row>
    <row r="20" spans="2:18">
      <c r="B20" t="s">
        <v>66</v>
      </c>
      <c r="C20" s="43" t="s">
        <v>76</v>
      </c>
      <c r="D20" s="41">
        <f>D19/D$13</f>
        <v>0.4536788667306248</v>
      </c>
      <c r="E20" s="41">
        <f t="shared" ref="E20:H20" si="4">E19/E$13</f>
        <v>0.44068154269883675</v>
      </c>
      <c r="F20" s="41">
        <f t="shared" si="4"/>
        <v>0.42428277364864181</v>
      </c>
      <c r="G20" s="41">
        <f t="shared" si="4"/>
        <v>0.37624605057074179</v>
      </c>
      <c r="H20" s="41">
        <f t="shared" si="4"/>
        <v>0.34953725574031136</v>
      </c>
      <c r="I20" s="42">
        <f>AVERAGE(D20:H20)</f>
        <v>0.40888529787783129</v>
      </c>
      <c r="J20" s="42">
        <f>I20</f>
        <v>0.40888529787783129</v>
      </c>
      <c r="K20" s="42">
        <f t="shared" ref="K20:R20" si="5">J20</f>
        <v>0.40888529787783129</v>
      </c>
      <c r="L20" s="42">
        <f t="shared" si="5"/>
        <v>0.40888529787783129</v>
      </c>
      <c r="M20" s="42">
        <f t="shared" si="5"/>
        <v>0.40888529787783129</v>
      </c>
      <c r="N20" s="42">
        <f t="shared" si="5"/>
        <v>0.40888529787783129</v>
      </c>
      <c r="O20" s="42">
        <f t="shared" si="5"/>
        <v>0.40888529787783129</v>
      </c>
      <c r="P20" s="42">
        <f t="shared" si="5"/>
        <v>0.40888529787783129</v>
      </c>
      <c r="Q20" s="42">
        <f t="shared" si="5"/>
        <v>0.40888529787783129</v>
      </c>
      <c r="R20" s="42">
        <f t="shared" si="5"/>
        <v>0.40888529787783129</v>
      </c>
    </row>
    <row r="21" spans="2:18">
      <c r="C21" s="1"/>
    </row>
    <row r="22" spans="2:18">
      <c r="B22" s="25" t="s">
        <v>68</v>
      </c>
      <c r="C22" s="25" t="s">
        <v>75</v>
      </c>
      <c r="D22" s="45">
        <f>'Income statement Historical'!D19</f>
        <v>223772.141</v>
      </c>
      <c r="E22" s="45">
        <f>'Income statement Historical'!E19</f>
        <v>220417.554</v>
      </c>
      <c r="F22" s="45">
        <f>'Income statement Historical'!F19</f>
        <v>174340.856</v>
      </c>
      <c r="G22" s="45">
        <f>'Income statement Historical'!G19</f>
        <v>187333.62899999999</v>
      </c>
      <c r="H22" s="45">
        <f>'Income statement Historical'!H19</f>
        <v>191400.27600000001</v>
      </c>
      <c r="I22" s="205">
        <f>I23*I$13</f>
        <v>320278.28139799245</v>
      </c>
      <c r="J22" s="205">
        <f t="shared" ref="J22:R22" si="6">J23*J$13</f>
        <v>375045.55763557641</v>
      </c>
      <c r="K22" s="205">
        <f t="shared" si="6"/>
        <v>438866.22956181754</v>
      </c>
      <c r="L22" s="205">
        <f t="shared" si="6"/>
        <v>513614.84216605133</v>
      </c>
      <c r="M22" s="205">
        <f t="shared" si="6"/>
        <v>601582.64065637963</v>
      </c>
      <c r="N22" s="205">
        <f t="shared" si="6"/>
        <v>705554.05862856098</v>
      </c>
      <c r="O22" s="205">
        <f t="shared" si="6"/>
        <v>828900.74903420894</v>
      </c>
      <c r="P22" s="205">
        <f t="shared" si="6"/>
        <v>975697.22909471008</v>
      </c>
      <c r="Q22" s="205">
        <f t="shared" si="6"/>
        <v>1150862.8122317726</v>
      </c>
      <c r="R22" s="205">
        <f t="shared" si="6"/>
        <v>1360335.3428140029</v>
      </c>
    </row>
    <row r="23" spans="2:18">
      <c r="B23" t="s">
        <v>66</v>
      </c>
      <c r="C23" s="43" t="s">
        <v>76</v>
      </c>
      <c r="D23" s="41">
        <f>D22/D$13</f>
        <v>0.14939446383876748</v>
      </c>
      <c r="E23" s="41">
        <f t="shared" ref="E23:H23" si="7">E22/E$13</f>
        <v>0.13661978617607132</v>
      </c>
      <c r="F23" s="41">
        <f t="shared" si="7"/>
        <v>0.11066708680258623</v>
      </c>
      <c r="G23" s="41">
        <f t="shared" si="7"/>
        <v>0.10062027953773471</v>
      </c>
      <c r="H23" s="41">
        <f t="shared" si="7"/>
        <v>8.1088851392057182E-2</v>
      </c>
      <c r="I23" s="42">
        <f>AVERAGE(D23:H23)</f>
        <v>0.11567809354944339</v>
      </c>
      <c r="J23" s="42">
        <f>I23</f>
        <v>0.11567809354944339</v>
      </c>
      <c r="K23" s="42">
        <f t="shared" ref="K23:R23" si="8">J23</f>
        <v>0.11567809354944339</v>
      </c>
      <c r="L23" s="42">
        <f t="shared" si="8"/>
        <v>0.11567809354944339</v>
      </c>
      <c r="M23" s="42">
        <f t="shared" si="8"/>
        <v>0.11567809354944339</v>
      </c>
      <c r="N23" s="42">
        <f t="shared" si="8"/>
        <v>0.11567809354944339</v>
      </c>
      <c r="O23" s="42">
        <f t="shared" si="8"/>
        <v>0.11567809354944339</v>
      </c>
      <c r="P23" s="42">
        <f t="shared" si="8"/>
        <v>0.11567809354944339</v>
      </c>
      <c r="Q23" s="42">
        <f t="shared" si="8"/>
        <v>0.11567809354944339</v>
      </c>
      <c r="R23" s="42">
        <f t="shared" si="8"/>
        <v>0.11567809354944339</v>
      </c>
    </row>
    <row r="24" spans="2:18">
      <c r="C24" s="1"/>
    </row>
    <row r="25" spans="2:18">
      <c r="C25" s="1"/>
    </row>
    <row r="26" spans="2:18">
      <c r="B26" s="25" t="s">
        <v>69</v>
      </c>
      <c r="C26" s="25" t="s">
        <v>75</v>
      </c>
      <c r="D26" s="261">
        <f>'Income statement Historical'!D28</f>
        <v>114412.432</v>
      </c>
      <c r="E26" s="261">
        <f>'Income statement Historical'!E28</f>
        <v>89394.289000000004</v>
      </c>
      <c r="F26" s="261">
        <f>'Income statement Historical'!F28</f>
        <v>75533.877999999997</v>
      </c>
      <c r="G26" s="261">
        <f>'Income statement Historical'!G28</f>
        <v>110668.47199999999</v>
      </c>
      <c r="H26" s="261">
        <f>'Income statement Historical'!H28</f>
        <v>153237.07199999999</v>
      </c>
      <c r="I26" s="205">
        <f>I27*'Balance sheet '!I16</f>
        <v>171054.5583858818</v>
      </c>
      <c r="J26" s="205">
        <f>J27*'Balance sheet '!J16</f>
        <v>200304.7223680476</v>
      </c>
      <c r="K26" s="205">
        <f>K27*'Balance sheet '!K16</f>
        <v>234390.13335683607</v>
      </c>
      <c r="L26" s="205">
        <f>L27*'Balance sheet '!L16</f>
        <v>274311.95029416995</v>
      </c>
      <c r="M26" s="205">
        <f>M27*'Balance sheet '!M16</f>
        <v>321293.8838091775</v>
      </c>
      <c r="N26" s="205">
        <f>N27*'Balance sheet '!N16</f>
        <v>376823.04709916411</v>
      </c>
      <c r="O26" s="205">
        <f>O27*'Balance sheet '!O16</f>
        <v>442700.17608712573</v>
      </c>
      <c r="P26" s="205">
        <f>P27*'Balance sheet '!P16</f>
        <v>521101.39317792119</v>
      </c>
      <c r="Q26" s="205">
        <f>Q27*'Balance sheet '!Q16</f>
        <v>614654.01041168999</v>
      </c>
      <c r="R26" s="205">
        <f>R27*'Balance sheet '!R16</f>
        <v>726529.31789840339</v>
      </c>
    </row>
    <row r="27" spans="2:18">
      <c r="B27" t="s">
        <v>70</v>
      </c>
      <c r="C27" s="44" t="s">
        <v>76</v>
      </c>
      <c r="D27" s="41">
        <f>D26/'Balance Sheet Historical '!D28</f>
        <v>5.3500808305866343E-2</v>
      </c>
      <c r="E27" s="41">
        <f>E26/'Balance Sheet Historical '!E28</f>
        <v>6.2122534196232287E-2</v>
      </c>
      <c r="F27" s="41">
        <f>F26/'Balance Sheet Historical '!F28</f>
        <v>4.6740485177143361E-2</v>
      </c>
      <c r="G27" s="41">
        <f>G26/'Balance Sheet Historical '!G28</f>
        <v>5.8535604615475391E-2</v>
      </c>
      <c r="H27" s="41">
        <f>H26/'Balance Sheet Historical '!H28</f>
        <v>7.387482471460044E-2</v>
      </c>
      <c r="I27" s="42">
        <f>AVERAGE(D27:H27)</f>
        <v>5.8954851401863559E-2</v>
      </c>
      <c r="J27" s="42">
        <f>I27</f>
        <v>5.8954851401863559E-2</v>
      </c>
      <c r="K27" s="42">
        <f t="shared" ref="K27:R27" si="9">J27</f>
        <v>5.8954851401863559E-2</v>
      </c>
      <c r="L27" s="42">
        <f t="shared" si="9"/>
        <v>5.8954851401863559E-2</v>
      </c>
      <c r="M27" s="42">
        <f t="shared" si="9"/>
        <v>5.8954851401863559E-2</v>
      </c>
      <c r="N27" s="42">
        <f t="shared" si="9"/>
        <v>5.8954851401863559E-2</v>
      </c>
      <c r="O27" s="42">
        <f t="shared" si="9"/>
        <v>5.8954851401863559E-2</v>
      </c>
      <c r="P27" s="42">
        <f t="shared" si="9"/>
        <v>5.8954851401863559E-2</v>
      </c>
      <c r="Q27" s="42">
        <f t="shared" si="9"/>
        <v>5.8954851401863559E-2</v>
      </c>
      <c r="R27" s="42">
        <f t="shared" si="9"/>
        <v>5.8954851401863559E-2</v>
      </c>
    </row>
    <row r="30" spans="2:18">
      <c r="B30" s="25" t="s">
        <v>71</v>
      </c>
      <c r="C30" s="29" t="s">
        <v>75</v>
      </c>
      <c r="D30" s="261">
        <f>'Income statement Historical'!D34</f>
        <v>23918.931</v>
      </c>
      <c r="E30" s="261">
        <f>'Income statement Historical'!E34</f>
        <v>38335.862999999998</v>
      </c>
      <c r="F30" s="261">
        <f>'Income statement Historical'!F34</f>
        <v>49817.733</v>
      </c>
      <c r="G30" s="261">
        <f>'Income statement Historical'!G34</f>
        <v>108754.258</v>
      </c>
      <c r="H30" s="261">
        <f>'Income statement Historical'!H34</f>
        <v>133436.04699999999</v>
      </c>
      <c r="I30" s="205">
        <f>I31*'Income Statement'!I29</f>
        <v>119952.32502792343</v>
      </c>
      <c r="J30" s="205">
        <f>J31*'Income Statement'!J29</f>
        <v>144667.71755649877</v>
      </c>
      <c r="K30" s="205">
        <f>K31*'Income Statement'!K29</f>
        <v>174061.06036638084</v>
      </c>
      <c r="L30" s="205">
        <f>L31*'Income Statement'!L29</f>
        <v>209153.12348275079</v>
      </c>
      <c r="M30" s="205">
        <f>M31*'Income Statement'!M29</f>
        <v>251206.64737535774</v>
      </c>
      <c r="N30" s="205">
        <f>N31*'Income Statement'!N29</f>
        <v>301777.23412740062</v>
      </c>
      <c r="O30" s="205">
        <f>O31*'Income Statement'!O29</f>
        <v>362775.88074628828</v>
      </c>
      <c r="P30" s="205">
        <f>P31*'Income Statement'!P29</f>
        <v>436546.023097647</v>
      </c>
      <c r="Q30" s="205">
        <f>Q31*'Income Statement'!Q29</f>
        <v>525958.50803205371</v>
      </c>
      <c r="R30" s="205">
        <f>R31*'Income Statement'!R29</f>
        <v>634528.61848599452</v>
      </c>
    </row>
    <row r="31" spans="2:18">
      <c r="B31" t="s">
        <v>72</v>
      </c>
      <c r="C31" s="22" t="s">
        <v>76</v>
      </c>
      <c r="D31" s="41">
        <f>D30/'Income statement Historical'!D32</f>
        <v>0.20002115033876075</v>
      </c>
      <c r="E31" s="41">
        <f>E30/'Income statement Historical'!E32</f>
        <v>0.17254490621455901</v>
      </c>
      <c r="F31" s="41">
        <f>F30/'Income statement Historical'!F32</f>
        <v>0.16555213803218263</v>
      </c>
      <c r="G31" s="41">
        <f>G30/'Income statement Historical'!G32</f>
        <v>0.24214930693035608</v>
      </c>
      <c r="H31" s="41">
        <f>H30/'Income statement Historical'!H32</f>
        <v>0.23165989149627841</v>
      </c>
      <c r="I31" s="42">
        <f>H31+0.5%</f>
        <v>0.23665989149627842</v>
      </c>
      <c r="J31" s="42">
        <f t="shared" ref="J31:R31" si="10">I31+0.5%</f>
        <v>0.24165989149627842</v>
      </c>
      <c r="K31" s="42">
        <f t="shared" si="10"/>
        <v>0.24665989149627843</v>
      </c>
      <c r="L31" s="42">
        <f t="shared" si="10"/>
        <v>0.25165989149627843</v>
      </c>
      <c r="M31" s="42">
        <f t="shared" si="10"/>
        <v>0.25665989149627844</v>
      </c>
      <c r="N31" s="42">
        <f t="shared" si="10"/>
        <v>0.26165989149627844</v>
      </c>
      <c r="O31" s="42">
        <f t="shared" si="10"/>
        <v>0.26665989149627845</v>
      </c>
      <c r="P31" s="42">
        <f t="shared" si="10"/>
        <v>0.27165989149627845</v>
      </c>
      <c r="Q31" s="42">
        <f t="shared" si="10"/>
        <v>0.27665989149627845</v>
      </c>
      <c r="R31" s="42">
        <f t="shared" si="10"/>
        <v>0.28165989149627846</v>
      </c>
    </row>
    <row r="33" spans="2:18">
      <c r="B33" s="30"/>
      <c r="C33" s="30"/>
      <c r="D33" s="30"/>
      <c r="E33" s="30"/>
      <c r="F33" s="30"/>
      <c r="G33" s="30"/>
      <c r="H33" s="30"/>
      <c r="I33" s="30"/>
      <c r="J33" s="30"/>
      <c r="K33" s="30"/>
      <c r="L33" s="30"/>
      <c r="M33" s="30"/>
      <c r="N33" s="30"/>
      <c r="O33" s="30"/>
      <c r="P33" s="30"/>
      <c r="Q33" s="30"/>
      <c r="R33" s="30"/>
    </row>
  </sheetData>
  <mergeCells count="1">
    <mergeCell ref="B7:R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pane ySplit="10" topLeftCell="A53" activePane="bottomLeft" state="frozen"/>
      <selection activeCell="B1" sqref="B1"/>
      <selection pane="bottomLeft" activeCell="C65" sqref="C65"/>
    </sheetView>
  </sheetViews>
  <sheetFormatPr defaultRowHeight="15"/>
  <cols>
    <col min="1" max="1" width="1.85546875" customWidth="1"/>
    <col min="2" max="2" width="30.28515625" bestFit="1" customWidth="1"/>
    <col min="3" max="3" width="13.85546875" bestFit="1" customWidth="1"/>
    <col min="4" max="17" width="14.85546875" bestFit="1" customWidth="1"/>
  </cols>
  <sheetData>
    <row r="1" spans="2:17" ht="5.0999999999999996" customHeight="1">
      <c r="B1" s="30"/>
      <c r="C1" s="30"/>
      <c r="D1" s="30"/>
      <c r="E1" s="30"/>
      <c r="F1" s="30"/>
      <c r="G1" s="30"/>
      <c r="H1" s="30"/>
      <c r="I1" s="30"/>
      <c r="J1" s="30"/>
      <c r="K1" s="30"/>
      <c r="L1" s="30"/>
      <c r="M1" s="30"/>
      <c r="N1" s="30"/>
      <c r="O1" s="30"/>
      <c r="P1" s="30"/>
      <c r="Q1" s="30"/>
    </row>
    <row r="3" spans="2:17">
      <c r="B3" s="170" t="s">
        <v>260</v>
      </c>
    </row>
    <row r="4" spans="2:17">
      <c r="B4" s="171" t="s">
        <v>262</v>
      </c>
    </row>
    <row r="5" spans="2:17">
      <c r="B5" s="25" t="s">
        <v>261</v>
      </c>
      <c r="C5" s="29"/>
      <c r="D5" s="29"/>
      <c r="E5" s="29"/>
      <c r="F5" s="29"/>
      <c r="G5" s="29"/>
      <c r="H5" s="29"/>
      <c r="I5" s="29"/>
      <c r="J5" s="29"/>
      <c r="K5" s="29"/>
      <c r="L5" s="29"/>
      <c r="M5" s="29"/>
      <c r="N5" s="29"/>
      <c r="O5" s="29"/>
      <c r="P5" s="29"/>
      <c r="Q5" s="29"/>
    </row>
    <row r="7" spans="2:17">
      <c r="B7" s="309" t="s">
        <v>78</v>
      </c>
      <c r="C7" s="309"/>
      <c r="D7" s="309"/>
      <c r="E7" s="309"/>
      <c r="F7" s="309"/>
      <c r="G7" s="309"/>
      <c r="H7" s="309"/>
      <c r="I7" s="309"/>
      <c r="J7" s="309"/>
      <c r="K7" s="309"/>
      <c r="L7" s="309"/>
      <c r="M7" s="309"/>
      <c r="N7" s="309"/>
      <c r="O7" s="309"/>
      <c r="P7" s="309"/>
      <c r="Q7" s="309"/>
    </row>
    <row r="9" spans="2:17">
      <c r="B9" s="32" t="s">
        <v>0</v>
      </c>
      <c r="C9" s="32">
        <v>2020</v>
      </c>
      <c r="D9" s="32">
        <v>2021</v>
      </c>
      <c r="E9" s="32">
        <v>2022</v>
      </c>
      <c r="F9" s="32">
        <v>2023</v>
      </c>
      <c r="G9" s="32">
        <v>2024</v>
      </c>
      <c r="H9" s="32">
        <v>2025</v>
      </c>
      <c r="I9" s="32">
        <v>2026</v>
      </c>
      <c r="J9" s="32">
        <v>2027</v>
      </c>
      <c r="K9" s="32">
        <v>2028</v>
      </c>
      <c r="L9" s="32">
        <v>2029</v>
      </c>
      <c r="M9" s="32">
        <v>2030</v>
      </c>
      <c r="N9" s="32">
        <v>2031</v>
      </c>
      <c r="O9" s="32">
        <v>2032</v>
      </c>
      <c r="P9" s="32">
        <v>2033</v>
      </c>
      <c r="Q9" s="32">
        <v>2034</v>
      </c>
    </row>
    <row r="10" spans="2:17">
      <c r="B10" s="168"/>
      <c r="C10" s="169" t="s">
        <v>73</v>
      </c>
      <c r="D10" s="169" t="s">
        <v>73</v>
      </c>
      <c r="E10" s="169" t="s">
        <v>73</v>
      </c>
      <c r="F10" s="169" t="s">
        <v>73</v>
      </c>
      <c r="G10" s="169" t="s">
        <v>73</v>
      </c>
      <c r="H10" s="169" t="s">
        <v>79</v>
      </c>
      <c r="I10" s="169" t="s">
        <v>79</v>
      </c>
      <c r="J10" s="169" t="s">
        <v>79</v>
      </c>
      <c r="K10" s="169" t="s">
        <v>79</v>
      </c>
      <c r="L10" s="169" t="s">
        <v>79</v>
      </c>
      <c r="M10" s="169" t="s">
        <v>79</v>
      </c>
      <c r="N10" s="169" t="s">
        <v>79</v>
      </c>
      <c r="O10" s="169" t="s">
        <v>79</v>
      </c>
      <c r="P10" s="169" t="s">
        <v>79</v>
      </c>
      <c r="Q10" s="169" t="s">
        <v>79</v>
      </c>
    </row>
    <row r="12" spans="2:17">
      <c r="B12" s="1"/>
    </row>
    <row r="13" spans="2:17">
      <c r="B13" s="1" t="s">
        <v>80</v>
      </c>
      <c r="D13" s="24"/>
      <c r="E13" s="24"/>
      <c r="F13" s="24"/>
      <c r="G13" s="24"/>
    </row>
    <row r="14" spans="2:17">
      <c r="B14" t="s">
        <v>81</v>
      </c>
      <c r="C14" s="194">
        <v>91641299</v>
      </c>
      <c r="D14" s="195">
        <f>C17</f>
        <v>94289893</v>
      </c>
      <c r="E14" s="195">
        <f t="shared" ref="E14:Q14" si="0">D17</f>
        <v>95782081</v>
      </c>
      <c r="F14" s="195">
        <f t="shared" si="0"/>
        <v>94345827</v>
      </c>
      <c r="G14" s="195">
        <f t="shared" si="0"/>
        <v>94340437</v>
      </c>
      <c r="H14" s="195">
        <f t="shared" si="0"/>
        <v>102975511</v>
      </c>
      <c r="I14" s="195">
        <f t="shared" si="0"/>
        <v>112830688.735</v>
      </c>
      <c r="J14" s="195">
        <f t="shared" si="0"/>
        <v>122735142.358675</v>
      </c>
      <c r="K14" s="195">
        <f t="shared" si="0"/>
        <v>132689118.25046837</v>
      </c>
      <c r="L14" s="195">
        <f t="shared" si="0"/>
        <v>142692864.02172071</v>
      </c>
      <c r="M14" s="195">
        <f t="shared" si="0"/>
        <v>152746628.52182931</v>
      </c>
      <c r="N14" s="195">
        <f t="shared" si="0"/>
        <v>162850661.84443843</v>
      </c>
      <c r="O14" s="195">
        <f t="shared" si="0"/>
        <v>173005215.3336606</v>
      </c>
      <c r="P14" s="195">
        <f t="shared" si="0"/>
        <v>183210541.5903289</v>
      </c>
      <c r="Q14" s="195">
        <f t="shared" si="0"/>
        <v>193466894.47828054</v>
      </c>
    </row>
    <row r="15" spans="2:17">
      <c r="B15" t="s">
        <v>82</v>
      </c>
      <c r="C15" s="194">
        <v>3406276</v>
      </c>
      <c r="D15" s="194">
        <v>1891104</v>
      </c>
      <c r="E15" s="194">
        <v>3334955</v>
      </c>
      <c r="F15" s="194">
        <v>2793216</v>
      </c>
      <c r="G15" s="194">
        <v>9806147</v>
      </c>
      <c r="H15" s="191">
        <f>G15*(1+Assumption!$E$32)</f>
        <v>9855177.7349999994</v>
      </c>
      <c r="I15" s="191">
        <f>H15*(1+Assumption!$E$32)</f>
        <v>9904453.6236749981</v>
      </c>
      <c r="J15" s="191">
        <f>I15*(1+Assumption!$E$32)</f>
        <v>9953975.8917933721</v>
      </c>
      <c r="K15" s="191">
        <f>J15*(1+Assumption!$E$32)</f>
        <v>10003745.771252338</v>
      </c>
      <c r="L15" s="191">
        <f>K15*(1+Assumption!$E$32)</f>
        <v>10053764.500108598</v>
      </c>
      <c r="M15" s="191">
        <f>L15*(1+Assumption!$E$32)</f>
        <v>10104033.32260914</v>
      </c>
      <c r="N15" s="191">
        <f>M15*(1+Assumption!$E$32)</f>
        <v>10154553.489222184</v>
      </c>
      <c r="O15" s="191">
        <f>N15*(1+Assumption!$E$32)</f>
        <v>10205326.256668294</v>
      </c>
      <c r="P15" s="191">
        <f>O15*(1+Assumption!$E$32)</f>
        <v>10256352.887951635</v>
      </c>
      <c r="Q15" s="191">
        <f>P15*(1+Assumption!$E$32)</f>
        <v>10307634.652391393</v>
      </c>
    </row>
    <row r="16" spans="2:17">
      <c r="B16" t="s">
        <v>83</v>
      </c>
      <c r="C16" s="194">
        <v>-757682</v>
      </c>
      <c r="D16" s="194">
        <v>-398916</v>
      </c>
      <c r="E16" s="194">
        <v>-4771209</v>
      </c>
      <c r="F16" s="194">
        <v>-2798606</v>
      </c>
      <c r="G16" s="194">
        <v>-1171073</v>
      </c>
      <c r="H16" s="191"/>
      <c r="I16" s="191"/>
      <c r="J16" s="191"/>
      <c r="K16" s="191"/>
      <c r="L16" s="191"/>
      <c r="M16" s="191"/>
      <c r="N16" s="191"/>
      <c r="O16" s="191"/>
      <c r="P16" s="191"/>
      <c r="Q16" s="191"/>
    </row>
    <row r="17" spans="1:17" s="1" customFormat="1">
      <c r="A17"/>
      <c r="B17" s="8" t="s">
        <v>84</v>
      </c>
      <c r="C17" s="192">
        <f>SUM(C14:C16)</f>
        <v>94289893</v>
      </c>
      <c r="D17" s="192">
        <f t="shared" ref="D17:G17" si="1">SUM(D14:D16)</f>
        <v>95782081</v>
      </c>
      <c r="E17" s="192">
        <f t="shared" si="1"/>
        <v>94345827</v>
      </c>
      <c r="F17" s="192">
        <f t="shared" si="1"/>
        <v>94340437</v>
      </c>
      <c r="G17" s="192">
        <f t="shared" si="1"/>
        <v>102975511</v>
      </c>
      <c r="H17" s="192">
        <f t="shared" ref="H17" si="2">SUM(H14:H16)</f>
        <v>112830688.735</v>
      </c>
      <c r="I17" s="192">
        <f t="shared" ref="I17" si="3">SUM(I14:I16)</f>
        <v>122735142.358675</v>
      </c>
      <c r="J17" s="192">
        <f t="shared" ref="J17" si="4">SUM(J14:J16)</f>
        <v>132689118.25046837</v>
      </c>
      <c r="K17" s="192">
        <f t="shared" ref="K17" si="5">SUM(K14:K16)</f>
        <v>142692864.02172071</v>
      </c>
      <c r="L17" s="192">
        <f t="shared" ref="L17" si="6">SUM(L14:L16)</f>
        <v>152746628.52182931</v>
      </c>
      <c r="M17" s="192">
        <f t="shared" ref="M17" si="7">SUM(M14:M16)</f>
        <v>162850661.84443843</v>
      </c>
      <c r="N17" s="192">
        <f t="shared" ref="N17" si="8">SUM(N14:N16)</f>
        <v>173005215.3336606</v>
      </c>
      <c r="O17" s="192">
        <f t="shared" ref="O17" si="9">SUM(O14:O16)</f>
        <v>183210541.5903289</v>
      </c>
      <c r="P17" s="192">
        <f t="shared" ref="P17" si="10">SUM(P14:P16)</f>
        <v>193466894.47828054</v>
      </c>
      <c r="Q17" s="192">
        <f t="shared" ref="Q17" si="11">SUM(Q14:Q16)</f>
        <v>203774529.13067195</v>
      </c>
    </row>
    <row r="18" spans="1:17">
      <c r="C18" s="191"/>
      <c r="D18" s="191"/>
      <c r="E18" s="191"/>
      <c r="F18" s="191"/>
      <c r="G18" s="191"/>
      <c r="H18" s="191"/>
      <c r="I18" s="191"/>
      <c r="J18" s="191"/>
      <c r="K18" s="191"/>
      <c r="L18" s="191"/>
      <c r="M18" s="191"/>
      <c r="N18" s="191"/>
      <c r="O18" s="191"/>
      <c r="P18" s="191"/>
      <c r="Q18" s="191"/>
    </row>
    <row r="19" spans="1:17">
      <c r="B19" t="s">
        <v>85</v>
      </c>
      <c r="C19" s="194">
        <v>-19790481</v>
      </c>
      <c r="D19" s="194">
        <v>-21854971</v>
      </c>
      <c r="E19" s="194">
        <v>-23514011</v>
      </c>
      <c r="F19" s="194">
        <v>-25545325</v>
      </c>
      <c r="G19" s="194">
        <v>-28099523</v>
      </c>
      <c r="H19" s="196">
        <f>G19*(1+Assumption!$E$33)</f>
        <v>-28240020.614999998</v>
      </c>
      <c r="I19" s="196">
        <f>H19*(1+Assumption!$E$33)</f>
        <v>-28381220.718074996</v>
      </c>
      <c r="J19" s="196">
        <f>I19*(1+Assumption!$E$33)</f>
        <v>-28523126.821665369</v>
      </c>
      <c r="K19" s="196">
        <f>J19*(1+Assumption!$E$33)</f>
        <v>-28665742.455773693</v>
      </c>
      <c r="L19" s="196">
        <f>K19*(1+Assumption!$E$33)</f>
        <v>-28809071.168052558</v>
      </c>
      <c r="M19" s="196">
        <f>L19*(1+Assumption!$E$33)</f>
        <v>-28953116.523892816</v>
      </c>
      <c r="N19" s="196">
        <f>M19*(1+Assumption!$E$33)</f>
        <v>-29097882.106512278</v>
      </c>
      <c r="O19" s="196">
        <f>N19*(1+Assumption!$E$33)</f>
        <v>-29243371.517044835</v>
      </c>
      <c r="P19" s="196">
        <f>O19*(1+Assumption!$E$33)</f>
        <v>-29389588.374630056</v>
      </c>
      <c r="Q19" s="196">
        <f>P19*(1+Assumption!$E$33)</f>
        <v>-29536536.316503204</v>
      </c>
    </row>
    <row r="20" spans="1:17">
      <c r="C20" s="191"/>
      <c r="D20" s="191"/>
      <c r="E20" s="191"/>
      <c r="F20" s="191"/>
      <c r="G20" s="191"/>
      <c r="H20" s="191"/>
      <c r="I20" s="191"/>
      <c r="J20" s="191"/>
      <c r="K20" s="191"/>
      <c r="L20" s="191"/>
      <c r="M20" s="191"/>
      <c r="N20" s="191"/>
      <c r="O20" s="191"/>
      <c r="P20" s="191"/>
      <c r="Q20" s="191"/>
    </row>
    <row r="21" spans="1:17" s="1" customFormat="1">
      <c r="A21"/>
      <c r="B21" s="11" t="s">
        <v>86</v>
      </c>
      <c r="C21" s="193">
        <f>C17+C19</f>
        <v>74499412</v>
      </c>
      <c r="D21" s="193">
        <f t="shared" ref="D21:Q21" si="12">D17+D19</f>
        <v>73927110</v>
      </c>
      <c r="E21" s="193">
        <f t="shared" si="12"/>
        <v>70831816</v>
      </c>
      <c r="F21" s="193">
        <f t="shared" si="12"/>
        <v>68795112</v>
      </c>
      <c r="G21" s="193">
        <f t="shared" si="12"/>
        <v>74875988</v>
      </c>
      <c r="H21" s="193">
        <f t="shared" si="12"/>
        <v>84590668.120000005</v>
      </c>
      <c r="I21" s="193">
        <f t="shared" si="12"/>
        <v>94353921.640600011</v>
      </c>
      <c r="J21" s="193">
        <f t="shared" si="12"/>
        <v>104165991.428803</v>
      </c>
      <c r="K21" s="193">
        <f t="shared" si="12"/>
        <v>114027121.56594701</v>
      </c>
      <c r="L21" s="193">
        <f t="shared" si="12"/>
        <v>123937557.35377675</v>
      </c>
      <c r="M21" s="193">
        <f t="shared" si="12"/>
        <v>133897545.32054561</v>
      </c>
      <c r="N21" s="193">
        <f t="shared" si="12"/>
        <v>143907333.22714832</v>
      </c>
      <c r="O21" s="193">
        <f t="shared" si="12"/>
        <v>153967170.07328406</v>
      </c>
      <c r="P21" s="193">
        <f t="shared" si="12"/>
        <v>164077306.10365048</v>
      </c>
      <c r="Q21" s="193">
        <f t="shared" si="12"/>
        <v>174237992.81416875</v>
      </c>
    </row>
    <row r="22" spans="1:17">
      <c r="C22" s="191"/>
      <c r="D22" s="191"/>
      <c r="E22" s="191"/>
      <c r="F22" s="191"/>
      <c r="G22" s="191"/>
      <c r="H22" s="191"/>
      <c r="I22" s="191"/>
      <c r="J22" s="191"/>
      <c r="K22" s="191"/>
      <c r="L22" s="191"/>
      <c r="M22" s="191"/>
      <c r="N22" s="191"/>
      <c r="O22" s="191"/>
      <c r="P22" s="191"/>
      <c r="Q22" s="191"/>
    </row>
    <row r="23" spans="1:17">
      <c r="C23" s="191"/>
      <c r="D23" s="191"/>
      <c r="E23" s="191"/>
      <c r="F23" s="191"/>
      <c r="G23" s="191"/>
      <c r="H23" s="191"/>
      <c r="I23" s="191"/>
      <c r="J23" s="191"/>
      <c r="K23" s="191"/>
      <c r="L23" s="191"/>
      <c r="M23" s="191"/>
      <c r="N23" s="191"/>
      <c r="O23" s="191"/>
      <c r="P23" s="191"/>
      <c r="Q23" s="191"/>
    </row>
    <row r="24" spans="1:17">
      <c r="B24" s="1" t="s">
        <v>87</v>
      </c>
      <c r="C24" s="191"/>
      <c r="D24" s="191"/>
      <c r="E24" s="191"/>
      <c r="F24" s="191"/>
      <c r="G24" s="191"/>
      <c r="H24" s="191"/>
      <c r="I24" s="191"/>
      <c r="J24" s="191"/>
      <c r="K24" s="191"/>
      <c r="L24" s="191"/>
      <c r="M24" s="191"/>
      <c r="N24" s="191"/>
      <c r="O24" s="191"/>
      <c r="P24" s="191"/>
      <c r="Q24" s="191"/>
    </row>
    <row r="25" spans="1:17">
      <c r="B25" t="s">
        <v>81</v>
      </c>
      <c r="C25" s="194">
        <v>72962862</v>
      </c>
      <c r="D25" s="195">
        <f>C28</f>
        <v>85814990</v>
      </c>
      <c r="E25" s="195">
        <f t="shared" ref="E25:Q25" si="13">D28</f>
        <v>97137491</v>
      </c>
      <c r="F25" s="195">
        <f t="shared" si="13"/>
        <v>98784940</v>
      </c>
      <c r="G25" s="195">
        <f t="shared" si="13"/>
        <v>111002632</v>
      </c>
      <c r="H25" s="195">
        <f t="shared" si="13"/>
        <v>149044513</v>
      </c>
      <c r="I25" s="195">
        <f t="shared" si="13"/>
        <v>191852444.785</v>
      </c>
      <c r="J25" s="195">
        <f t="shared" si="13"/>
        <v>234874416.22892499</v>
      </c>
      <c r="K25" s="195">
        <f t="shared" si="13"/>
        <v>278111497.53006959</v>
      </c>
      <c r="L25" s="195">
        <f t="shared" si="13"/>
        <v>321564764.23771989</v>
      </c>
      <c r="M25" s="195">
        <f t="shared" si="13"/>
        <v>365235297.27890849</v>
      </c>
      <c r="N25" s="195">
        <f t="shared" si="13"/>
        <v>409124182.98530304</v>
      </c>
      <c r="O25" s="195">
        <f t="shared" si="13"/>
        <v>453232513.12022954</v>
      </c>
      <c r="P25" s="195">
        <f t="shared" si="13"/>
        <v>497561384.90583068</v>
      </c>
      <c r="Q25" s="195">
        <f t="shared" si="13"/>
        <v>542111901.05035985</v>
      </c>
    </row>
    <row r="26" spans="1:17">
      <c r="B26" t="s">
        <v>82</v>
      </c>
      <c r="C26" s="194">
        <v>15799750</v>
      </c>
      <c r="D26" s="194">
        <v>15086502</v>
      </c>
      <c r="E26" s="194">
        <v>15252194</v>
      </c>
      <c r="F26" s="194">
        <v>18437437</v>
      </c>
      <c r="G26" s="194">
        <v>42594957</v>
      </c>
      <c r="H26" s="191">
        <f>G26*(1+Assumption!$E$32)</f>
        <v>42807931.784999996</v>
      </c>
      <c r="I26" s="191">
        <f>H26*(1+Assumption!$E$32)</f>
        <v>43021971.443924993</v>
      </c>
      <c r="J26" s="191">
        <f>I26*(1+Assumption!$E$32)</f>
        <v>43237081.301144615</v>
      </c>
      <c r="K26" s="191">
        <f>J26*(1+Assumption!$E$32)</f>
        <v>43453266.707650334</v>
      </c>
      <c r="L26" s="191">
        <f>K26*(1+Assumption!$E$32)</f>
        <v>43670533.041188583</v>
      </c>
      <c r="M26" s="191">
        <f>L26*(1+Assumption!$E$32)</f>
        <v>43888885.706394523</v>
      </c>
      <c r="N26" s="191">
        <f>M26*(1+Assumption!$E$32)</f>
        <v>44108330.13492649</v>
      </c>
      <c r="O26" s="191">
        <f>N26*(1+Assumption!$E$32)</f>
        <v>44328871.785601117</v>
      </c>
      <c r="P26" s="191">
        <f>O26*(1+Assumption!$E$32)</f>
        <v>44550516.144529119</v>
      </c>
      <c r="Q26" s="191">
        <f>P26*(1+Assumption!$E$32)</f>
        <v>44773268.725251757</v>
      </c>
    </row>
    <row r="27" spans="1:17">
      <c r="B27" t="s">
        <v>83</v>
      </c>
      <c r="C27" s="194">
        <v>-2947622</v>
      </c>
      <c r="D27" s="194">
        <v>-3764001</v>
      </c>
      <c r="E27" s="194">
        <v>-13604745</v>
      </c>
      <c r="F27" s="194">
        <v>-6219745</v>
      </c>
      <c r="G27" s="194">
        <v>-4553076</v>
      </c>
      <c r="H27" s="191"/>
      <c r="I27" s="191"/>
      <c r="J27" s="191"/>
      <c r="K27" s="191"/>
      <c r="L27" s="191"/>
      <c r="M27" s="191"/>
      <c r="N27" s="191"/>
      <c r="O27" s="191"/>
      <c r="P27" s="191"/>
      <c r="Q27" s="191"/>
    </row>
    <row r="28" spans="1:17" s="1" customFormat="1">
      <c r="A28"/>
      <c r="B28" s="8" t="s">
        <v>84</v>
      </c>
      <c r="C28" s="192">
        <f>SUM(C25:C27)</f>
        <v>85814990</v>
      </c>
      <c r="D28" s="192">
        <f t="shared" ref="D28:G28" si="14">SUM(D25:D27)</f>
        <v>97137491</v>
      </c>
      <c r="E28" s="192">
        <f t="shared" si="14"/>
        <v>98784940</v>
      </c>
      <c r="F28" s="192">
        <f t="shared" si="14"/>
        <v>111002632</v>
      </c>
      <c r="G28" s="192">
        <f t="shared" si="14"/>
        <v>149044513</v>
      </c>
      <c r="H28" s="192">
        <f t="shared" ref="H28" si="15">SUM(H25:H27)</f>
        <v>191852444.785</v>
      </c>
      <c r="I28" s="192">
        <f t="shared" ref="I28" si="16">SUM(I25:I27)</f>
        <v>234874416.22892499</v>
      </c>
      <c r="J28" s="192">
        <f t="shared" ref="J28" si="17">SUM(J25:J27)</f>
        <v>278111497.53006959</v>
      </c>
      <c r="K28" s="192">
        <f t="shared" ref="K28" si="18">SUM(K25:K27)</f>
        <v>321564764.23771989</v>
      </c>
      <c r="L28" s="192">
        <f t="shared" ref="L28" si="19">SUM(L25:L27)</f>
        <v>365235297.27890849</v>
      </c>
      <c r="M28" s="192">
        <f t="shared" ref="M28" si="20">SUM(M25:M27)</f>
        <v>409124182.98530304</v>
      </c>
      <c r="N28" s="192">
        <f t="shared" ref="N28" si="21">SUM(N25:N27)</f>
        <v>453232513.12022954</v>
      </c>
      <c r="O28" s="192">
        <f t="shared" ref="O28" si="22">SUM(O25:O27)</f>
        <v>497561384.90583068</v>
      </c>
      <c r="P28" s="192">
        <f t="shared" ref="P28" si="23">SUM(P25:P27)</f>
        <v>542111901.05035985</v>
      </c>
      <c r="Q28" s="192">
        <f t="shared" ref="Q28" si="24">SUM(Q25:Q27)</f>
        <v>586885169.77561164</v>
      </c>
    </row>
    <row r="29" spans="1:17">
      <c r="C29" s="191"/>
      <c r="D29" s="191"/>
      <c r="E29" s="191"/>
      <c r="F29" s="191"/>
      <c r="G29" s="191"/>
      <c r="H29" s="191"/>
      <c r="I29" s="191"/>
      <c r="J29" s="191"/>
      <c r="K29" s="191"/>
      <c r="L29" s="191"/>
      <c r="M29" s="191"/>
      <c r="N29" s="191"/>
      <c r="O29" s="191"/>
      <c r="P29" s="191"/>
      <c r="Q29" s="191"/>
    </row>
    <row r="30" spans="1:17">
      <c r="B30" t="s">
        <v>85</v>
      </c>
      <c r="C30" s="194">
        <v>-58967593</v>
      </c>
      <c r="D30" s="194">
        <v>-66259069</v>
      </c>
      <c r="E30" s="194">
        <v>-66817309</v>
      </c>
      <c r="F30" s="194">
        <v>-73174464</v>
      </c>
      <c r="G30" s="194">
        <v>-94383964</v>
      </c>
      <c r="H30" s="196">
        <f>G30*(1+Assumption!$E$33)</f>
        <v>-94855883.819999993</v>
      </c>
      <c r="I30" s="196">
        <f>H30*(1+Assumption!$E$33)</f>
        <v>-95330163.239099979</v>
      </c>
      <c r="J30" s="196">
        <f>I30*(1+Assumption!$E$33)</f>
        <v>-95806814.055295467</v>
      </c>
      <c r="K30" s="196">
        <f>J30*(1+Assumption!$E$33)</f>
        <v>-96285848.125571936</v>
      </c>
      <c r="L30" s="196">
        <f>K30*(1+Assumption!$E$33)</f>
        <v>-96767277.366199791</v>
      </c>
      <c r="M30" s="196">
        <f>L30*(1+Assumption!$E$33)</f>
        <v>-97251113.753030777</v>
      </c>
      <c r="N30" s="196">
        <f>M30*(1+Assumption!$E$33)</f>
        <v>-97737369.321795925</v>
      </c>
      <c r="O30" s="196">
        <f>N30*(1+Assumption!$E$33)</f>
        <v>-98226056.168404892</v>
      </c>
      <c r="P30" s="196">
        <f>O30*(1+Assumption!$E$33)</f>
        <v>-98717186.449246913</v>
      </c>
      <c r="Q30" s="196">
        <f>P30*(1+Assumption!$E$33)</f>
        <v>-99210772.381493136</v>
      </c>
    </row>
    <row r="31" spans="1:17">
      <c r="C31" s="191"/>
      <c r="D31" s="191"/>
      <c r="E31" s="191"/>
      <c r="F31" s="191"/>
      <c r="G31" s="191"/>
      <c r="H31" s="191"/>
      <c r="I31" s="191"/>
      <c r="J31" s="191"/>
      <c r="K31" s="191"/>
      <c r="L31" s="191"/>
      <c r="M31" s="191"/>
      <c r="N31" s="191"/>
      <c r="O31" s="191"/>
      <c r="P31" s="191"/>
      <c r="Q31" s="191"/>
    </row>
    <row r="32" spans="1:17" s="1" customFormat="1">
      <c r="A32"/>
      <c r="B32" s="11" t="s">
        <v>86</v>
      </c>
      <c r="C32" s="193">
        <f>C28+C30</f>
        <v>26847397</v>
      </c>
      <c r="D32" s="193">
        <f t="shared" ref="D32:Q32" si="25">D28+D30</f>
        <v>30878422</v>
      </c>
      <c r="E32" s="193">
        <f t="shared" si="25"/>
        <v>31967631</v>
      </c>
      <c r="F32" s="193">
        <f t="shared" si="25"/>
        <v>37828168</v>
      </c>
      <c r="G32" s="193">
        <f t="shared" si="25"/>
        <v>54660549</v>
      </c>
      <c r="H32" s="193">
        <f t="shared" si="25"/>
        <v>96996560.965000004</v>
      </c>
      <c r="I32" s="193">
        <f t="shared" si="25"/>
        <v>139544252.98982501</v>
      </c>
      <c r="J32" s="193">
        <f t="shared" si="25"/>
        <v>182304683.47477412</v>
      </c>
      <c r="K32" s="193">
        <f t="shared" si="25"/>
        <v>225278916.11214796</v>
      </c>
      <c r="L32" s="193">
        <f t="shared" si="25"/>
        <v>268468019.9127087</v>
      </c>
      <c r="M32" s="193">
        <f t="shared" si="25"/>
        <v>311873069.23227227</v>
      </c>
      <c r="N32" s="193">
        <f t="shared" si="25"/>
        <v>355495143.7984336</v>
      </c>
      <c r="O32" s="193">
        <f t="shared" si="25"/>
        <v>399335328.7374258</v>
      </c>
      <c r="P32" s="193">
        <f t="shared" si="25"/>
        <v>443394714.60111296</v>
      </c>
      <c r="Q32" s="193">
        <f t="shared" si="25"/>
        <v>487674397.39411849</v>
      </c>
    </row>
    <row r="33" spans="1:17">
      <c r="C33" s="191"/>
      <c r="D33" s="191"/>
      <c r="E33" s="191"/>
      <c r="F33" s="191"/>
      <c r="G33" s="191"/>
      <c r="H33" s="191"/>
      <c r="I33" s="191"/>
      <c r="J33" s="191"/>
      <c r="K33" s="191"/>
      <c r="L33" s="191"/>
      <c r="M33" s="191"/>
      <c r="N33" s="191"/>
      <c r="O33" s="191"/>
      <c r="P33" s="191"/>
      <c r="Q33" s="191"/>
    </row>
    <row r="34" spans="1:17">
      <c r="C34" s="191"/>
      <c r="D34" s="191"/>
      <c r="E34" s="191"/>
      <c r="F34" s="191"/>
      <c r="G34" s="191"/>
      <c r="H34" s="191"/>
      <c r="I34" s="191"/>
      <c r="J34" s="191"/>
      <c r="K34" s="191"/>
      <c r="L34" s="191"/>
      <c r="M34" s="191"/>
      <c r="N34" s="191"/>
      <c r="O34" s="191"/>
      <c r="P34" s="191"/>
      <c r="Q34" s="191"/>
    </row>
    <row r="35" spans="1:17">
      <c r="B35" s="1" t="s">
        <v>88</v>
      </c>
      <c r="C35" s="191"/>
      <c r="D35" s="191"/>
      <c r="E35" s="191"/>
      <c r="F35" s="191"/>
      <c r="G35" s="191"/>
      <c r="H35" s="191"/>
      <c r="I35" s="191"/>
      <c r="J35" s="191"/>
      <c r="K35" s="191"/>
      <c r="L35" s="191"/>
      <c r="M35" s="191"/>
      <c r="N35" s="191"/>
      <c r="O35" s="191"/>
      <c r="P35" s="191"/>
      <c r="Q35" s="191"/>
    </row>
    <row r="36" spans="1:17">
      <c r="B36" t="s">
        <v>81</v>
      </c>
      <c r="C36" s="194">
        <v>16714629</v>
      </c>
      <c r="D36" s="195">
        <f>C39</f>
        <v>17054049</v>
      </c>
      <c r="E36" s="195">
        <f t="shared" ref="E36:Q36" si="26">D39</f>
        <v>17735221</v>
      </c>
      <c r="F36" s="195">
        <f t="shared" si="26"/>
        <v>17890746</v>
      </c>
      <c r="G36" s="195">
        <f t="shared" si="26"/>
        <v>17902406</v>
      </c>
      <c r="H36" s="195">
        <f t="shared" si="26"/>
        <v>17900286</v>
      </c>
      <c r="I36" s="195">
        <f t="shared" si="26"/>
        <v>17900818.649999999</v>
      </c>
      <c r="J36" s="195">
        <f t="shared" si="26"/>
        <v>17901353.96325</v>
      </c>
      <c r="K36" s="195">
        <f t="shared" si="26"/>
        <v>17901891.953066248</v>
      </c>
      <c r="L36" s="195">
        <f t="shared" si="26"/>
        <v>17902432.632831581</v>
      </c>
      <c r="M36" s="195">
        <f t="shared" si="26"/>
        <v>17902976.015995737</v>
      </c>
      <c r="N36" s="195">
        <f t="shared" si="26"/>
        <v>17903522.116075717</v>
      </c>
      <c r="O36" s="195">
        <f t="shared" si="26"/>
        <v>17904070.946656097</v>
      </c>
      <c r="P36" s="195">
        <f t="shared" si="26"/>
        <v>17904622.521389376</v>
      </c>
      <c r="Q36" s="195">
        <f t="shared" si="26"/>
        <v>17905176.853996322</v>
      </c>
    </row>
    <row r="37" spans="1:17">
      <c r="B37" t="s">
        <v>82</v>
      </c>
      <c r="C37" s="194">
        <v>339420</v>
      </c>
      <c r="D37" s="194">
        <v>681172</v>
      </c>
      <c r="E37" s="194">
        <v>155525</v>
      </c>
      <c r="F37" s="194">
        <v>11660</v>
      </c>
      <c r="G37" s="194">
        <v>530</v>
      </c>
      <c r="H37" s="191">
        <f>G37*(1+Assumption!$E$32)</f>
        <v>532.65</v>
      </c>
      <c r="I37" s="191">
        <f>H37*(1+Assumption!$E$32)</f>
        <v>535.31324999999993</v>
      </c>
      <c r="J37" s="191">
        <f>I37*(1+Assumption!$E$32)</f>
        <v>537.98981624999988</v>
      </c>
      <c r="K37" s="191">
        <f>J37*(1+Assumption!$E$32)</f>
        <v>540.67976533124977</v>
      </c>
      <c r="L37" s="191">
        <f>K37*(1+Assumption!$E$32)</f>
        <v>543.38316415790598</v>
      </c>
      <c r="M37" s="191">
        <f>L37*(1+Assumption!$E$32)</f>
        <v>546.10007997869548</v>
      </c>
      <c r="N37" s="191">
        <f>M37*(1+Assumption!$E$32)</f>
        <v>548.83058037858893</v>
      </c>
      <c r="O37" s="191">
        <f>N37*(1+Assumption!$E$32)</f>
        <v>551.57473328048184</v>
      </c>
      <c r="P37" s="191">
        <f>O37*(1+Assumption!$E$32)</f>
        <v>554.3326069468842</v>
      </c>
      <c r="Q37" s="191">
        <f>P37*(1+Assumption!$E$32)</f>
        <v>557.10426998161859</v>
      </c>
    </row>
    <row r="38" spans="1:17">
      <c r="B38" t="s">
        <v>83</v>
      </c>
      <c r="C38" s="194">
        <v>0</v>
      </c>
      <c r="D38" s="194">
        <v>0</v>
      </c>
      <c r="E38" s="194">
        <v>0</v>
      </c>
      <c r="F38" s="194">
        <v>0</v>
      </c>
      <c r="G38" s="194">
        <v>-2650</v>
      </c>
      <c r="H38" s="191"/>
      <c r="I38" s="191"/>
      <c r="J38" s="191"/>
      <c r="K38" s="191"/>
      <c r="L38" s="191"/>
      <c r="M38" s="191"/>
      <c r="N38" s="191"/>
      <c r="O38" s="191"/>
      <c r="P38" s="191"/>
      <c r="Q38" s="191"/>
    </row>
    <row r="39" spans="1:17" s="1" customFormat="1">
      <c r="A39"/>
      <c r="B39" s="8" t="s">
        <v>84</v>
      </c>
      <c r="C39" s="192">
        <f>SUM(C36:C38)</f>
        <v>17054049</v>
      </c>
      <c r="D39" s="192">
        <f t="shared" ref="D39:G39" si="27">SUM(D36:D38)</f>
        <v>17735221</v>
      </c>
      <c r="E39" s="192">
        <f t="shared" si="27"/>
        <v>17890746</v>
      </c>
      <c r="F39" s="192">
        <f t="shared" si="27"/>
        <v>17902406</v>
      </c>
      <c r="G39" s="192">
        <f t="shared" si="27"/>
        <v>17900286</v>
      </c>
      <c r="H39" s="192">
        <f t="shared" ref="H39" si="28">SUM(H36:H38)</f>
        <v>17900818.649999999</v>
      </c>
      <c r="I39" s="192">
        <f t="shared" ref="I39" si="29">SUM(I36:I38)</f>
        <v>17901353.96325</v>
      </c>
      <c r="J39" s="192">
        <f t="shared" ref="J39" si="30">SUM(J36:J38)</f>
        <v>17901891.953066248</v>
      </c>
      <c r="K39" s="192">
        <f t="shared" ref="K39" si="31">SUM(K36:K38)</f>
        <v>17902432.632831581</v>
      </c>
      <c r="L39" s="192">
        <f t="shared" ref="L39" si="32">SUM(L36:L38)</f>
        <v>17902976.015995737</v>
      </c>
      <c r="M39" s="192">
        <f t="shared" ref="M39" si="33">SUM(M36:M38)</f>
        <v>17903522.116075717</v>
      </c>
      <c r="N39" s="192">
        <f t="shared" ref="N39" si="34">SUM(N36:N38)</f>
        <v>17904070.946656097</v>
      </c>
      <c r="O39" s="192">
        <f t="shared" ref="O39" si="35">SUM(O36:O38)</f>
        <v>17904622.521389376</v>
      </c>
      <c r="P39" s="192">
        <f t="shared" ref="P39" si="36">SUM(P36:P38)</f>
        <v>17905176.853996322</v>
      </c>
      <c r="Q39" s="192">
        <f t="shared" ref="Q39" si="37">SUM(Q36:Q38)</f>
        <v>17905733.958266303</v>
      </c>
    </row>
    <row r="40" spans="1:17">
      <c r="C40" s="191"/>
      <c r="D40" s="191"/>
      <c r="E40" s="191"/>
      <c r="F40" s="191"/>
      <c r="G40" s="191"/>
      <c r="H40" s="191"/>
      <c r="I40" s="191"/>
      <c r="J40" s="191"/>
      <c r="K40" s="191"/>
      <c r="L40" s="191"/>
      <c r="M40" s="191"/>
      <c r="N40" s="191"/>
      <c r="O40" s="191"/>
      <c r="P40" s="191"/>
      <c r="Q40" s="191"/>
    </row>
    <row r="41" spans="1:17">
      <c r="B41" t="s">
        <v>85</v>
      </c>
      <c r="C41" s="194">
        <v>-14314282</v>
      </c>
      <c r="D41" s="194">
        <v>-14448172</v>
      </c>
      <c r="E41" s="194">
        <v>-14636086</v>
      </c>
      <c r="F41" s="194">
        <v>-14835650</v>
      </c>
      <c r="G41" s="194">
        <v>-15034060</v>
      </c>
      <c r="H41" s="196">
        <f>G41*(1+Assumption!$E$33)</f>
        <v>-15109230.299999999</v>
      </c>
      <c r="I41" s="196">
        <f>H41*(1+Assumption!$E$33)</f>
        <v>-15184776.451499997</v>
      </c>
      <c r="J41" s="196">
        <f>I41*(1+Assumption!$E$33)</f>
        <v>-15260700.333757496</v>
      </c>
      <c r="K41" s="196">
        <f>J41*(1+Assumption!$E$33)</f>
        <v>-15337003.835426282</v>
      </c>
      <c r="L41" s="196">
        <f>K41*(1+Assumption!$E$33)</f>
        <v>-15413688.854603412</v>
      </c>
      <c r="M41" s="196">
        <f>L41*(1+Assumption!$E$33)</f>
        <v>-15490757.298876427</v>
      </c>
      <c r="N41" s="196">
        <f>M41*(1+Assumption!$E$33)</f>
        <v>-15568211.085370807</v>
      </c>
      <c r="O41" s="196">
        <f>N41*(1+Assumption!$E$33)</f>
        <v>-15646052.14079766</v>
      </c>
      <c r="P41" s="196">
        <f>O41*(1+Assumption!$E$33)</f>
        <v>-15724282.401501646</v>
      </c>
      <c r="Q41" s="196">
        <f>P41*(1+Assumption!$E$33)</f>
        <v>-15802903.813509153</v>
      </c>
    </row>
    <row r="42" spans="1:17">
      <c r="C42" s="191"/>
      <c r="D42" s="191"/>
      <c r="E42" s="191"/>
      <c r="F42" s="191"/>
      <c r="G42" s="191"/>
      <c r="H42" s="191"/>
      <c r="I42" s="191"/>
      <c r="J42" s="191"/>
      <c r="K42" s="191"/>
      <c r="L42" s="191"/>
      <c r="M42" s="191"/>
      <c r="N42" s="191"/>
      <c r="O42" s="191"/>
      <c r="P42" s="191"/>
      <c r="Q42" s="191"/>
    </row>
    <row r="43" spans="1:17" s="1" customFormat="1">
      <c r="A43"/>
      <c r="B43" s="11" t="s">
        <v>86</v>
      </c>
      <c r="C43" s="193">
        <f>C39+C41</f>
        <v>2739767</v>
      </c>
      <c r="D43" s="193">
        <f t="shared" ref="D43:Q43" si="38">D39+D41</f>
        <v>3287049</v>
      </c>
      <c r="E43" s="193">
        <f t="shared" si="38"/>
        <v>3254660</v>
      </c>
      <c r="F43" s="193">
        <f t="shared" si="38"/>
        <v>3066756</v>
      </c>
      <c r="G43" s="193">
        <f t="shared" si="38"/>
        <v>2866226</v>
      </c>
      <c r="H43" s="193">
        <f t="shared" si="38"/>
        <v>2791588.3499999996</v>
      </c>
      <c r="I43" s="193">
        <f t="shared" si="38"/>
        <v>2716577.5117500033</v>
      </c>
      <c r="J43" s="193">
        <f t="shared" si="38"/>
        <v>2641191.6193087529</v>
      </c>
      <c r="K43" s="193">
        <f t="shared" si="38"/>
        <v>2565428.7974052988</v>
      </c>
      <c r="L43" s="193">
        <f t="shared" si="38"/>
        <v>2489287.1613923255</v>
      </c>
      <c r="M43" s="193">
        <f t="shared" si="38"/>
        <v>2412764.8171992898</v>
      </c>
      <c r="N43" s="193">
        <f t="shared" si="38"/>
        <v>2335859.8612852897</v>
      </c>
      <c r="O43" s="193">
        <f t="shared" si="38"/>
        <v>2258570.3805917166</v>
      </c>
      <c r="P43" s="193">
        <f t="shared" si="38"/>
        <v>2180894.4524946753</v>
      </c>
      <c r="Q43" s="193">
        <f t="shared" si="38"/>
        <v>2102830.1447571497</v>
      </c>
    </row>
    <row r="44" spans="1:17">
      <c r="C44" s="191"/>
      <c r="D44" s="191"/>
      <c r="E44" s="191"/>
      <c r="F44" s="191"/>
      <c r="G44" s="191"/>
      <c r="H44" s="191"/>
      <c r="I44" s="191"/>
      <c r="J44" s="191"/>
      <c r="K44" s="191"/>
      <c r="L44" s="191"/>
      <c r="M44" s="191"/>
      <c r="N44" s="191"/>
      <c r="O44" s="191"/>
      <c r="P44" s="191"/>
      <c r="Q44" s="191"/>
    </row>
    <row r="45" spans="1:17">
      <c r="C45" s="191"/>
      <c r="D45" s="191"/>
      <c r="E45" s="191"/>
      <c r="F45" s="191"/>
      <c r="G45" s="191"/>
      <c r="H45" s="191"/>
      <c r="I45" s="191"/>
      <c r="J45" s="191"/>
      <c r="K45" s="191"/>
      <c r="L45" s="191"/>
      <c r="M45" s="191"/>
      <c r="N45" s="191"/>
      <c r="O45" s="191"/>
      <c r="P45" s="191"/>
      <c r="Q45" s="191"/>
    </row>
    <row r="46" spans="1:17">
      <c r="C46" s="191"/>
      <c r="D46" s="191"/>
      <c r="E46" s="191"/>
      <c r="F46" s="191"/>
      <c r="G46" s="191"/>
      <c r="H46" s="191"/>
      <c r="I46" s="191"/>
      <c r="J46" s="191"/>
      <c r="K46" s="191"/>
      <c r="L46" s="191"/>
      <c r="M46" s="191"/>
      <c r="N46" s="191"/>
      <c r="O46" s="191"/>
      <c r="P46" s="191"/>
      <c r="Q46" s="191"/>
    </row>
    <row r="47" spans="1:17">
      <c r="B47" s="9" t="s">
        <v>81</v>
      </c>
      <c r="C47" s="197">
        <f>C14+C25+C36</f>
        <v>181318790</v>
      </c>
      <c r="D47" s="197">
        <f t="shared" ref="D47:Q47" si="39">D14+D25+D36</f>
        <v>197158932</v>
      </c>
      <c r="E47" s="197">
        <f t="shared" si="39"/>
        <v>210654793</v>
      </c>
      <c r="F47" s="197">
        <f t="shared" si="39"/>
        <v>211021513</v>
      </c>
      <c r="G47" s="197">
        <f t="shared" si="39"/>
        <v>223245475</v>
      </c>
      <c r="H47" s="197">
        <f t="shared" si="39"/>
        <v>269920310</v>
      </c>
      <c r="I47" s="197">
        <f t="shared" si="39"/>
        <v>322583952.16999996</v>
      </c>
      <c r="J47" s="197">
        <f t="shared" si="39"/>
        <v>375510912.55084997</v>
      </c>
      <c r="K47" s="197">
        <f t="shared" si="39"/>
        <v>428702507.73360419</v>
      </c>
      <c r="L47" s="197">
        <f t="shared" si="39"/>
        <v>482160060.89227217</v>
      </c>
      <c r="M47" s="197">
        <f t="shared" si="39"/>
        <v>535884901.81673354</v>
      </c>
      <c r="N47" s="197">
        <f t="shared" si="39"/>
        <v>589878366.94581723</v>
      </c>
      <c r="O47" s="197">
        <f t="shared" si="39"/>
        <v>644141799.40054619</v>
      </c>
      <c r="P47" s="197">
        <f t="shared" si="39"/>
        <v>698676549.01754892</v>
      </c>
      <c r="Q47" s="197">
        <f t="shared" si="39"/>
        <v>753483972.38263667</v>
      </c>
    </row>
    <row r="48" spans="1:17">
      <c r="B48" s="26" t="s">
        <v>82</v>
      </c>
      <c r="C48" s="198">
        <f t="shared" ref="C48:Q49" si="40">C15+C26+C37</f>
        <v>19545446</v>
      </c>
      <c r="D48" s="198">
        <f t="shared" si="40"/>
        <v>17658778</v>
      </c>
      <c r="E48" s="198">
        <f t="shared" si="40"/>
        <v>18742674</v>
      </c>
      <c r="F48" s="198">
        <f t="shared" si="40"/>
        <v>21242313</v>
      </c>
      <c r="G48" s="198">
        <f t="shared" si="40"/>
        <v>52401634</v>
      </c>
      <c r="H48" s="198">
        <f t="shared" si="40"/>
        <v>52663642.169999994</v>
      </c>
      <c r="I48" s="198">
        <f t="shared" si="40"/>
        <v>52926960.380849987</v>
      </c>
      <c r="J48" s="198">
        <f t="shared" si="40"/>
        <v>53191595.182754233</v>
      </c>
      <c r="K48" s="198">
        <f t="shared" si="40"/>
        <v>53457553.158667997</v>
      </c>
      <c r="L48" s="198">
        <f t="shared" si="40"/>
        <v>53724840.924461342</v>
      </c>
      <c r="M48" s="198">
        <f t="shared" si="40"/>
        <v>53993465.129083641</v>
      </c>
      <c r="N48" s="198">
        <f t="shared" si="40"/>
        <v>54263432.45472905</v>
      </c>
      <c r="O48" s="198">
        <f t="shared" si="40"/>
        <v>54534749.617002688</v>
      </c>
      <c r="P48" s="198">
        <f t="shared" si="40"/>
        <v>54807423.365087703</v>
      </c>
      <c r="Q48" s="198">
        <f t="shared" si="40"/>
        <v>55081460.481913134</v>
      </c>
    </row>
    <row r="49" spans="2:17">
      <c r="B49" s="26" t="s">
        <v>83</v>
      </c>
      <c r="C49" s="198">
        <f t="shared" si="40"/>
        <v>-3705304</v>
      </c>
      <c r="D49" s="198">
        <f t="shared" si="40"/>
        <v>-4162917</v>
      </c>
      <c r="E49" s="198">
        <f t="shared" si="40"/>
        <v>-18375954</v>
      </c>
      <c r="F49" s="198">
        <f t="shared" si="40"/>
        <v>-9018351</v>
      </c>
      <c r="G49" s="198">
        <f t="shared" si="40"/>
        <v>-5726799</v>
      </c>
      <c r="H49" s="198">
        <f t="shared" si="40"/>
        <v>0</v>
      </c>
      <c r="I49" s="198">
        <f t="shared" si="40"/>
        <v>0</v>
      </c>
      <c r="J49" s="198">
        <f t="shared" si="40"/>
        <v>0</v>
      </c>
      <c r="K49" s="198">
        <f t="shared" si="40"/>
        <v>0</v>
      </c>
      <c r="L49" s="198">
        <f t="shared" si="40"/>
        <v>0</v>
      </c>
      <c r="M49" s="198">
        <f t="shared" si="40"/>
        <v>0</v>
      </c>
      <c r="N49" s="198">
        <f t="shared" si="40"/>
        <v>0</v>
      </c>
      <c r="O49" s="198">
        <f t="shared" si="40"/>
        <v>0</v>
      </c>
      <c r="P49" s="198">
        <f t="shared" si="40"/>
        <v>0</v>
      </c>
      <c r="Q49" s="198">
        <f t="shared" si="40"/>
        <v>0</v>
      </c>
    </row>
    <row r="50" spans="2:17">
      <c r="B50" s="8" t="s">
        <v>84</v>
      </c>
      <c r="C50" s="192">
        <f>SUM(C47:C49)</f>
        <v>197158932</v>
      </c>
      <c r="D50" s="192">
        <f t="shared" ref="D50:Q50" si="41">SUM(D47:D49)</f>
        <v>210654793</v>
      </c>
      <c r="E50" s="192">
        <f t="shared" si="41"/>
        <v>211021513</v>
      </c>
      <c r="F50" s="192">
        <f t="shared" si="41"/>
        <v>223245475</v>
      </c>
      <c r="G50" s="192">
        <f t="shared" si="41"/>
        <v>269920310</v>
      </c>
      <c r="H50" s="192">
        <f t="shared" si="41"/>
        <v>322583952.17000002</v>
      </c>
      <c r="I50" s="192">
        <f t="shared" si="41"/>
        <v>375510912.55084991</v>
      </c>
      <c r="J50" s="192">
        <f t="shared" si="41"/>
        <v>428702507.73360419</v>
      </c>
      <c r="K50" s="192">
        <f t="shared" si="41"/>
        <v>482160060.89227217</v>
      </c>
      <c r="L50" s="192">
        <f t="shared" si="41"/>
        <v>535884901.81673354</v>
      </c>
      <c r="M50" s="192">
        <f t="shared" si="41"/>
        <v>589878366.94581723</v>
      </c>
      <c r="N50" s="192">
        <f t="shared" si="41"/>
        <v>644141799.40054631</v>
      </c>
      <c r="O50" s="192">
        <f t="shared" si="41"/>
        <v>698676549.01754892</v>
      </c>
      <c r="P50" s="192">
        <f t="shared" si="41"/>
        <v>753483972.38263667</v>
      </c>
      <c r="Q50" s="192">
        <f t="shared" si="41"/>
        <v>808565432.86454976</v>
      </c>
    </row>
    <row r="51" spans="2:17">
      <c r="B51" s="26" t="s">
        <v>85</v>
      </c>
      <c r="C51" s="198">
        <f>C41+C30+C19</f>
        <v>-93072356</v>
      </c>
      <c r="D51" s="198">
        <f t="shared" ref="D51:Q51" si="42">D41+D30+D19</f>
        <v>-102562212</v>
      </c>
      <c r="E51" s="198">
        <f t="shared" si="42"/>
        <v>-104967406</v>
      </c>
      <c r="F51" s="198">
        <f t="shared" si="42"/>
        <v>-113555439</v>
      </c>
      <c r="G51" s="198">
        <f t="shared" si="42"/>
        <v>-137517547</v>
      </c>
      <c r="H51" s="198">
        <f t="shared" si="42"/>
        <v>-138205134.73499998</v>
      </c>
      <c r="I51" s="198">
        <f t="shared" si="42"/>
        <v>-138896160.40867499</v>
      </c>
      <c r="J51" s="198">
        <f t="shared" si="42"/>
        <v>-139590641.21071833</v>
      </c>
      <c r="K51" s="198">
        <f t="shared" si="42"/>
        <v>-140288594.41677192</v>
      </c>
      <c r="L51" s="198">
        <f t="shared" si="42"/>
        <v>-140990037.38885576</v>
      </c>
      <c r="M51" s="198">
        <f t="shared" si="42"/>
        <v>-141694987.57580003</v>
      </c>
      <c r="N51" s="198">
        <f t="shared" si="42"/>
        <v>-142403462.51367903</v>
      </c>
      <c r="O51" s="198">
        <f t="shared" si="42"/>
        <v>-143115479.82624739</v>
      </c>
      <c r="P51" s="198">
        <f t="shared" si="42"/>
        <v>-143831057.2253786</v>
      </c>
      <c r="Q51" s="198">
        <f t="shared" si="42"/>
        <v>-144550212.51150548</v>
      </c>
    </row>
    <row r="52" spans="2:17">
      <c r="B52" s="11" t="s">
        <v>86</v>
      </c>
      <c r="C52" s="193">
        <f>C50+C51</f>
        <v>104086576</v>
      </c>
      <c r="D52" s="193">
        <f t="shared" ref="D52:Q52" si="43">D50+D51</f>
        <v>108092581</v>
      </c>
      <c r="E52" s="193">
        <f t="shared" si="43"/>
        <v>106054107</v>
      </c>
      <c r="F52" s="193">
        <f t="shared" si="43"/>
        <v>109690036</v>
      </c>
      <c r="G52" s="193">
        <f t="shared" si="43"/>
        <v>132402763</v>
      </c>
      <c r="H52" s="193">
        <f t="shared" si="43"/>
        <v>184378817.43500003</v>
      </c>
      <c r="I52" s="193">
        <f t="shared" si="43"/>
        <v>236614752.14217493</v>
      </c>
      <c r="J52" s="193">
        <f t="shared" si="43"/>
        <v>289111866.52288586</v>
      </c>
      <c r="K52" s="193">
        <f t="shared" si="43"/>
        <v>341871466.47550023</v>
      </c>
      <c r="L52" s="193">
        <f t="shared" si="43"/>
        <v>394894864.42787778</v>
      </c>
      <c r="M52" s="193">
        <f t="shared" si="43"/>
        <v>448183379.37001717</v>
      </c>
      <c r="N52" s="193">
        <f t="shared" si="43"/>
        <v>501738336.88686728</v>
      </c>
      <c r="O52" s="193">
        <f t="shared" si="43"/>
        <v>555561069.19130158</v>
      </c>
      <c r="P52" s="193">
        <f t="shared" si="43"/>
        <v>609652915.15725803</v>
      </c>
      <c r="Q52" s="193">
        <f t="shared" si="43"/>
        <v>664015220.35304427</v>
      </c>
    </row>
    <row r="53" spans="2:17">
      <c r="C53" s="191"/>
      <c r="D53" s="191"/>
      <c r="E53" s="191"/>
      <c r="F53" s="191"/>
      <c r="G53" s="191"/>
      <c r="H53" s="191"/>
      <c r="I53" s="191"/>
      <c r="J53" s="191"/>
      <c r="K53" s="191"/>
      <c r="L53" s="191"/>
      <c r="M53" s="191"/>
      <c r="N53" s="191"/>
      <c r="O53" s="191"/>
      <c r="P53" s="191"/>
      <c r="Q53" s="191"/>
    </row>
    <row r="54" spans="2:17">
      <c r="C54" s="191"/>
      <c r="D54" s="191"/>
      <c r="E54" s="191"/>
      <c r="F54" s="191"/>
      <c r="G54" s="191"/>
      <c r="H54" s="191"/>
      <c r="I54" s="191"/>
      <c r="J54" s="191"/>
      <c r="K54" s="191"/>
      <c r="L54" s="191"/>
      <c r="M54" s="191"/>
      <c r="N54" s="191"/>
      <c r="O54" s="191"/>
      <c r="P54" s="191"/>
      <c r="Q54" s="191"/>
    </row>
    <row r="55" spans="2:17">
      <c r="C55" s="191"/>
      <c r="D55" s="191"/>
      <c r="E55" s="191"/>
      <c r="F55" s="191"/>
      <c r="G55" s="191"/>
      <c r="H55" s="191"/>
      <c r="I55" s="191"/>
      <c r="J55" s="191"/>
      <c r="K55" s="191"/>
      <c r="L55" s="191"/>
      <c r="M55" s="191"/>
      <c r="N55" s="191"/>
      <c r="O55" s="191"/>
      <c r="P55" s="191"/>
      <c r="Q55" s="191"/>
    </row>
    <row r="56" spans="2:17">
      <c r="C56" s="191"/>
      <c r="D56" s="191"/>
      <c r="E56" s="191"/>
      <c r="F56" s="191"/>
      <c r="G56" s="191"/>
      <c r="H56" s="191"/>
      <c r="I56" s="191"/>
      <c r="J56" s="191"/>
      <c r="K56" s="191"/>
      <c r="L56" s="191"/>
      <c r="M56" s="191"/>
      <c r="N56" s="191"/>
      <c r="O56" s="191"/>
      <c r="P56" s="191"/>
      <c r="Q56" s="191"/>
    </row>
    <row r="57" spans="2:17">
      <c r="B57" s="11" t="s">
        <v>98</v>
      </c>
      <c r="C57" s="193"/>
      <c r="D57" s="193">
        <f>SUM(D52,D55)-SUM(C52,C55)+D59</f>
        <v>17406749</v>
      </c>
      <c r="E57" s="193">
        <f t="shared" ref="E57:Q57" si="44">SUM(E52,E55)-SUM(D52,D55)+E59</f>
        <v>11261600</v>
      </c>
      <c r="F57" s="193">
        <f t="shared" si="44"/>
        <v>18781521</v>
      </c>
      <c r="G57" s="193">
        <f t="shared" si="44"/>
        <v>42064833</v>
      </c>
      <c r="H57" s="193">
        <f t="shared" si="44"/>
        <v>71424920.965000033</v>
      </c>
      <c r="I57" s="193">
        <f t="shared" si="44"/>
        <v>71782045.569824889</v>
      </c>
      <c r="J57" s="193">
        <f t="shared" si="44"/>
        <v>72140955.797674179</v>
      </c>
      <c r="K57" s="193">
        <f t="shared" si="44"/>
        <v>72501660.576662421</v>
      </c>
      <c r="L57" s="193">
        <f t="shared" si="44"/>
        <v>72864168.879545853</v>
      </c>
      <c r="M57" s="193">
        <f t="shared" si="44"/>
        <v>73228489.723943532</v>
      </c>
      <c r="N57" s="193">
        <f t="shared" si="44"/>
        <v>73594632.17256327</v>
      </c>
      <c r="O57" s="193">
        <f t="shared" si="44"/>
        <v>73962605.333426014</v>
      </c>
      <c r="P57" s="193">
        <f t="shared" si="44"/>
        <v>74332418.360093117</v>
      </c>
      <c r="Q57" s="193">
        <f t="shared" si="44"/>
        <v>74704080.451893598</v>
      </c>
    </row>
    <row r="58" spans="2:17">
      <c r="C58" s="191"/>
      <c r="D58" s="191"/>
      <c r="E58" s="191"/>
      <c r="F58" s="191"/>
      <c r="G58" s="191"/>
      <c r="H58" s="191"/>
      <c r="I58" s="191"/>
      <c r="J58" s="191"/>
      <c r="K58" s="191"/>
      <c r="L58" s="191"/>
      <c r="M58" s="191"/>
      <c r="N58" s="191"/>
      <c r="O58" s="191"/>
      <c r="P58" s="191"/>
      <c r="Q58" s="191"/>
    </row>
    <row r="59" spans="2:17">
      <c r="B59" s="9" t="s">
        <v>99</v>
      </c>
      <c r="C59" s="199">
        <f>'Income statement Historical'!D24*1000</f>
        <v>11712176</v>
      </c>
      <c r="D59" s="199">
        <f>'Income statement Historical'!E24*1000</f>
        <v>13400744</v>
      </c>
      <c r="E59" s="199">
        <f>'Income statement Historical'!F24*1000</f>
        <v>13300074</v>
      </c>
      <c r="F59" s="199">
        <f>'Income statement Historical'!G24*1000</f>
        <v>15145592</v>
      </c>
      <c r="G59" s="199">
        <f>'Income statement Historical'!H24*1000</f>
        <v>19352106</v>
      </c>
      <c r="H59" s="200">
        <f>G59/G51*H51</f>
        <v>19448866.529999997</v>
      </c>
      <c r="I59" s="200">
        <f t="shared" ref="I59:Q59" si="45">H59/H51*I51</f>
        <v>19546110.862649996</v>
      </c>
      <c r="J59" s="200">
        <f t="shared" si="45"/>
        <v>19643841.416963242</v>
      </c>
      <c r="K59" s="200">
        <f t="shared" si="45"/>
        <v>19742060.624048058</v>
      </c>
      <c r="L59" s="200">
        <f t="shared" si="45"/>
        <v>19840770.927168295</v>
      </c>
      <c r="M59" s="200">
        <f t="shared" si="45"/>
        <v>19939974.781804137</v>
      </c>
      <c r="N59" s="200">
        <f t="shared" si="45"/>
        <v>20039674.655713156</v>
      </c>
      <c r="O59" s="200">
        <f t="shared" si="45"/>
        <v>20139873.028991718</v>
      </c>
      <c r="P59" s="200">
        <f t="shared" si="45"/>
        <v>20240572.394136671</v>
      </c>
      <c r="Q59" s="200">
        <f t="shared" si="45"/>
        <v>20341775.256107353</v>
      </c>
    </row>
    <row r="60" spans="2:17">
      <c r="C60" s="191"/>
      <c r="D60" s="191"/>
      <c r="E60" s="191"/>
      <c r="F60" s="191"/>
      <c r="G60" s="191"/>
      <c r="H60" s="191"/>
      <c r="I60" s="191"/>
      <c r="J60" s="191"/>
      <c r="K60" s="191"/>
      <c r="L60" s="191"/>
      <c r="M60" s="191"/>
      <c r="N60" s="191"/>
      <c r="O60" s="191"/>
      <c r="P60" s="191"/>
      <c r="Q60" s="191"/>
    </row>
    <row r="61" spans="2:17">
      <c r="B61" s="18" t="s">
        <v>100</v>
      </c>
      <c r="C61" s="201">
        <f>C51+C59</f>
        <v>-81360180</v>
      </c>
      <c r="D61" s="201">
        <f t="shared" ref="D61:Q61" si="46">D51+D59</f>
        <v>-89161468</v>
      </c>
      <c r="E61" s="201">
        <f t="shared" si="46"/>
        <v>-91667332</v>
      </c>
      <c r="F61" s="201">
        <f t="shared" si="46"/>
        <v>-98409847</v>
      </c>
      <c r="G61" s="201">
        <f t="shared" si="46"/>
        <v>-118165441</v>
      </c>
      <c r="H61" s="201">
        <f t="shared" si="46"/>
        <v>-118756268.20499998</v>
      </c>
      <c r="I61" s="201">
        <f t="shared" si="46"/>
        <v>-119350049.54602499</v>
      </c>
      <c r="J61" s="201">
        <f t="shared" si="46"/>
        <v>-119946799.79375508</v>
      </c>
      <c r="K61" s="201">
        <f t="shared" si="46"/>
        <v>-120546533.79272386</v>
      </c>
      <c r="L61" s="201">
        <f t="shared" si="46"/>
        <v>-121149266.46168746</v>
      </c>
      <c r="M61" s="201">
        <f t="shared" si="46"/>
        <v>-121755012.79399589</v>
      </c>
      <c r="N61" s="201">
        <f t="shared" si="46"/>
        <v>-122363787.85796587</v>
      </c>
      <c r="O61" s="201">
        <f t="shared" si="46"/>
        <v>-122975606.79725568</v>
      </c>
      <c r="P61" s="201">
        <f t="shared" si="46"/>
        <v>-123590484.83124194</v>
      </c>
      <c r="Q61" s="201">
        <f t="shared" si="46"/>
        <v>-124208437.25539812</v>
      </c>
    </row>
    <row r="63" spans="2:17">
      <c r="B63" s="30"/>
      <c r="C63" s="30"/>
      <c r="D63" s="30"/>
      <c r="E63" s="30"/>
      <c r="F63" s="30"/>
      <c r="G63" s="30"/>
      <c r="H63" s="30"/>
      <c r="I63" s="30"/>
      <c r="J63" s="30"/>
      <c r="K63" s="30"/>
      <c r="L63" s="30"/>
      <c r="M63" s="30"/>
      <c r="N63" s="30"/>
      <c r="O63" s="30"/>
      <c r="P63" s="30"/>
      <c r="Q63" s="30"/>
    </row>
  </sheetData>
  <mergeCells count="1">
    <mergeCell ref="B7:Q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6"/>
  <sheetViews>
    <sheetView showGridLines="0" workbookViewId="0">
      <pane xSplit="1" ySplit="9" topLeftCell="B26" activePane="bottomRight" state="frozen"/>
      <selection pane="topRight" activeCell="B1" sqref="B1"/>
      <selection pane="bottomLeft" activeCell="A10" sqref="A10"/>
      <selection pane="bottomRight" activeCell="D39" sqref="D39"/>
    </sheetView>
  </sheetViews>
  <sheetFormatPr defaultRowHeight="15"/>
  <cols>
    <col min="1" max="1" width="1.85546875" customWidth="1"/>
    <col min="2" max="2" width="51.42578125" bestFit="1" customWidth="1"/>
    <col min="4" max="4" width="15" bestFit="1" customWidth="1"/>
    <col min="5" max="5" width="14.42578125" bestFit="1" customWidth="1"/>
    <col min="6" max="6" width="14.5703125" bestFit="1" customWidth="1"/>
    <col min="7" max="7" width="15" customWidth="1"/>
    <col min="8" max="8" width="14.5703125" customWidth="1"/>
    <col min="10" max="10" width="10.140625" bestFit="1" customWidth="1"/>
  </cols>
  <sheetData>
    <row r="1" spans="2:11" ht="5.0999999999999996" customHeight="1">
      <c r="B1" s="30"/>
      <c r="C1" s="30"/>
      <c r="D1" s="30"/>
      <c r="E1" s="30"/>
      <c r="F1" s="30"/>
      <c r="G1" s="30"/>
      <c r="H1" s="30"/>
    </row>
    <row r="3" spans="2:11">
      <c r="B3" s="170" t="s">
        <v>260</v>
      </c>
    </row>
    <row r="4" spans="2:11">
      <c r="B4" s="171" t="s">
        <v>262</v>
      </c>
    </row>
    <row r="5" spans="2:11">
      <c r="B5" s="25" t="s">
        <v>261</v>
      </c>
      <c r="C5" s="29"/>
      <c r="D5" s="29"/>
      <c r="E5" s="29"/>
      <c r="F5" s="29"/>
      <c r="G5" s="29"/>
      <c r="H5" s="29"/>
    </row>
    <row r="7" spans="2:11">
      <c r="B7" s="1" t="s">
        <v>22</v>
      </c>
    </row>
    <row r="8" spans="2:11">
      <c r="B8" s="32" t="s">
        <v>0</v>
      </c>
      <c r="C8" s="187"/>
      <c r="D8" s="32">
        <v>2020</v>
      </c>
      <c r="E8" s="32">
        <v>2021</v>
      </c>
      <c r="F8" s="32">
        <v>2022</v>
      </c>
      <c r="G8" s="32">
        <v>2023</v>
      </c>
      <c r="H8" s="32">
        <v>2024</v>
      </c>
    </row>
    <row r="9" spans="2:11">
      <c r="B9" s="99"/>
      <c r="C9" s="99"/>
      <c r="D9" s="169" t="s">
        <v>73</v>
      </c>
      <c r="E9" s="169" t="s">
        <v>73</v>
      </c>
      <c r="F9" s="169" t="s">
        <v>73</v>
      </c>
      <c r="G9" s="169" t="s">
        <v>73</v>
      </c>
      <c r="H9" s="169" t="s">
        <v>73</v>
      </c>
    </row>
    <row r="10" spans="2:11">
      <c r="B10" s="1" t="s">
        <v>23</v>
      </c>
      <c r="K10" s="36">
        <v>1000</v>
      </c>
    </row>
    <row r="11" spans="2:11">
      <c r="B11" t="s">
        <v>24</v>
      </c>
      <c r="D11" s="194">
        <v>353119.34100000001</v>
      </c>
      <c r="E11" s="194">
        <v>463022.049</v>
      </c>
      <c r="F11" s="194">
        <v>602287.06900000002</v>
      </c>
      <c r="G11" s="194">
        <v>686489.41299999994</v>
      </c>
      <c r="H11" s="194">
        <v>899430.23100000003</v>
      </c>
    </row>
    <row r="12" spans="2:11">
      <c r="B12" t="s">
        <v>25</v>
      </c>
      <c r="D12" s="194">
        <v>925409.87600000005</v>
      </c>
      <c r="E12" s="194">
        <v>1012683.253</v>
      </c>
      <c r="F12" s="194">
        <v>1228972.763</v>
      </c>
      <c r="G12" s="194">
        <v>678075.51500000001</v>
      </c>
      <c r="H12" s="194">
        <v>728258.79500000004</v>
      </c>
    </row>
    <row r="13" spans="2:11">
      <c r="B13" t="s">
        <v>26</v>
      </c>
      <c r="D13" s="194">
        <v>4434726.2980000004</v>
      </c>
      <c r="E13" s="194">
        <v>5365786.165</v>
      </c>
      <c r="F13" s="194">
        <v>5670977.1799999997</v>
      </c>
      <c r="G13" s="194">
        <v>6395519.6710000001</v>
      </c>
      <c r="H13" s="194">
        <v>8271625.0499999998</v>
      </c>
    </row>
    <row r="14" spans="2:11">
      <c r="B14" t="s">
        <v>27</v>
      </c>
      <c r="D14" s="194">
        <v>7062461.1220000004</v>
      </c>
      <c r="E14" s="194">
        <v>7918013.9179999996</v>
      </c>
      <c r="F14" s="194">
        <v>9203081.3900000006</v>
      </c>
      <c r="G14" s="194">
        <v>10838663.147</v>
      </c>
      <c r="H14" s="194">
        <v>12607762.028999999</v>
      </c>
    </row>
    <row r="15" spans="2:11">
      <c r="B15" t="s">
        <v>28</v>
      </c>
      <c r="D15" s="194">
        <v>104086.576</v>
      </c>
      <c r="E15" s="194">
        <v>108092.58100000001</v>
      </c>
      <c r="F15" s="194">
        <v>106054.107</v>
      </c>
      <c r="G15" s="194">
        <v>109690.03599999999</v>
      </c>
      <c r="H15" s="194">
        <v>132402.76300000001</v>
      </c>
    </row>
    <row r="16" spans="2:11">
      <c r="B16" t="s">
        <v>29</v>
      </c>
      <c r="D16" s="194">
        <v>893119.11</v>
      </c>
      <c r="E16" s="194">
        <v>869447.777</v>
      </c>
      <c r="F16" s="194">
        <v>713988.01</v>
      </c>
      <c r="G16" s="194">
        <v>875453.87</v>
      </c>
      <c r="H16" s="194">
        <v>976409.78799999994</v>
      </c>
    </row>
    <row r="17" spans="2:10">
      <c r="B17" t="s">
        <v>42</v>
      </c>
      <c r="D17" s="194">
        <v>0</v>
      </c>
      <c r="E17" s="194">
        <v>1076.703</v>
      </c>
      <c r="F17" s="194">
        <v>1013.318</v>
      </c>
      <c r="G17" s="194">
        <v>1013.318</v>
      </c>
      <c r="H17" s="194">
        <v>24741.618999999999</v>
      </c>
    </row>
    <row r="18" spans="2:10">
      <c r="D18" s="191"/>
      <c r="E18" s="191"/>
      <c r="F18" s="191"/>
      <c r="G18" s="191"/>
      <c r="H18" s="191"/>
    </row>
    <row r="19" spans="2:10">
      <c r="B19" s="8" t="s">
        <v>30</v>
      </c>
      <c r="C19" s="8"/>
      <c r="D19" s="192">
        <f>SUM(D11:D17)</f>
        <v>13772922.323000001</v>
      </c>
      <c r="E19" s="192">
        <f t="shared" ref="E19:H19" si="0">SUM(E11:E17)</f>
        <v>15738122.446</v>
      </c>
      <c r="F19" s="192">
        <f t="shared" si="0"/>
        <v>17526373.837000001</v>
      </c>
      <c r="G19" s="192">
        <f t="shared" si="0"/>
        <v>19584904.969999999</v>
      </c>
      <c r="H19" s="192">
        <f t="shared" si="0"/>
        <v>23640630.274999995</v>
      </c>
    </row>
    <row r="20" spans="2:10">
      <c r="D20" s="191"/>
      <c r="E20" s="191"/>
      <c r="F20" s="191"/>
      <c r="G20" s="191"/>
      <c r="H20" s="191"/>
    </row>
    <row r="21" spans="2:10">
      <c r="D21" s="191"/>
      <c r="E21" s="191"/>
      <c r="F21" s="191"/>
      <c r="G21" s="191"/>
      <c r="H21" s="191"/>
    </row>
    <row r="22" spans="2:10">
      <c r="B22" s="1" t="s">
        <v>31</v>
      </c>
      <c r="D22" s="191"/>
      <c r="E22" s="191"/>
      <c r="F22" s="191"/>
      <c r="G22" s="191"/>
      <c r="H22" s="191"/>
    </row>
    <row r="23" spans="2:10">
      <c r="B23" t="s">
        <v>32</v>
      </c>
      <c r="D23" s="194">
        <v>12947.648999999999</v>
      </c>
      <c r="E23" s="194">
        <v>13834.103999999999</v>
      </c>
      <c r="F23" s="194">
        <v>13899.662</v>
      </c>
      <c r="G23" s="194">
        <v>13967.75</v>
      </c>
      <c r="H23" s="194">
        <v>14046.79</v>
      </c>
    </row>
    <row r="24" spans="2:10">
      <c r="B24" t="s">
        <v>33</v>
      </c>
      <c r="D24" s="194">
        <v>34.857999999999997</v>
      </c>
      <c r="E24" s="194">
        <v>31.01</v>
      </c>
      <c r="F24" s="194">
        <v>2664.1410000000001</v>
      </c>
      <c r="G24" s="194">
        <v>7608.8590000000004</v>
      </c>
      <c r="H24" s="194">
        <v>14053.18</v>
      </c>
    </row>
    <row r="25" spans="2:10">
      <c r="B25" t="s">
        <v>34</v>
      </c>
      <c r="D25" s="194">
        <v>1216618.0649999999</v>
      </c>
      <c r="E25" s="194">
        <v>1562009.8910000001</v>
      </c>
      <c r="F25" s="194">
        <v>1803961.07</v>
      </c>
      <c r="G25" s="194">
        <v>2123401.284</v>
      </c>
      <c r="H25" s="194">
        <v>2533338.3760000002</v>
      </c>
    </row>
    <row r="26" spans="2:10">
      <c r="B26" t="s">
        <v>39</v>
      </c>
      <c r="D26" s="194">
        <v>67947.695999999996</v>
      </c>
      <c r="E26" s="194">
        <v>95883.392999999996</v>
      </c>
      <c r="F26" s="194">
        <v>59808.934999999998</v>
      </c>
      <c r="G26" s="194">
        <v>66867.525999999998</v>
      </c>
      <c r="H26" s="194">
        <v>138884.16200000001</v>
      </c>
    </row>
    <row r="27" spans="2:10">
      <c r="B27" t="s">
        <v>40</v>
      </c>
      <c r="D27" s="194">
        <v>8007844.6100000003</v>
      </c>
      <c r="E27" s="194">
        <v>9599400.1799999997</v>
      </c>
      <c r="F27" s="194">
        <v>10913657.932</v>
      </c>
      <c r="G27" s="194">
        <v>12108321.521</v>
      </c>
      <c r="H27" s="194">
        <v>14435799.524</v>
      </c>
    </row>
    <row r="28" spans="2:10">
      <c r="B28" t="s">
        <v>35</v>
      </c>
      <c r="D28" s="194">
        <v>2138517.821</v>
      </c>
      <c r="E28" s="194">
        <v>1438999.3929999999</v>
      </c>
      <c r="F28" s="194">
        <v>1616026.828</v>
      </c>
      <c r="G28" s="194">
        <v>1890618.0730000001</v>
      </c>
      <c r="H28" s="194">
        <v>2074280.0079999999</v>
      </c>
      <c r="J28" s="120"/>
    </row>
    <row r="29" spans="2:10">
      <c r="B29" t="s">
        <v>41</v>
      </c>
      <c r="D29" s="194">
        <v>1454862.5090000001</v>
      </c>
      <c r="E29" s="194">
        <v>2031800.4129999999</v>
      </c>
      <c r="F29" s="194">
        <v>2288271.963</v>
      </c>
      <c r="G29" s="194">
        <v>2388673.665</v>
      </c>
      <c r="H29" s="194">
        <v>2813183.3</v>
      </c>
      <c r="J29" s="20"/>
    </row>
    <row r="30" spans="2:10">
      <c r="B30" t="s">
        <v>36</v>
      </c>
      <c r="D30" s="194">
        <v>874149.11499999999</v>
      </c>
      <c r="E30" s="194">
        <v>996164.06200000003</v>
      </c>
      <c r="F30" s="194">
        <v>828083.30599999998</v>
      </c>
      <c r="G30" s="194">
        <v>985446.29200000002</v>
      </c>
      <c r="H30" s="194">
        <v>1617044.9350000001</v>
      </c>
    </row>
    <row r="31" spans="2:10">
      <c r="D31" s="191"/>
      <c r="E31" s="191"/>
      <c r="F31" s="191"/>
      <c r="G31" s="191"/>
      <c r="H31" s="191"/>
    </row>
    <row r="32" spans="2:10">
      <c r="B32" s="8" t="s">
        <v>37</v>
      </c>
      <c r="C32" s="8"/>
      <c r="D32" s="192">
        <f>SUM(D23:D30)</f>
        <v>13772922.323000001</v>
      </c>
      <c r="E32" s="192">
        <f t="shared" ref="E32:H32" si="1">SUM(E23:E30)</f>
        <v>15738122.446</v>
      </c>
      <c r="F32" s="192">
        <f t="shared" si="1"/>
        <v>17526373.837000001</v>
      </c>
      <c r="G32" s="192">
        <f t="shared" si="1"/>
        <v>19584904.969999999</v>
      </c>
      <c r="H32" s="192">
        <f t="shared" si="1"/>
        <v>23640630.275000002</v>
      </c>
    </row>
    <row r="33" spans="2:8">
      <c r="D33" s="10"/>
      <c r="E33" s="10"/>
      <c r="F33" s="10"/>
      <c r="G33" s="10"/>
      <c r="H33" s="10"/>
    </row>
    <row r="34" spans="2:8">
      <c r="B34" s="11" t="s">
        <v>38</v>
      </c>
      <c r="C34" s="11"/>
      <c r="D34" s="12">
        <f>D32-D19</f>
        <v>0</v>
      </c>
      <c r="E34" s="12">
        <f t="shared" ref="E34:H34" si="2">E32-E19</f>
        <v>0</v>
      </c>
      <c r="F34" s="12">
        <f t="shared" si="2"/>
        <v>0</v>
      </c>
      <c r="G34" s="12">
        <f t="shared" si="2"/>
        <v>0</v>
      </c>
      <c r="H34" s="12">
        <f t="shared" si="2"/>
        <v>0</v>
      </c>
    </row>
    <row r="36" spans="2:8">
      <c r="B36" s="30"/>
      <c r="C36" s="30"/>
      <c r="D36" s="30"/>
      <c r="E36" s="30"/>
      <c r="F36" s="30"/>
      <c r="G36" s="30"/>
      <c r="H36" s="3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workbookViewId="0">
      <pane xSplit="2" ySplit="9" topLeftCell="C28" activePane="bottomRight" state="frozen"/>
      <selection pane="topRight" activeCell="C1" sqref="C1"/>
      <selection pane="bottomLeft" activeCell="A10" sqref="A10"/>
      <selection pane="bottomRight" activeCell="D38" sqref="D38"/>
    </sheetView>
  </sheetViews>
  <sheetFormatPr defaultRowHeight="15"/>
  <cols>
    <col min="1" max="1" width="1.85546875" customWidth="1"/>
    <col min="2" max="2" width="35" bestFit="1" customWidth="1"/>
    <col min="4" max="13" width="10.85546875" bestFit="1" customWidth="1"/>
    <col min="14" max="17" width="11.7109375" bestFit="1" customWidth="1"/>
    <col min="18" max="18" width="12.42578125" bestFit="1" customWidth="1"/>
  </cols>
  <sheetData>
    <row r="1" spans="2:18" ht="5.0999999999999996" customHeight="1">
      <c r="B1" s="30"/>
      <c r="C1" s="30"/>
      <c r="D1" s="30"/>
      <c r="E1" s="30"/>
      <c r="F1" s="30"/>
      <c r="G1" s="30"/>
      <c r="H1" s="30"/>
      <c r="I1" s="30"/>
      <c r="J1" s="30"/>
      <c r="K1" s="30"/>
      <c r="L1" s="30"/>
      <c r="M1" s="30"/>
      <c r="N1" s="30"/>
      <c r="O1" s="30"/>
      <c r="P1" s="30"/>
      <c r="Q1" s="30"/>
      <c r="R1" s="30"/>
    </row>
    <row r="3" spans="2:18">
      <c r="B3" s="170" t="s">
        <v>260</v>
      </c>
    </row>
    <row r="4" spans="2:18">
      <c r="B4" s="171" t="s">
        <v>262</v>
      </c>
    </row>
    <row r="5" spans="2:18">
      <c r="B5" s="25" t="s">
        <v>261</v>
      </c>
      <c r="C5" s="29"/>
      <c r="D5" s="29"/>
      <c r="E5" s="29"/>
      <c r="F5" s="29"/>
      <c r="G5" s="29"/>
      <c r="H5" s="29"/>
      <c r="I5" s="29"/>
      <c r="J5" s="29"/>
      <c r="K5" s="29"/>
      <c r="L5" s="29"/>
      <c r="M5" s="29"/>
      <c r="N5" s="29"/>
      <c r="O5" s="29"/>
      <c r="P5" s="29"/>
      <c r="Q5" s="29"/>
      <c r="R5" s="29"/>
    </row>
    <row r="7" spans="2:18">
      <c r="B7" s="1" t="s">
        <v>47</v>
      </c>
    </row>
    <row r="8" spans="2:18">
      <c r="B8" s="32" t="s">
        <v>0</v>
      </c>
      <c r="C8" s="32"/>
      <c r="D8" s="32">
        <v>2020</v>
      </c>
      <c r="E8" s="32">
        <f>D8+1</f>
        <v>2021</v>
      </c>
      <c r="F8" s="32">
        <f t="shared" ref="F8:R8" si="0">E8+1</f>
        <v>2022</v>
      </c>
      <c r="G8" s="32">
        <f t="shared" si="0"/>
        <v>2023</v>
      </c>
      <c r="H8" s="32">
        <f t="shared" si="0"/>
        <v>2024</v>
      </c>
      <c r="I8" s="32">
        <f t="shared" si="0"/>
        <v>2025</v>
      </c>
      <c r="J8" s="32">
        <f t="shared" si="0"/>
        <v>2026</v>
      </c>
      <c r="K8" s="32">
        <f t="shared" si="0"/>
        <v>2027</v>
      </c>
      <c r="L8" s="32">
        <f t="shared" si="0"/>
        <v>2028</v>
      </c>
      <c r="M8" s="32">
        <f t="shared" si="0"/>
        <v>2029</v>
      </c>
      <c r="N8" s="32">
        <f t="shared" si="0"/>
        <v>2030</v>
      </c>
      <c r="O8" s="32">
        <f t="shared" si="0"/>
        <v>2031</v>
      </c>
      <c r="P8" s="32">
        <f t="shared" si="0"/>
        <v>2032</v>
      </c>
      <c r="Q8" s="32">
        <f t="shared" si="0"/>
        <v>2033</v>
      </c>
      <c r="R8" s="32">
        <f t="shared" si="0"/>
        <v>2034</v>
      </c>
    </row>
    <row r="9" spans="2:18">
      <c r="B9" s="168"/>
      <c r="C9" s="151"/>
      <c r="D9" s="169" t="s">
        <v>73</v>
      </c>
      <c r="E9" s="169" t="s">
        <v>73</v>
      </c>
      <c r="F9" s="169" t="s">
        <v>73</v>
      </c>
      <c r="G9" s="169" t="s">
        <v>73</v>
      </c>
      <c r="H9" s="169" t="s">
        <v>73</v>
      </c>
      <c r="I9" s="169" t="s">
        <v>79</v>
      </c>
      <c r="J9" s="169" t="s">
        <v>79</v>
      </c>
      <c r="K9" s="169" t="s">
        <v>79</v>
      </c>
      <c r="L9" s="169" t="s">
        <v>79</v>
      </c>
      <c r="M9" s="169" t="s">
        <v>79</v>
      </c>
      <c r="N9" s="169" t="s">
        <v>79</v>
      </c>
      <c r="O9" s="169" t="s">
        <v>79</v>
      </c>
      <c r="P9" s="169" t="s">
        <v>79</v>
      </c>
      <c r="Q9" s="169" t="s">
        <v>79</v>
      </c>
      <c r="R9" s="169" t="s">
        <v>79</v>
      </c>
    </row>
    <row r="11" spans="2:18">
      <c r="B11" s="185" t="s">
        <v>2</v>
      </c>
      <c r="C11" s="188"/>
      <c r="D11" s="189">
        <f>'Revenue Buildup'!D12</f>
        <v>1497860.9999999993</v>
      </c>
      <c r="E11" s="189">
        <f>'Revenue Buildup'!E12</f>
        <v>1613364.7999999996</v>
      </c>
      <c r="F11" s="189">
        <f>'Revenue Buildup'!F12</f>
        <v>1575363.2</v>
      </c>
      <c r="G11" s="189">
        <f>'Revenue Buildup'!G12</f>
        <v>1861787.9999999995</v>
      </c>
      <c r="H11" s="189">
        <f>'Revenue Buildup'!H12</f>
        <v>2360377.1999999997</v>
      </c>
      <c r="I11" s="189">
        <f>'Revenue Buildup'!I12</f>
        <v>2768702.9719339074</v>
      </c>
      <c r="J11" s="189">
        <f>'Revenue Buildup'!J12</f>
        <v>3242148.501308708</v>
      </c>
      <c r="K11" s="189">
        <f>'Revenue Buildup'!K12</f>
        <v>3793857.7313623894</v>
      </c>
      <c r="L11" s="189">
        <f>'Revenue Buildup'!L12</f>
        <v>4440035.5020245984</v>
      </c>
      <c r="M11" s="189">
        <f>'Revenue Buildup'!M12</f>
        <v>5200488.8929056376</v>
      </c>
      <c r="N11" s="189">
        <f>'Revenue Buildup'!N12</f>
        <v>6099288.4389730319</v>
      </c>
      <c r="O11" s="189">
        <f>'Revenue Buildup'!O12</f>
        <v>7165580.9980989909</v>
      </c>
      <c r="P11" s="189">
        <f>'Revenue Buildup'!P12</f>
        <v>8434589.4642331339</v>
      </c>
      <c r="Q11" s="189">
        <f>'Revenue Buildup'!Q12</f>
        <v>9948839.7233990394</v>
      </c>
      <c r="R11" s="189">
        <f>'Revenue Buildup'!R12</f>
        <v>11759662.534830462</v>
      </c>
    </row>
    <row r="13" spans="2:18">
      <c r="B13" s="1" t="s">
        <v>6</v>
      </c>
    </row>
    <row r="14" spans="2:18">
      <c r="B14" t="s">
        <v>21</v>
      </c>
      <c r="D14" s="150">
        <f>'Income statement Historical'!D17</f>
        <v>332242.78999999998</v>
      </c>
      <c r="E14" s="150">
        <f>'Income statement Historical'!E17</f>
        <v>337196.58500000002</v>
      </c>
      <c r="F14" s="150">
        <f>'Income statement Historical'!F17</f>
        <v>336132.83299999998</v>
      </c>
      <c r="G14" s="150">
        <f>'Income statement Historical'!G17</f>
        <v>394765.40700000001</v>
      </c>
      <c r="H14" s="150">
        <f>'Income statement Historical'!H17</f>
        <v>587844.55500000005</v>
      </c>
      <c r="I14" s="150">
        <f>'Cost Buildup'!I16</f>
        <v>612029.84612058522</v>
      </c>
      <c r="J14" s="150">
        <f>'Cost Buildup'!J16</f>
        <v>716686.35764494794</v>
      </c>
      <c r="K14" s="150">
        <f>'Cost Buildup'!K16</f>
        <v>838643.2878739814</v>
      </c>
      <c r="L14" s="150">
        <f>'Cost Buildup'!L16</f>
        <v>981482.76381411671</v>
      </c>
      <c r="M14" s="150">
        <f>'Cost Buildup'!M16</f>
        <v>1149583.1980321321</v>
      </c>
      <c r="N14" s="150">
        <f>'Cost Buildup'!N16</f>
        <v>1348265.4523039388</v>
      </c>
      <c r="O14" s="150">
        <f>'Cost Buildup'!O16</f>
        <v>1583972.5243505838</v>
      </c>
      <c r="P14" s="150">
        <f>'Cost Buildup'!P16</f>
        <v>1864490.5373432536</v>
      </c>
      <c r="Q14" s="150">
        <f>'Cost Buildup'!Q16</f>
        <v>2199219.962095534</v>
      </c>
      <c r="R14" s="150">
        <f>'Cost Buildup'!R16</f>
        <v>2599507.6122575519</v>
      </c>
    </row>
    <row r="15" spans="2:18">
      <c r="B15" t="s">
        <v>7</v>
      </c>
      <c r="D15" s="150">
        <f>'Income statement Historical'!D18</f>
        <v>679547.88100000005</v>
      </c>
      <c r="E15" s="150">
        <f>'Income statement Historical'!E18</f>
        <v>710980.08900000004</v>
      </c>
      <c r="F15" s="150">
        <f>'Income statement Historical'!F18</f>
        <v>668399.46799999999</v>
      </c>
      <c r="G15" s="150">
        <f>'Income statement Historical'!G18</f>
        <v>700490.38199999998</v>
      </c>
      <c r="H15" s="150">
        <f>'Income statement Historical'!H18</f>
        <v>825039.76899999997</v>
      </c>
      <c r="I15" s="150">
        <f>'Cost Buildup'!I19</f>
        <v>1132081.9394144325</v>
      </c>
      <c r="J15" s="150">
        <f>'Cost Buildup'!J19</f>
        <v>1325666.8557217754</v>
      </c>
      <c r="K15" s="150">
        <f>'Cost Buildup'!K19</f>
        <v>1551252.6485942239</v>
      </c>
      <c r="L15" s="150">
        <f>'Cost Buildup'!L19</f>
        <v>1815465.2388334742</v>
      </c>
      <c r="M15" s="150">
        <f>'Cost Buildup'!M19</f>
        <v>2126403.4500860749</v>
      </c>
      <c r="N15" s="150">
        <f>'Cost Buildup'!N19</f>
        <v>2493909.3702123007</v>
      </c>
      <c r="O15" s="150">
        <f>'Cost Buildup'!O19</f>
        <v>2929900.7208754336</v>
      </c>
      <c r="P15" s="150">
        <f>'Cost Buildup'!P19</f>
        <v>3448779.6255601826</v>
      </c>
      <c r="Q15" s="150">
        <f>'Cost Buildup'!Q19</f>
        <v>4067934.2938408167</v>
      </c>
      <c r="R15" s="150">
        <f>'Cost Buildup'!R19</f>
        <v>4808353.1184969265</v>
      </c>
    </row>
    <row r="16" spans="2:18">
      <c r="B16" t="s">
        <v>8</v>
      </c>
      <c r="D16" s="150">
        <f>'Income statement Historical'!D19</f>
        <v>223772.141</v>
      </c>
      <c r="E16" s="150">
        <f>'Income statement Historical'!E19</f>
        <v>220417.554</v>
      </c>
      <c r="F16" s="150">
        <f>'Income statement Historical'!F19</f>
        <v>174340.856</v>
      </c>
      <c r="G16" s="150">
        <f>'Income statement Historical'!G19</f>
        <v>187333.62899999999</v>
      </c>
      <c r="H16" s="150">
        <f>'Income statement Historical'!H19</f>
        <v>191400.27600000001</v>
      </c>
      <c r="I16" s="150">
        <f>'Cost Buildup'!I22</f>
        <v>320278.28139799245</v>
      </c>
      <c r="J16" s="150">
        <f>'Cost Buildup'!J22</f>
        <v>375045.55763557641</v>
      </c>
      <c r="K16" s="150">
        <f>'Cost Buildup'!K22</f>
        <v>438866.22956181754</v>
      </c>
      <c r="L16" s="150">
        <f>'Cost Buildup'!L22</f>
        <v>513614.84216605133</v>
      </c>
      <c r="M16" s="150">
        <f>'Cost Buildup'!M22</f>
        <v>601582.64065637963</v>
      </c>
      <c r="N16" s="150">
        <f>'Cost Buildup'!N22</f>
        <v>705554.05862856098</v>
      </c>
      <c r="O16" s="150">
        <f>'Cost Buildup'!O22</f>
        <v>828900.74903420894</v>
      </c>
      <c r="P16" s="150">
        <f>'Cost Buildup'!P22</f>
        <v>975697.22909471008</v>
      </c>
      <c r="Q16" s="150">
        <f>'Cost Buildup'!Q22</f>
        <v>1150862.8122317726</v>
      </c>
      <c r="R16" s="150">
        <f>'Cost Buildup'!R22</f>
        <v>1360335.3428140029</v>
      </c>
    </row>
    <row r="17" spans="2:18">
      <c r="B17" s="25" t="s">
        <v>9</v>
      </c>
      <c r="C17" s="29"/>
      <c r="D17" s="185">
        <f>SUM(D14:D16)</f>
        <v>1235562.8120000002</v>
      </c>
      <c r="E17" s="185">
        <f t="shared" ref="E17:H17" si="1">SUM(E14:E16)</f>
        <v>1268594.2280000001</v>
      </c>
      <c r="F17" s="185">
        <f t="shared" si="1"/>
        <v>1178873.1569999999</v>
      </c>
      <c r="G17" s="185">
        <f t="shared" si="1"/>
        <v>1282589.4179999998</v>
      </c>
      <c r="H17" s="185">
        <f t="shared" si="1"/>
        <v>1604284.6</v>
      </c>
      <c r="I17" s="185">
        <f t="shared" ref="I17" si="2">SUM(I14:I16)</f>
        <v>2064390.0669330102</v>
      </c>
      <c r="J17" s="185">
        <f t="shared" ref="J17" si="3">SUM(J14:J16)</f>
        <v>2417398.7710022996</v>
      </c>
      <c r="K17" s="185">
        <f t="shared" ref="K17" si="4">SUM(K14:K16)</f>
        <v>2828762.1660300228</v>
      </c>
      <c r="L17" s="185">
        <f t="shared" ref="L17" si="5">SUM(L14:L16)</f>
        <v>3310562.8448136421</v>
      </c>
      <c r="M17" s="185">
        <f t="shared" ref="M17" si="6">SUM(M14:M16)</f>
        <v>3877569.2887745867</v>
      </c>
      <c r="N17" s="185">
        <f t="shared" ref="N17" si="7">SUM(N14:N16)</f>
        <v>4547728.8811448002</v>
      </c>
      <c r="O17" s="185">
        <f t="shared" ref="O17" si="8">SUM(O14:O16)</f>
        <v>5342773.9942602264</v>
      </c>
      <c r="P17" s="185">
        <f t="shared" ref="P17" si="9">SUM(P14:P16)</f>
        <v>6288967.3919981467</v>
      </c>
      <c r="Q17" s="185">
        <f t="shared" ref="Q17" si="10">SUM(Q14:Q16)</f>
        <v>7418017.0681681233</v>
      </c>
      <c r="R17" s="185">
        <f t="shared" ref="R17" si="11">SUM(R14:R16)</f>
        <v>8768196.0735684801</v>
      </c>
    </row>
    <row r="19" spans="2:18">
      <c r="B19" s="25" t="s">
        <v>10</v>
      </c>
      <c r="C19" s="29"/>
      <c r="D19" s="185">
        <f>D11-D17</f>
        <v>262298.18799999915</v>
      </c>
      <c r="E19" s="185">
        <f t="shared" ref="E19:R19" si="12">E11-E17</f>
        <v>344770.57199999946</v>
      </c>
      <c r="F19" s="185">
        <f t="shared" si="12"/>
        <v>396490.04300000006</v>
      </c>
      <c r="G19" s="185">
        <f t="shared" si="12"/>
        <v>579198.5819999997</v>
      </c>
      <c r="H19" s="185">
        <f t="shared" si="12"/>
        <v>756092.59999999963</v>
      </c>
      <c r="I19" s="185">
        <f t="shared" si="12"/>
        <v>704312.90500089712</v>
      </c>
      <c r="J19" s="185">
        <f t="shared" si="12"/>
        <v>824749.73030640837</v>
      </c>
      <c r="K19" s="185">
        <f t="shared" si="12"/>
        <v>965095.56533236662</v>
      </c>
      <c r="L19" s="185">
        <f t="shared" si="12"/>
        <v>1129472.6572109563</v>
      </c>
      <c r="M19" s="185">
        <f t="shared" si="12"/>
        <v>1322919.6041310509</v>
      </c>
      <c r="N19" s="185">
        <f t="shared" si="12"/>
        <v>1551559.5578282317</v>
      </c>
      <c r="O19" s="185">
        <f t="shared" si="12"/>
        <v>1822807.0038387645</v>
      </c>
      <c r="P19" s="185">
        <f t="shared" si="12"/>
        <v>2145622.0722349873</v>
      </c>
      <c r="Q19" s="185">
        <f t="shared" si="12"/>
        <v>2530822.6552309161</v>
      </c>
      <c r="R19" s="185">
        <f t="shared" si="12"/>
        <v>2991466.4612619821</v>
      </c>
    </row>
    <row r="21" spans="2:18">
      <c r="B21" t="s">
        <v>11</v>
      </c>
      <c r="D21" s="150">
        <f>'Income statement Historical'!D24</f>
        <v>11712.175999999999</v>
      </c>
      <c r="E21" s="150">
        <f>'Income statement Historical'!E24</f>
        <v>13400.744000000001</v>
      </c>
      <c r="F21" s="150">
        <f>'Income statement Historical'!F24</f>
        <v>13300.074000000001</v>
      </c>
      <c r="G21" s="150">
        <f>'Income statement Historical'!G24</f>
        <v>15145.592000000001</v>
      </c>
      <c r="H21" s="150">
        <f>'Income statement Historical'!H24</f>
        <v>19352.106</v>
      </c>
      <c r="I21" s="150">
        <f>FAS!H59/1000</f>
        <v>19448.866529999996</v>
      </c>
      <c r="J21" s="150">
        <f>FAS!I59/1000</f>
        <v>19546.110862649995</v>
      </c>
      <c r="K21" s="150">
        <f>FAS!J59/1000</f>
        <v>19643.841416963241</v>
      </c>
      <c r="L21" s="150">
        <f>FAS!K59/1000</f>
        <v>19742.060624048059</v>
      </c>
      <c r="M21" s="150">
        <f>FAS!L59/1000</f>
        <v>19840.770927168294</v>
      </c>
      <c r="N21" s="150">
        <f>FAS!M59/1000</f>
        <v>19939.974781804136</v>
      </c>
      <c r="O21" s="150">
        <f>FAS!N59/1000</f>
        <v>20039.674655713156</v>
      </c>
      <c r="P21" s="150">
        <f>FAS!O59/1000</f>
        <v>20139.873028991718</v>
      </c>
      <c r="Q21" s="150">
        <f>FAS!P59/1000</f>
        <v>20240.57239413667</v>
      </c>
      <c r="R21" s="150">
        <f>FAS!Q59/1000</f>
        <v>20341.775256107354</v>
      </c>
    </row>
    <row r="23" spans="2:18">
      <c r="B23" s="25" t="s">
        <v>12</v>
      </c>
      <c r="C23" s="29"/>
      <c r="D23" s="185">
        <f>D19-D21</f>
        <v>250586.01199999914</v>
      </c>
      <c r="E23" s="185">
        <f t="shared" ref="E23:R23" si="13">E19-E21</f>
        <v>331369.82799999946</v>
      </c>
      <c r="F23" s="185">
        <f t="shared" si="13"/>
        <v>383189.96900000004</v>
      </c>
      <c r="G23" s="185">
        <f t="shared" si="13"/>
        <v>564052.98999999976</v>
      </c>
      <c r="H23" s="185">
        <f t="shared" si="13"/>
        <v>736740.4939999996</v>
      </c>
      <c r="I23" s="185">
        <f t="shared" si="13"/>
        <v>684864.03847089713</v>
      </c>
      <c r="J23" s="185">
        <f t="shared" si="13"/>
        <v>805203.61944375839</v>
      </c>
      <c r="K23" s="185">
        <f t="shared" si="13"/>
        <v>945451.72391540336</v>
      </c>
      <c r="L23" s="185">
        <f t="shared" si="13"/>
        <v>1109730.5965869082</v>
      </c>
      <c r="M23" s="185">
        <f t="shared" si="13"/>
        <v>1303078.8332038827</v>
      </c>
      <c r="N23" s="185">
        <f t="shared" si="13"/>
        <v>1531619.5830464275</v>
      </c>
      <c r="O23" s="185">
        <f t="shared" si="13"/>
        <v>1802767.3291830514</v>
      </c>
      <c r="P23" s="185">
        <f t="shared" si="13"/>
        <v>2125482.1992059955</v>
      </c>
      <c r="Q23" s="185">
        <f t="shared" si="13"/>
        <v>2510582.0828367793</v>
      </c>
      <c r="R23" s="185">
        <f t="shared" si="13"/>
        <v>2971124.6860058745</v>
      </c>
    </row>
    <row r="25" spans="2:18">
      <c r="B25" t="s">
        <v>13</v>
      </c>
      <c r="D25" s="150">
        <f>'Income statement Historical'!D28</f>
        <v>114412.432</v>
      </c>
      <c r="E25" s="150">
        <f>'Income statement Historical'!E28</f>
        <v>89394.289000000004</v>
      </c>
      <c r="F25" s="150">
        <f>'Income statement Historical'!F28</f>
        <v>75533.877999999997</v>
      </c>
      <c r="G25" s="150">
        <f>'Income statement Historical'!G28</f>
        <v>110668.47199999999</v>
      </c>
      <c r="H25" s="150">
        <f>'Income statement Historical'!H28</f>
        <v>153237.07199999999</v>
      </c>
      <c r="I25" s="150">
        <f>'Cost Buildup'!I26</f>
        <v>171054.5583858818</v>
      </c>
      <c r="J25" s="150">
        <f>'Cost Buildup'!J26</f>
        <v>200304.7223680476</v>
      </c>
      <c r="K25" s="150">
        <f>'Cost Buildup'!K26</f>
        <v>234390.13335683607</v>
      </c>
      <c r="L25" s="150">
        <f>'Cost Buildup'!L26</f>
        <v>274311.95029416995</v>
      </c>
      <c r="M25" s="150">
        <f>'Cost Buildup'!M26</f>
        <v>321293.8838091775</v>
      </c>
      <c r="N25" s="150">
        <f>'Cost Buildup'!N26</f>
        <v>376823.04709916411</v>
      </c>
      <c r="O25" s="150">
        <f>'Cost Buildup'!O26</f>
        <v>442700.17608712573</v>
      </c>
      <c r="P25" s="150">
        <f>'Cost Buildup'!P26</f>
        <v>521101.39317792119</v>
      </c>
      <c r="Q25" s="150">
        <f>'Cost Buildup'!Q26</f>
        <v>614654.01041168999</v>
      </c>
      <c r="R25" s="150">
        <f>'Cost Buildup'!R26</f>
        <v>726529.31789840339</v>
      </c>
    </row>
    <row r="26" spans="2:18">
      <c r="B26" t="s">
        <v>20</v>
      </c>
      <c r="D26" s="150">
        <f>'Income statement Historical'!D29</f>
        <v>0</v>
      </c>
      <c r="E26" s="150">
        <f>'Income statement Historical'!E29</f>
        <v>0</v>
      </c>
      <c r="F26" s="150">
        <f>'Income statement Historical'!F29</f>
        <v>7544.2790000000005</v>
      </c>
      <c r="G26" s="150">
        <f>'Income statement Historical'!G29</f>
        <v>9982.8760000000002</v>
      </c>
      <c r="H26" s="150">
        <f>'Income statement Historical'!H29</f>
        <v>10737.68</v>
      </c>
      <c r="I26" s="150">
        <f>'Revenue Buildup'!I88</f>
        <v>12165.246636870783</v>
      </c>
      <c r="J26" s="150">
        <f>'Revenue Buildup'!J88</f>
        <v>13782.607205271146</v>
      </c>
      <c r="K26" s="150">
        <f>'Revenue Buildup'!K88</f>
        <v>15614.994668423329</v>
      </c>
      <c r="L26" s="150">
        <f>'Revenue Buildup'!L88</f>
        <v>17690.996693400444</v>
      </c>
      <c r="M26" s="150">
        <f>'Revenue Buildup'!M88</f>
        <v>20043.001656529334</v>
      </c>
      <c r="N26" s="150">
        <f>'Revenue Buildup'!N88</f>
        <v>22707.703944882785</v>
      </c>
      <c r="O26" s="150">
        <f>'Revenue Buildup'!O88</f>
        <v>25726.676437232501</v>
      </c>
      <c r="P26" s="150">
        <f>'Revenue Buildup'!P88</f>
        <v>29147.019095922533</v>
      </c>
      <c r="Q26" s="150">
        <f>'Revenue Buildup'!Q88</f>
        <v>33022.093788553961</v>
      </c>
      <c r="R26" s="150">
        <f>'Revenue Buildup'!R88</f>
        <v>37412.356803670591</v>
      </c>
    </row>
    <row r="27" spans="2:18">
      <c r="B27" t="s">
        <v>15</v>
      </c>
      <c r="D27" s="150">
        <f>'Income statement Historical'!D30</f>
        <v>16591.601999999999</v>
      </c>
      <c r="E27" s="150">
        <f>'Income statement Historical'!E30</f>
        <v>19796.467000000001</v>
      </c>
      <c r="F27" s="150">
        <f>'Income statement Historical'!F30</f>
        <v>14281.645</v>
      </c>
      <c r="G27" s="150">
        <f>'Income statement Historical'!G30</f>
        <v>14246.737999999999</v>
      </c>
      <c r="H27" s="150">
        <f>'Income statement Historical'!H30</f>
        <v>18241.392</v>
      </c>
      <c r="I27" s="150">
        <f>'Revenue Buildup'!I91</f>
        <v>19119.406753949152</v>
      </c>
      <c r="J27" s="150">
        <f>'Revenue Buildup'!J91</f>
        <v>20039.683080269115</v>
      </c>
      <c r="K27" s="150">
        <f>'Revenue Buildup'!K91</f>
        <v>21004.25515946907</v>
      </c>
      <c r="L27" s="150">
        <f>'Revenue Buildup'!L91</f>
        <v>22015.255083473028</v>
      </c>
      <c r="M27" s="150">
        <f>'Revenue Buildup'!M91</f>
        <v>23074.9175683998</v>
      </c>
      <c r="N27" s="150">
        <f>'Revenue Buildup'!N91</f>
        <v>24185.584894183681</v>
      </c>
      <c r="O27" s="150">
        <f>'Revenue Buildup'!O91</f>
        <v>25349.712081954382</v>
      </c>
      <c r="P27" s="150">
        <f>'Revenue Buildup'!P91</f>
        <v>26569.872320620321</v>
      </c>
      <c r="Q27" s="150">
        <f>'Revenue Buildup'!Q91</f>
        <v>27848.762654650192</v>
      </c>
      <c r="R27" s="150">
        <f>'Revenue Buildup'!R91</f>
        <v>29189.20994562508</v>
      </c>
    </row>
    <row r="28" spans="2:18">
      <c r="D28" s="163"/>
      <c r="E28" s="163"/>
      <c r="F28" s="163"/>
      <c r="G28" s="163"/>
      <c r="H28" s="163"/>
      <c r="I28" s="163"/>
      <c r="J28" s="163"/>
      <c r="K28" s="163"/>
      <c r="L28" s="163"/>
      <c r="M28" s="163"/>
      <c r="N28" s="163"/>
      <c r="O28" s="163"/>
      <c r="P28" s="163"/>
      <c r="Q28" s="163"/>
      <c r="R28" s="163"/>
    </row>
    <row r="29" spans="2:18">
      <c r="B29" s="25" t="s">
        <v>18</v>
      </c>
      <c r="C29" s="29"/>
      <c r="D29" s="185">
        <f>D23-D25+D26-D27</f>
        <v>119581.97799999914</v>
      </c>
      <c r="E29" s="185">
        <f t="shared" ref="E29:R29" si="14">E23-E25+E26-E27</f>
        <v>222179.07199999946</v>
      </c>
      <c r="F29" s="185">
        <f t="shared" si="14"/>
        <v>300918.72499999998</v>
      </c>
      <c r="G29" s="185">
        <f t="shared" si="14"/>
        <v>449120.65599999973</v>
      </c>
      <c r="H29" s="185">
        <f t="shared" si="14"/>
        <v>575999.70999999961</v>
      </c>
      <c r="I29" s="185">
        <f t="shared" si="14"/>
        <v>506855.31996793696</v>
      </c>
      <c r="J29" s="185">
        <f t="shared" si="14"/>
        <v>598641.82120071282</v>
      </c>
      <c r="K29" s="185">
        <f t="shared" si="14"/>
        <v>705672.33006752154</v>
      </c>
      <c r="L29" s="185">
        <f t="shared" si="14"/>
        <v>831094.38790266565</v>
      </c>
      <c r="M29" s="185">
        <f t="shared" si="14"/>
        <v>978753.03348283481</v>
      </c>
      <c r="N29" s="185">
        <f t="shared" si="14"/>
        <v>1153318.6549979623</v>
      </c>
      <c r="O29" s="185">
        <f t="shared" si="14"/>
        <v>1360444.1174512038</v>
      </c>
      <c r="P29" s="185">
        <f t="shared" si="14"/>
        <v>1606957.9528033766</v>
      </c>
      <c r="Q29" s="185">
        <f t="shared" si="14"/>
        <v>1901101.403558993</v>
      </c>
      <c r="R29" s="185">
        <f t="shared" si="14"/>
        <v>2252818.5149655165</v>
      </c>
    </row>
    <row r="31" spans="2:18">
      <c r="B31" t="s">
        <v>17</v>
      </c>
      <c r="D31" s="150">
        <f>'Income statement Historical'!D34</f>
        <v>23918.931</v>
      </c>
      <c r="E31" s="150">
        <f>'Income statement Historical'!E34</f>
        <v>38335.862999999998</v>
      </c>
      <c r="F31" s="150">
        <f>'Income statement Historical'!F34</f>
        <v>49817.733</v>
      </c>
      <c r="G31" s="150">
        <f>'Income statement Historical'!G34</f>
        <v>108754.258</v>
      </c>
      <c r="H31" s="150">
        <f>'Income statement Historical'!H34</f>
        <v>133436.04699999999</v>
      </c>
      <c r="I31" s="150">
        <f>'Cost Buildup'!I30</f>
        <v>119952.32502792343</v>
      </c>
      <c r="J31" s="150">
        <f>'Cost Buildup'!J30</f>
        <v>144667.71755649877</v>
      </c>
      <c r="K31" s="150">
        <f>'Cost Buildup'!K30</f>
        <v>174061.06036638084</v>
      </c>
      <c r="L31" s="150">
        <f>'Cost Buildup'!L30</f>
        <v>209153.12348275079</v>
      </c>
      <c r="M31" s="150">
        <f>'Cost Buildup'!M30</f>
        <v>251206.64737535774</v>
      </c>
      <c r="N31" s="150">
        <f>'Cost Buildup'!N30</f>
        <v>301777.23412740062</v>
      </c>
      <c r="O31" s="150">
        <f>'Cost Buildup'!O30</f>
        <v>362775.88074628828</v>
      </c>
      <c r="P31" s="150">
        <f>'Cost Buildup'!P30</f>
        <v>436546.023097647</v>
      </c>
      <c r="Q31" s="150">
        <f>'Cost Buildup'!Q30</f>
        <v>525958.50803205371</v>
      </c>
      <c r="R31" s="150">
        <f>'Cost Buildup'!R30</f>
        <v>634528.61848599452</v>
      </c>
    </row>
    <row r="33" spans="2:18" ht="15.75" thickBot="1">
      <c r="B33" s="53" t="s">
        <v>19</v>
      </c>
      <c r="C33" s="54"/>
      <c r="D33" s="190">
        <f>D29-D31</f>
        <v>95663.046999999147</v>
      </c>
      <c r="E33" s="190">
        <f t="shared" ref="E33:R33" si="15">E29-E31</f>
        <v>183843.20899999945</v>
      </c>
      <c r="F33" s="190">
        <f t="shared" si="15"/>
        <v>251100.99199999997</v>
      </c>
      <c r="G33" s="190">
        <f t="shared" si="15"/>
        <v>340366.3979999997</v>
      </c>
      <c r="H33" s="190">
        <f t="shared" si="15"/>
        <v>442563.66299999959</v>
      </c>
      <c r="I33" s="190">
        <f t="shared" si="15"/>
        <v>386902.99494001351</v>
      </c>
      <c r="J33" s="190">
        <f t="shared" si="15"/>
        <v>453974.10364421405</v>
      </c>
      <c r="K33" s="190">
        <f t="shared" si="15"/>
        <v>531611.2697011407</v>
      </c>
      <c r="L33" s="190">
        <f t="shared" si="15"/>
        <v>621941.26441991492</v>
      </c>
      <c r="M33" s="190">
        <f t="shared" si="15"/>
        <v>727546.38610747713</v>
      </c>
      <c r="N33" s="190">
        <f t="shared" si="15"/>
        <v>851541.42087056162</v>
      </c>
      <c r="O33" s="190">
        <f t="shared" si="15"/>
        <v>997668.23670491553</v>
      </c>
      <c r="P33" s="190">
        <f t="shared" si="15"/>
        <v>1170411.9297057297</v>
      </c>
      <c r="Q33" s="190">
        <f t="shared" si="15"/>
        <v>1375142.8955269393</v>
      </c>
      <c r="R33" s="190">
        <f t="shared" si="15"/>
        <v>1618289.8964795219</v>
      </c>
    </row>
    <row r="35" spans="2:18">
      <c r="B35" s="1" t="s">
        <v>111</v>
      </c>
      <c r="C35" s="1"/>
      <c r="D35" s="262">
        <v>8863.7919999999995</v>
      </c>
      <c r="E35" s="262">
        <v>0</v>
      </c>
      <c r="F35" s="262">
        <v>13852.334999999999</v>
      </c>
      <c r="G35" s="262">
        <v>34794.463000000003</v>
      </c>
      <c r="H35" s="262">
        <v>55985.964</v>
      </c>
      <c r="I35" s="162">
        <f>I36*I33</f>
        <v>29137.898045520164</v>
      </c>
      <c r="J35" s="162">
        <f t="shared" ref="J35:R35" si="16">J36*J33</f>
        <v>34189.063719556871</v>
      </c>
      <c r="K35" s="162">
        <f t="shared" si="16"/>
        <v>40035.965549460212</v>
      </c>
      <c r="L35" s="162">
        <f t="shared" si="16"/>
        <v>46838.771966030065</v>
      </c>
      <c r="M35" s="162">
        <f t="shared" si="16"/>
        <v>54791.957413183358</v>
      </c>
      <c r="N35" s="162">
        <f t="shared" si="16"/>
        <v>64130.098312396731</v>
      </c>
      <c r="O35" s="162">
        <f t="shared" si="16"/>
        <v>75134.997000653326</v>
      </c>
      <c r="P35" s="162">
        <f t="shared" si="16"/>
        <v>88144.428771644787</v>
      </c>
      <c r="Q35" s="162">
        <f t="shared" si="16"/>
        <v>103562.84136311148</v>
      </c>
      <c r="R35" s="162">
        <f t="shared" si="16"/>
        <v>121874.38874446166</v>
      </c>
    </row>
    <row r="36" spans="2:18">
      <c r="D36" s="56">
        <f>D35/D33</f>
        <v>9.2656383817672869E-2</v>
      </c>
      <c r="E36" s="56">
        <f t="shared" ref="E36:H36" si="17">E35/E33</f>
        <v>0</v>
      </c>
      <c r="F36" s="56">
        <f t="shared" si="17"/>
        <v>5.5166388988220329E-2</v>
      </c>
      <c r="G36" s="56">
        <f t="shared" si="17"/>
        <v>0.10222649240481146</v>
      </c>
      <c r="H36" s="56">
        <f t="shared" si="17"/>
        <v>0.12650375229744076</v>
      </c>
      <c r="I36" s="57">
        <f>AVERAGE(D36:H36)</f>
        <v>7.5310603501629089E-2</v>
      </c>
      <c r="J36" s="57">
        <f>I36</f>
        <v>7.5310603501629089E-2</v>
      </c>
      <c r="K36" s="57">
        <f t="shared" ref="K36:R36" si="18">J36</f>
        <v>7.5310603501629089E-2</v>
      </c>
      <c r="L36" s="57">
        <f t="shared" si="18"/>
        <v>7.5310603501629089E-2</v>
      </c>
      <c r="M36" s="57">
        <f t="shared" si="18"/>
        <v>7.5310603501629089E-2</v>
      </c>
      <c r="N36" s="57">
        <f t="shared" si="18"/>
        <v>7.5310603501629089E-2</v>
      </c>
      <c r="O36" s="57">
        <f t="shared" si="18"/>
        <v>7.5310603501629089E-2</v>
      </c>
      <c r="P36" s="57">
        <f t="shared" si="18"/>
        <v>7.5310603501629089E-2</v>
      </c>
      <c r="Q36" s="57">
        <f t="shared" si="18"/>
        <v>7.5310603501629089E-2</v>
      </c>
      <c r="R36" s="57">
        <f t="shared" si="18"/>
        <v>7.5310603501629089E-2</v>
      </c>
    </row>
    <row r="37" spans="2:18">
      <c r="D37" s="328"/>
      <c r="E37" s="328"/>
      <c r="F37" s="328"/>
      <c r="G37" s="328"/>
      <c r="H37" s="328"/>
      <c r="I37" s="328"/>
      <c r="J37" s="328"/>
      <c r="K37" s="328"/>
    </row>
    <row r="38" spans="2:18">
      <c r="D38" s="328"/>
      <c r="E38" s="328"/>
      <c r="F38" s="328"/>
      <c r="G38" s="328"/>
      <c r="H38" s="328"/>
      <c r="I38" s="328"/>
      <c r="J38" s="328"/>
      <c r="K38" s="328"/>
    </row>
    <row r="39" spans="2:18">
      <c r="B39" s="30"/>
      <c r="C39" s="30"/>
      <c r="D39" s="30"/>
      <c r="E39" s="30"/>
      <c r="F39" s="30"/>
      <c r="G39" s="30"/>
      <c r="H39" s="30"/>
      <c r="I39" s="30"/>
      <c r="J39" s="30"/>
      <c r="K39" s="30"/>
      <c r="L39" s="30"/>
      <c r="M39" s="30"/>
      <c r="N39" s="30"/>
      <c r="O39" s="30"/>
      <c r="P39" s="30"/>
      <c r="Q39" s="30"/>
      <c r="R39" s="30"/>
    </row>
    <row r="41" spans="2:18">
      <c r="B41" s="34">
        <v>1000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0"/>
  <sheetViews>
    <sheetView showGridLines="0" workbookViewId="0">
      <pane xSplit="2" ySplit="9" topLeftCell="C10" activePane="bottomRight" state="frozen"/>
      <selection pane="topRight" activeCell="C1" sqref="C1"/>
      <selection pane="bottomLeft" activeCell="A10" sqref="A10"/>
      <selection pane="bottomRight" activeCell="I7" sqref="I7"/>
    </sheetView>
  </sheetViews>
  <sheetFormatPr defaultRowHeight="15"/>
  <cols>
    <col min="1" max="1" width="1.85546875" customWidth="1"/>
    <col min="2" max="2" width="29" bestFit="1" customWidth="1"/>
    <col min="4" max="5" width="11" bestFit="1" customWidth="1"/>
    <col min="6" max="17" width="12.28515625" bestFit="1" customWidth="1"/>
    <col min="18" max="18" width="12.42578125" bestFit="1" customWidth="1"/>
  </cols>
  <sheetData>
    <row r="1" spans="2:18" ht="5.0999999999999996" customHeight="1">
      <c r="B1" s="30"/>
      <c r="C1" s="30"/>
      <c r="D1" s="30"/>
      <c r="E1" s="30"/>
      <c r="F1" s="30"/>
      <c r="G1" s="30"/>
      <c r="H1" s="30"/>
      <c r="I1" s="30"/>
      <c r="J1" s="30"/>
      <c r="K1" s="30"/>
      <c r="L1" s="30"/>
      <c r="M1" s="30"/>
      <c r="N1" s="30"/>
      <c r="O1" s="30"/>
      <c r="P1" s="30"/>
      <c r="Q1" s="30"/>
      <c r="R1" s="30"/>
    </row>
    <row r="3" spans="2:18">
      <c r="B3" s="170" t="s">
        <v>260</v>
      </c>
    </row>
    <row r="4" spans="2:18">
      <c r="B4" s="171" t="s">
        <v>262</v>
      </c>
    </row>
    <row r="5" spans="2:18">
      <c r="B5" s="25" t="s">
        <v>261</v>
      </c>
      <c r="C5" s="29"/>
      <c r="D5" s="29"/>
      <c r="E5" s="29"/>
      <c r="F5" s="29"/>
      <c r="G5" s="29"/>
      <c r="H5" s="29"/>
      <c r="I5" s="29"/>
      <c r="J5" s="29"/>
      <c r="K5" s="29"/>
      <c r="L5" s="29"/>
      <c r="M5" s="29"/>
      <c r="N5" s="29"/>
      <c r="O5" s="29"/>
      <c r="P5" s="29"/>
      <c r="Q5" s="29"/>
      <c r="R5" s="29"/>
    </row>
    <row r="7" spans="2:18">
      <c r="B7" s="1" t="s">
        <v>103</v>
      </c>
    </row>
    <row r="8" spans="2:18">
      <c r="B8" s="32" t="s">
        <v>0</v>
      </c>
      <c r="C8" s="32"/>
      <c r="D8" s="32">
        <v>2020</v>
      </c>
      <c r="E8" s="32">
        <f>D8+1</f>
        <v>2021</v>
      </c>
      <c r="F8" s="32">
        <f t="shared" ref="F8:R8" si="0">E8+1</f>
        <v>2022</v>
      </c>
      <c r="G8" s="32">
        <f t="shared" si="0"/>
        <v>2023</v>
      </c>
      <c r="H8" s="32">
        <f t="shared" si="0"/>
        <v>2024</v>
      </c>
      <c r="I8" s="32">
        <f t="shared" si="0"/>
        <v>2025</v>
      </c>
      <c r="J8" s="32">
        <f t="shared" si="0"/>
        <v>2026</v>
      </c>
      <c r="K8" s="32">
        <f t="shared" si="0"/>
        <v>2027</v>
      </c>
      <c r="L8" s="32">
        <f t="shared" si="0"/>
        <v>2028</v>
      </c>
      <c r="M8" s="32">
        <f t="shared" si="0"/>
        <v>2029</v>
      </c>
      <c r="N8" s="32">
        <f t="shared" si="0"/>
        <v>2030</v>
      </c>
      <c r="O8" s="32">
        <f t="shared" si="0"/>
        <v>2031</v>
      </c>
      <c r="P8" s="32">
        <f t="shared" si="0"/>
        <v>2032</v>
      </c>
      <c r="Q8" s="32">
        <f t="shared" si="0"/>
        <v>2033</v>
      </c>
      <c r="R8" s="32">
        <f t="shared" si="0"/>
        <v>2034</v>
      </c>
    </row>
    <row r="9" spans="2:18">
      <c r="B9" s="168"/>
      <c r="C9" s="151"/>
      <c r="D9" s="169" t="s">
        <v>73</v>
      </c>
      <c r="E9" s="169" t="s">
        <v>73</v>
      </c>
      <c r="F9" s="169" t="s">
        <v>73</v>
      </c>
      <c r="G9" s="169" t="s">
        <v>73</v>
      </c>
      <c r="H9" s="169" t="s">
        <v>73</v>
      </c>
      <c r="I9" s="169" t="s">
        <v>79</v>
      </c>
      <c r="J9" s="169" t="s">
        <v>79</v>
      </c>
      <c r="K9" s="169" t="s">
        <v>79</v>
      </c>
      <c r="L9" s="169" t="s">
        <v>79</v>
      </c>
      <c r="M9" s="169" t="s">
        <v>79</v>
      </c>
      <c r="N9" s="169" t="s">
        <v>79</v>
      </c>
      <c r="O9" s="169" t="s">
        <v>79</v>
      </c>
      <c r="P9" s="169" t="s">
        <v>79</v>
      </c>
      <c r="Q9" s="169" t="s">
        <v>79</v>
      </c>
      <c r="R9" s="169" t="s">
        <v>79</v>
      </c>
    </row>
    <row r="11" spans="2:18">
      <c r="B11" s="55" t="s">
        <v>101</v>
      </c>
      <c r="C11" s="25"/>
      <c r="D11" s="263">
        <f>'Revenue Buildup'!D12</f>
        <v>1497860.9999999993</v>
      </c>
      <c r="E11" s="263">
        <f>'Revenue Buildup'!E12</f>
        <v>1613364.7999999996</v>
      </c>
      <c r="F11" s="263">
        <f>'Revenue Buildup'!F12</f>
        <v>1575363.2</v>
      </c>
      <c r="G11" s="263">
        <f>'Revenue Buildup'!G12</f>
        <v>1861787.9999999995</v>
      </c>
      <c r="H11" s="263">
        <f>'Revenue Buildup'!H12</f>
        <v>2360377.1999999997</v>
      </c>
      <c r="I11" s="263">
        <f>'Revenue Buildup'!I12</f>
        <v>2768702.9719339074</v>
      </c>
      <c r="J11" s="263">
        <f>'Revenue Buildup'!J12</f>
        <v>3242148.501308708</v>
      </c>
      <c r="K11" s="263">
        <f>'Revenue Buildup'!K12</f>
        <v>3793857.7313623894</v>
      </c>
      <c r="L11" s="263">
        <f>'Revenue Buildup'!L12</f>
        <v>4440035.5020245984</v>
      </c>
      <c r="M11" s="263">
        <f>'Revenue Buildup'!M12</f>
        <v>5200488.8929056376</v>
      </c>
      <c r="N11" s="263">
        <f>'Revenue Buildup'!N12</f>
        <v>6099288.4389730319</v>
      </c>
      <c r="O11" s="263">
        <f>'Revenue Buildup'!O12</f>
        <v>7165580.9980989909</v>
      </c>
      <c r="P11" s="263">
        <f>'Revenue Buildup'!P12</f>
        <v>8434589.4642331339</v>
      </c>
      <c r="Q11" s="263">
        <f>'Revenue Buildup'!Q12</f>
        <v>9948839.7233990394</v>
      </c>
      <c r="R11" s="263">
        <f>'Revenue Buildup'!R12</f>
        <v>11759662.534830462</v>
      </c>
    </row>
    <row r="13" spans="2:18">
      <c r="B13" s="37" t="s">
        <v>40</v>
      </c>
      <c r="D13" s="195">
        <f>'Balance Sheet Historical '!D27</f>
        <v>8007844.6100000003</v>
      </c>
      <c r="E13" s="195">
        <f>'Balance Sheet Historical '!E27</f>
        <v>9599400.1799999997</v>
      </c>
      <c r="F13" s="195">
        <f>'Balance Sheet Historical '!F27</f>
        <v>10913657.932</v>
      </c>
      <c r="G13" s="195">
        <f>'Balance Sheet Historical '!G27</f>
        <v>12108321.521</v>
      </c>
      <c r="H13" s="195">
        <f>'Balance Sheet Historical '!H27</f>
        <v>14435799.524</v>
      </c>
      <c r="I13" s="191">
        <f>I$11*I14</f>
        <v>17079190.778274283</v>
      </c>
      <c r="J13" s="191">
        <f t="shared" ref="J13:R13" si="1">J11*J14</f>
        <v>19999715.876589634</v>
      </c>
      <c r="K13" s="191">
        <f t="shared" si="1"/>
        <v>23403023.233767048</v>
      </c>
      <c r="L13" s="191">
        <f t="shared" si="1"/>
        <v>27389075.018192004</v>
      </c>
      <c r="M13" s="191">
        <f t="shared" si="1"/>
        <v>32080054.394636612</v>
      </c>
      <c r="N13" s="191">
        <f t="shared" si="1"/>
        <v>37624444.339791693</v>
      </c>
      <c r="O13" s="191">
        <f t="shared" si="1"/>
        <v>44202041.946820699</v>
      </c>
      <c r="P13" s="191">
        <f t="shared" si="1"/>
        <v>52030125.317284763</v>
      </c>
      <c r="Q13" s="191">
        <f t="shared" si="1"/>
        <v>61371022.23707293</v>
      </c>
      <c r="R13" s="191">
        <f t="shared" si="1"/>
        <v>72541374.772392318</v>
      </c>
    </row>
    <row r="14" spans="2:18">
      <c r="B14" s="37"/>
      <c r="D14" s="39">
        <f>D13/D$11</f>
        <v>5.3461867356183275</v>
      </c>
      <c r="E14" s="39">
        <f t="shared" ref="E14:H14" si="2">E13/E$11</f>
        <v>5.9499253857528078</v>
      </c>
      <c r="F14" s="39">
        <f t="shared" si="2"/>
        <v>6.9277090717873824</v>
      </c>
      <c r="G14" s="39">
        <f t="shared" si="2"/>
        <v>6.5035984338710975</v>
      </c>
      <c r="H14" s="39">
        <f t="shared" si="2"/>
        <v>6.1158866998037444</v>
      </c>
      <c r="I14" s="40">
        <f>AVERAGE(D14:H14)</f>
        <v>6.1686612653666719</v>
      </c>
      <c r="J14" s="40">
        <f>I14</f>
        <v>6.1686612653666719</v>
      </c>
      <c r="K14" s="40">
        <f t="shared" ref="K14:R14" si="3">J14</f>
        <v>6.1686612653666719</v>
      </c>
      <c r="L14" s="40">
        <f t="shared" si="3"/>
        <v>6.1686612653666719</v>
      </c>
      <c r="M14" s="40">
        <f t="shared" si="3"/>
        <v>6.1686612653666719</v>
      </c>
      <c r="N14" s="40">
        <f t="shared" si="3"/>
        <v>6.1686612653666719</v>
      </c>
      <c r="O14" s="40">
        <f t="shared" si="3"/>
        <v>6.1686612653666719</v>
      </c>
      <c r="P14" s="40">
        <f t="shared" si="3"/>
        <v>6.1686612653666719</v>
      </c>
      <c r="Q14" s="40">
        <f t="shared" si="3"/>
        <v>6.1686612653666719</v>
      </c>
      <c r="R14" s="40">
        <f t="shared" si="3"/>
        <v>6.1686612653666719</v>
      </c>
    </row>
    <row r="15" spans="2:18">
      <c r="B15" s="37"/>
    </row>
    <row r="16" spans="2:18">
      <c r="B16" s="37" t="s">
        <v>35</v>
      </c>
      <c r="D16" s="195">
        <f>'Balance Sheet Historical '!D28</f>
        <v>2138517.821</v>
      </c>
      <c r="E16" s="195">
        <f>'Balance Sheet Historical '!E28</f>
        <v>1438999.3929999999</v>
      </c>
      <c r="F16" s="195">
        <f>'Balance Sheet Historical '!F28</f>
        <v>1616026.828</v>
      </c>
      <c r="G16" s="195">
        <f>'Balance Sheet Historical '!G28</f>
        <v>1890618.0730000001</v>
      </c>
      <c r="H16" s="195">
        <f>'Balance Sheet Historical '!H28</f>
        <v>2074280.0079999999</v>
      </c>
      <c r="I16" s="191">
        <f>I$11*I17</f>
        <v>2901450.0811798293</v>
      </c>
      <c r="J16" s="191">
        <f t="shared" ref="J16:R16" si="4">J$11*J17</f>
        <v>3397595.2377977832</v>
      </c>
      <c r="K16" s="191">
        <f t="shared" si="4"/>
        <v>3975756.4947305932</v>
      </c>
      <c r="L16" s="191">
        <f t="shared" si="4"/>
        <v>4652915.6425877949</v>
      </c>
      <c r="M16" s="191">
        <f t="shared" si="4"/>
        <v>5449829.4231816418</v>
      </c>
      <c r="N16" s="191">
        <f t="shared" si="4"/>
        <v>6391722.4475821974</v>
      </c>
      <c r="O16" s="191">
        <f t="shared" si="4"/>
        <v>7509139.0370824002</v>
      </c>
      <c r="P16" s="191">
        <f t="shared" si="4"/>
        <v>8838990.8682129122</v>
      </c>
      <c r="Q16" s="191">
        <f t="shared" si="4"/>
        <v>10425842.755873028</v>
      </c>
      <c r="R16" s="191">
        <f t="shared" si="4"/>
        <v>12323486.543050431</v>
      </c>
    </row>
    <row r="17" spans="2:18">
      <c r="B17" s="37"/>
      <c r="D17" s="39">
        <f>D16/D$11</f>
        <v>1.4277144681649372</v>
      </c>
      <c r="E17" s="39">
        <f t="shared" ref="E17:H17" si="5">E16/E$11</f>
        <v>0.89192437630968535</v>
      </c>
      <c r="F17" s="39">
        <f t="shared" si="5"/>
        <v>1.0258122241271093</v>
      </c>
      <c r="G17" s="39">
        <f t="shared" si="5"/>
        <v>1.0154851535190905</v>
      </c>
      <c r="H17" s="39">
        <f t="shared" si="5"/>
        <v>0.87879174904756752</v>
      </c>
      <c r="I17" s="40">
        <f>AVERAGE(D17:H17)</f>
        <v>1.0479455942336782</v>
      </c>
      <c r="J17" s="40">
        <f>I17</f>
        <v>1.0479455942336782</v>
      </c>
      <c r="K17" s="40">
        <f t="shared" ref="K17:R17" si="6">J17</f>
        <v>1.0479455942336782</v>
      </c>
      <c r="L17" s="40">
        <f t="shared" si="6"/>
        <v>1.0479455942336782</v>
      </c>
      <c r="M17" s="40">
        <f t="shared" si="6"/>
        <v>1.0479455942336782</v>
      </c>
      <c r="N17" s="40">
        <f t="shared" si="6"/>
        <v>1.0479455942336782</v>
      </c>
      <c r="O17" s="40">
        <f t="shared" si="6"/>
        <v>1.0479455942336782</v>
      </c>
      <c r="P17" s="40">
        <f t="shared" si="6"/>
        <v>1.0479455942336782</v>
      </c>
      <c r="Q17" s="40">
        <f t="shared" si="6"/>
        <v>1.0479455942336782</v>
      </c>
      <c r="R17" s="40">
        <f t="shared" si="6"/>
        <v>1.0479455942336782</v>
      </c>
    </row>
    <row r="18" spans="2:18">
      <c r="B18" s="37"/>
    </row>
    <row r="19" spans="2:18">
      <c r="B19" s="37" t="s">
        <v>41</v>
      </c>
      <c r="D19" s="150">
        <f>'Balance Sheet Historical '!D29</f>
        <v>1454862.5090000001</v>
      </c>
      <c r="E19" s="150">
        <f>'Balance Sheet Historical '!E29</f>
        <v>2031800.4129999999</v>
      </c>
      <c r="F19" s="150">
        <f>'Balance Sheet Historical '!F29</f>
        <v>2288271.963</v>
      </c>
      <c r="G19" s="150">
        <f>'Balance Sheet Historical '!G29</f>
        <v>2388673.665</v>
      </c>
      <c r="H19" s="150">
        <f>'Balance Sheet Historical '!H29</f>
        <v>2813183.3</v>
      </c>
      <c r="I19" s="163">
        <f t="shared" ref="I19:R19" si="7">I$11*I20</f>
        <v>3409946.5070784232</v>
      </c>
      <c r="J19" s="163">
        <f t="shared" si="7"/>
        <v>3993044.0605353182</v>
      </c>
      <c r="K19" s="163">
        <f t="shared" si="7"/>
        <v>4672531.5248877732</v>
      </c>
      <c r="L19" s="163">
        <f t="shared" si="7"/>
        <v>5468366.8507993324</v>
      </c>
      <c r="M19" s="163">
        <f t="shared" si="7"/>
        <v>6404944.5228417357</v>
      </c>
      <c r="N19" s="163">
        <f t="shared" si="7"/>
        <v>7511909.9155705245</v>
      </c>
      <c r="O19" s="163">
        <f t="shared" si="7"/>
        <v>8825160.4246981144</v>
      </c>
      <c r="P19" s="163">
        <f t="shared" si="7"/>
        <v>10388076.718143826</v>
      </c>
      <c r="Q19" s="163">
        <f t="shared" si="7"/>
        <v>12253033.860324636</v>
      </c>
      <c r="R19" s="163">
        <f t="shared" si="7"/>
        <v>14483251.035432257</v>
      </c>
    </row>
    <row r="20" spans="2:18">
      <c r="B20" s="37"/>
      <c r="D20" s="39">
        <f>D19/D$11</f>
        <v>0.97129340372704864</v>
      </c>
      <c r="E20" s="39">
        <f t="shared" ref="E20:H20" si="8">E19/E$11</f>
        <v>1.2593558586377989</v>
      </c>
      <c r="F20" s="39">
        <f t="shared" si="8"/>
        <v>1.4525361281766642</v>
      </c>
      <c r="G20" s="39">
        <f t="shared" si="8"/>
        <v>1.2829998179169704</v>
      </c>
      <c r="H20" s="39">
        <f t="shared" si="8"/>
        <v>1.1918363302272197</v>
      </c>
      <c r="I20" s="40">
        <f>AVERAGE(D20:H20)</f>
        <v>1.2316043077371404</v>
      </c>
      <c r="J20" s="40">
        <f>I20</f>
        <v>1.2316043077371404</v>
      </c>
      <c r="K20" s="40">
        <f t="shared" ref="K20:R20" si="9">J20</f>
        <v>1.2316043077371404</v>
      </c>
      <c r="L20" s="40">
        <f t="shared" si="9"/>
        <v>1.2316043077371404</v>
      </c>
      <c r="M20" s="40">
        <f t="shared" si="9"/>
        <v>1.2316043077371404</v>
      </c>
      <c r="N20" s="40">
        <f t="shared" si="9"/>
        <v>1.2316043077371404</v>
      </c>
      <c r="O20" s="40">
        <f t="shared" si="9"/>
        <v>1.2316043077371404</v>
      </c>
      <c r="P20" s="40">
        <f t="shared" si="9"/>
        <v>1.2316043077371404</v>
      </c>
      <c r="Q20" s="40">
        <f t="shared" si="9"/>
        <v>1.2316043077371404</v>
      </c>
      <c r="R20" s="40">
        <f t="shared" si="9"/>
        <v>1.2316043077371404</v>
      </c>
    </row>
    <row r="21" spans="2:18">
      <c r="B21" s="37"/>
    </row>
    <row r="22" spans="2:18">
      <c r="B22" s="37" t="s">
        <v>36</v>
      </c>
      <c r="D22" s="150">
        <f>'Balance Sheet Historical '!D30</f>
        <v>874149.11499999999</v>
      </c>
      <c r="E22" s="150">
        <f>'Balance Sheet Historical '!E30</f>
        <v>996164.06200000003</v>
      </c>
      <c r="F22" s="150">
        <f>'Balance Sheet Historical '!F30</f>
        <v>828083.30599999998</v>
      </c>
      <c r="G22" s="150">
        <f>'Balance Sheet Historical '!G30</f>
        <v>985446.29200000002</v>
      </c>
      <c r="H22" s="150">
        <f>'Balance Sheet Historical '!H30</f>
        <v>1617044.9350000001</v>
      </c>
      <c r="I22" s="163">
        <f t="shared" ref="I22:R22" si="10">I$11*I23</f>
        <v>1628589.478268523</v>
      </c>
      <c r="J22" s="163">
        <f t="shared" si="10"/>
        <v>1907076.7033299035</v>
      </c>
      <c r="K22" s="163">
        <f t="shared" si="10"/>
        <v>2231599.7223164639</v>
      </c>
      <c r="L22" s="163">
        <f t="shared" si="10"/>
        <v>2611690.4467672794</v>
      </c>
      <c r="M22" s="163">
        <f t="shared" si="10"/>
        <v>3058999.6755493851</v>
      </c>
      <c r="N22" s="163">
        <f t="shared" si="10"/>
        <v>3587686.0310869939</v>
      </c>
      <c r="O22" s="163">
        <f t="shared" si="10"/>
        <v>4214894.0993239386</v>
      </c>
      <c r="P22" s="163">
        <f t="shared" si="10"/>
        <v>4961342.4748736573</v>
      </c>
      <c r="Q22" s="163">
        <f t="shared" si="10"/>
        <v>5852045.473549041</v>
      </c>
      <c r="R22" s="163">
        <f t="shared" si="10"/>
        <v>6917196.5596714849</v>
      </c>
    </row>
    <row r="23" spans="2:18">
      <c r="B23" s="37"/>
      <c r="D23" s="39">
        <f>D22/D$11</f>
        <v>0.58359828782510548</v>
      </c>
      <c r="E23" s="39">
        <f t="shared" ref="E23:H23" si="11">E22/E$11</f>
        <v>0.61744502049381533</v>
      </c>
      <c r="F23" s="39">
        <f t="shared" si="11"/>
        <v>0.52564596278496289</v>
      </c>
      <c r="G23" s="39">
        <f t="shared" si="11"/>
        <v>0.52930102245798138</v>
      </c>
      <c r="H23" s="39">
        <f t="shared" si="11"/>
        <v>0.68507903524911196</v>
      </c>
      <c r="I23" s="40">
        <f>AVERAGE(D23:H23)</f>
        <v>0.58821386576219548</v>
      </c>
      <c r="J23" s="40">
        <f>I23</f>
        <v>0.58821386576219548</v>
      </c>
      <c r="K23" s="40">
        <f t="shared" ref="K23:R23" si="12">J23</f>
        <v>0.58821386576219548</v>
      </c>
      <c r="L23" s="40">
        <f t="shared" si="12"/>
        <v>0.58821386576219548</v>
      </c>
      <c r="M23" s="40">
        <f t="shared" si="12"/>
        <v>0.58821386576219548</v>
      </c>
      <c r="N23" s="40">
        <f t="shared" si="12"/>
        <v>0.58821386576219548</v>
      </c>
      <c r="O23" s="40">
        <f t="shared" si="12"/>
        <v>0.58821386576219548</v>
      </c>
      <c r="P23" s="40">
        <f t="shared" si="12"/>
        <v>0.58821386576219548</v>
      </c>
      <c r="Q23" s="40">
        <f t="shared" si="12"/>
        <v>0.58821386576219548</v>
      </c>
      <c r="R23" s="40">
        <f t="shared" si="12"/>
        <v>0.58821386576219548</v>
      </c>
    </row>
    <row r="24" spans="2:18">
      <c r="B24" s="37"/>
    </row>
    <row r="25" spans="2:18">
      <c r="B25" s="37" t="s">
        <v>26</v>
      </c>
      <c r="D25" s="150">
        <f>'Balance Sheet Historical '!D13</f>
        <v>4434726.2980000004</v>
      </c>
      <c r="E25" s="150">
        <f>'Balance Sheet Historical '!E13</f>
        <v>5365786.165</v>
      </c>
      <c r="F25" s="150">
        <f>'Balance Sheet Historical '!F13</f>
        <v>5670977.1799999997</v>
      </c>
      <c r="G25" s="150">
        <f>'Balance Sheet Historical '!G13</f>
        <v>6395519.6710000001</v>
      </c>
      <c r="H25" s="150">
        <f>'Balance Sheet Historical '!H13</f>
        <v>8271625.0499999998</v>
      </c>
      <c r="I25" s="163">
        <f t="shared" ref="I25:R25" si="13">I$11*I26</f>
        <v>9317154.6000485122</v>
      </c>
      <c r="J25" s="163">
        <f t="shared" si="13"/>
        <v>10910379.021953791</v>
      </c>
      <c r="K25" s="163">
        <f t="shared" si="13"/>
        <v>12766974.056809912</v>
      </c>
      <c r="L25" s="163">
        <f t="shared" si="13"/>
        <v>14941471.736555319</v>
      </c>
      <c r="M25" s="163">
        <f t="shared" si="13"/>
        <v>17500526.239978917</v>
      </c>
      <c r="N25" s="163">
        <f t="shared" si="13"/>
        <v>20525138.995501049</v>
      </c>
      <c r="O25" s="163">
        <f t="shared" si="13"/>
        <v>24113394.118194323</v>
      </c>
      <c r="P25" s="163">
        <f t="shared" si="13"/>
        <v>28383822.613990542</v>
      </c>
      <c r="Q25" s="163">
        <f t="shared" si="13"/>
        <v>33479531.294491448</v>
      </c>
      <c r="R25" s="163">
        <f t="shared" si="13"/>
        <v>39573256.861454792</v>
      </c>
    </row>
    <row r="26" spans="2:18">
      <c r="B26" s="37"/>
      <c r="D26" s="39">
        <f>D25/D$11</f>
        <v>2.9607061656588978</v>
      </c>
      <c r="E26" s="39">
        <f t="shared" ref="E26:H26" si="14">E25/E$11</f>
        <v>3.3258356479576108</v>
      </c>
      <c r="F26" s="39">
        <f t="shared" si="14"/>
        <v>3.5997903086729459</v>
      </c>
      <c r="G26" s="39">
        <f t="shared" si="14"/>
        <v>3.4351492602809781</v>
      </c>
      <c r="H26" s="39">
        <f t="shared" si="14"/>
        <v>3.504365764082114</v>
      </c>
      <c r="I26" s="40">
        <f>AVERAGE(D26:H26)</f>
        <v>3.3651694293305092</v>
      </c>
      <c r="J26" s="40">
        <f>I26</f>
        <v>3.3651694293305092</v>
      </c>
      <c r="K26" s="40">
        <f t="shared" ref="K26:R26" si="15">J26</f>
        <v>3.3651694293305092</v>
      </c>
      <c r="L26" s="40">
        <f t="shared" si="15"/>
        <v>3.3651694293305092</v>
      </c>
      <c r="M26" s="40">
        <f t="shared" si="15"/>
        <v>3.3651694293305092</v>
      </c>
      <c r="N26" s="40">
        <f t="shared" si="15"/>
        <v>3.3651694293305092</v>
      </c>
      <c r="O26" s="40">
        <f t="shared" si="15"/>
        <v>3.3651694293305092</v>
      </c>
      <c r="P26" s="40">
        <f t="shared" si="15"/>
        <v>3.3651694293305092</v>
      </c>
      <c r="Q26" s="40">
        <f t="shared" si="15"/>
        <v>3.3651694293305092</v>
      </c>
      <c r="R26" s="40">
        <f t="shared" si="15"/>
        <v>3.3651694293305092</v>
      </c>
    </row>
    <row r="27" spans="2:18">
      <c r="B27" s="37"/>
    </row>
    <row r="28" spans="2:18">
      <c r="B28" s="37" t="s">
        <v>102</v>
      </c>
      <c r="C28" s="1"/>
      <c r="D28" s="150">
        <f>'Balance Sheet Historical '!D14</f>
        <v>7062461.1220000004</v>
      </c>
      <c r="E28" s="150">
        <f>'Balance Sheet Historical '!E14</f>
        <v>7918013.9179999996</v>
      </c>
      <c r="F28" s="150">
        <f>'Balance Sheet Historical '!F14</f>
        <v>9203081.3900000006</v>
      </c>
      <c r="G28" s="150">
        <f>'Balance Sheet Historical '!G14</f>
        <v>10838663.147</v>
      </c>
      <c r="H28" s="150">
        <f>'Balance Sheet Historical '!H14</f>
        <v>12607762.028999999</v>
      </c>
      <c r="I28" s="163">
        <f t="shared" ref="I28:R28" si="16">I$11*I29</f>
        <v>14744857.587267794</v>
      </c>
      <c r="J28" s="163">
        <f t="shared" si="16"/>
        <v>17266213.968477577</v>
      </c>
      <c r="K28" s="163">
        <f t="shared" si="16"/>
        <v>20204367.35986162</v>
      </c>
      <c r="L28" s="163">
        <f t="shared" si="16"/>
        <v>23645617.3968121</v>
      </c>
      <c r="M28" s="163">
        <f t="shared" si="16"/>
        <v>27695447.611161102</v>
      </c>
      <c r="N28" s="163">
        <f t="shared" si="16"/>
        <v>32482046.766291067</v>
      </c>
      <c r="O28" s="163">
        <f t="shared" si="16"/>
        <v>38160637.821399346</v>
      </c>
      <c r="P28" s="163">
        <f t="shared" si="16"/>
        <v>44918801.950907037</v>
      </c>
      <c r="Q28" s="163">
        <f t="shared" si="16"/>
        <v>52983012.756188616</v>
      </c>
      <c r="R28" s="163">
        <f t="shared" si="16"/>
        <v>62626634.604032531</v>
      </c>
    </row>
    <row r="29" spans="2:18">
      <c r="B29" s="37"/>
      <c r="D29" s="39">
        <f>D28/D$11</f>
        <v>4.7150310489424614</v>
      </c>
      <c r="E29" s="39">
        <f t="shared" ref="E29:H29" si="17">E28/E$11</f>
        <v>4.9077641448480849</v>
      </c>
      <c r="F29" s="39">
        <f t="shared" si="17"/>
        <v>5.8418791234935545</v>
      </c>
      <c r="G29" s="39">
        <f t="shared" si="17"/>
        <v>5.8216419629947138</v>
      </c>
      <c r="H29" s="39">
        <f t="shared" si="17"/>
        <v>5.3414183245796476</v>
      </c>
      <c r="I29" s="40">
        <f>AVERAGE(D29:H29)</f>
        <v>5.3255469209716919</v>
      </c>
      <c r="J29" s="40">
        <f>I29</f>
        <v>5.3255469209716919</v>
      </c>
      <c r="K29" s="40">
        <f t="shared" ref="K29:R29" si="18">J29</f>
        <v>5.3255469209716919</v>
      </c>
      <c r="L29" s="40">
        <f t="shared" si="18"/>
        <v>5.3255469209716919</v>
      </c>
      <c r="M29" s="40">
        <f t="shared" si="18"/>
        <v>5.3255469209716919</v>
      </c>
      <c r="N29" s="40">
        <f t="shared" si="18"/>
        <v>5.3255469209716919</v>
      </c>
      <c r="O29" s="40">
        <f t="shared" si="18"/>
        <v>5.3255469209716919</v>
      </c>
      <c r="P29" s="40">
        <f t="shared" si="18"/>
        <v>5.3255469209716919</v>
      </c>
      <c r="Q29" s="40">
        <f t="shared" si="18"/>
        <v>5.3255469209716919</v>
      </c>
      <c r="R29" s="40">
        <f t="shared" si="18"/>
        <v>5.3255469209716919</v>
      </c>
    </row>
    <row r="30" spans="2:18">
      <c r="B30" s="37"/>
    </row>
    <row r="31" spans="2:18">
      <c r="B31" s="37" t="s">
        <v>29</v>
      </c>
      <c r="C31" s="1"/>
      <c r="D31" s="150">
        <f>'Balance Sheet Historical '!D16</f>
        <v>893119.11</v>
      </c>
      <c r="E31" s="150">
        <f>'Balance Sheet Historical '!E16</f>
        <v>869447.777</v>
      </c>
      <c r="F31" s="150">
        <f>'Balance Sheet Historical '!F16</f>
        <v>713988.01</v>
      </c>
      <c r="G31" s="150">
        <f>'Balance Sheet Historical '!G16</f>
        <v>875453.87</v>
      </c>
      <c r="H31" s="150">
        <f>'Balance Sheet Historical '!H16</f>
        <v>976409.78799999994</v>
      </c>
      <c r="I31" s="163">
        <f t="shared" ref="I31:R31" si="19">I$11*I32</f>
        <v>1368999.8951969459</v>
      </c>
      <c r="J31" s="163">
        <f t="shared" si="19"/>
        <v>1603097.5527159255</v>
      </c>
      <c r="K31" s="163">
        <f t="shared" si="19"/>
        <v>1875893.1128677304</v>
      </c>
      <c r="L31" s="163">
        <f t="shared" si="19"/>
        <v>2195399.1448554322</v>
      </c>
      <c r="M31" s="163">
        <f t="shared" si="19"/>
        <v>2571409.36443169</v>
      </c>
      <c r="N31" s="163">
        <f t="shared" si="19"/>
        <v>3015825.5755032101</v>
      </c>
      <c r="O31" s="163">
        <f t="shared" si="19"/>
        <v>3543059.596808536</v>
      </c>
      <c r="P31" s="163">
        <f t="shared" si="19"/>
        <v>4170527.5754079935</v>
      </c>
      <c r="Q31" s="163">
        <f t="shared" si="19"/>
        <v>4919256.661595271</v>
      </c>
      <c r="R31" s="163">
        <f t="shared" si="19"/>
        <v>5814627.6220050445</v>
      </c>
    </row>
    <row r="32" spans="2:18">
      <c r="D32" s="39">
        <f>D31/D$11</f>
        <v>0.59626301105376289</v>
      </c>
      <c r="E32" s="39">
        <f t="shared" ref="E32:H32" si="20">E31/E$11</f>
        <v>0.53890340052045282</v>
      </c>
      <c r="F32" s="39">
        <f t="shared" si="20"/>
        <v>0.45322120638593055</v>
      </c>
      <c r="G32" s="39">
        <f t="shared" si="20"/>
        <v>0.47022210369816553</v>
      </c>
      <c r="H32" s="39">
        <f t="shared" si="20"/>
        <v>0.41366684443486407</v>
      </c>
      <c r="I32" s="40">
        <f>AVERAGE(D32:H32)</f>
        <v>0.49445531321863506</v>
      </c>
      <c r="J32" s="40">
        <f>I32</f>
        <v>0.49445531321863506</v>
      </c>
      <c r="K32" s="40">
        <f t="shared" ref="K32:R32" si="21">J32</f>
        <v>0.49445531321863506</v>
      </c>
      <c r="L32" s="40">
        <f t="shared" si="21"/>
        <v>0.49445531321863506</v>
      </c>
      <c r="M32" s="40">
        <f t="shared" si="21"/>
        <v>0.49445531321863506</v>
      </c>
      <c r="N32" s="40">
        <f t="shared" si="21"/>
        <v>0.49445531321863506</v>
      </c>
      <c r="O32" s="40">
        <f t="shared" si="21"/>
        <v>0.49445531321863506</v>
      </c>
      <c r="P32" s="40">
        <f t="shared" si="21"/>
        <v>0.49445531321863506</v>
      </c>
      <c r="Q32" s="40">
        <f t="shared" si="21"/>
        <v>0.49445531321863506</v>
      </c>
      <c r="R32" s="40">
        <f t="shared" si="21"/>
        <v>0.49445531321863506</v>
      </c>
    </row>
    <row r="34" spans="2:18">
      <c r="B34" s="1" t="s">
        <v>28</v>
      </c>
      <c r="D34" s="150">
        <f>'Balance Sheet Historical '!D15</f>
        <v>104086.576</v>
      </c>
      <c r="E34" s="150">
        <f>'Balance Sheet Historical '!E15</f>
        <v>108092.58100000001</v>
      </c>
      <c r="F34" s="150">
        <f>'Balance Sheet Historical '!F15</f>
        <v>106054.107</v>
      </c>
      <c r="G34" s="150">
        <f>'Balance Sheet Historical '!G15</f>
        <v>109690.03599999999</v>
      </c>
      <c r="H34" s="150">
        <f>'Balance Sheet Historical '!H15</f>
        <v>132402.76300000001</v>
      </c>
      <c r="I34" s="163">
        <f t="shared" ref="I34" si="22">I$11*I35</f>
        <v>176543.12729089486</v>
      </c>
      <c r="J34" s="163">
        <f t="shared" ref="J34" si="23">J$11*J35</f>
        <v>206731.83124541779</v>
      </c>
      <c r="K34" s="163">
        <f t="shared" ref="K34" si="24">K$11*K35</f>
        <v>241910.92911769534</v>
      </c>
      <c r="L34" s="163">
        <f t="shared" ref="L34" si="25">L$11*L35</f>
        <v>283113.70369299862</v>
      </c>
      <c r="M34" s="163">
        <f t="shared" ref="M34" si="26">M$11*M35</f>
        <v>331603.13038340665</v>
      </c>
      <c r="N34" s="163">
        <f t="shared" ref="N34" si="27">N$11*N35</f>
        <v>388914.03887697484</v>
      </c>
      <c r="O34" s="163">
        <f t="shared" ref="O34" si="28">O$11*O35</f>
        <v>456904.94469220575</v>
      </c>
      <c r="P34" s="163">
        <f t="shared" ref="P34" si="29">P$11*P35</f>
        <v>537821.79472666699</v>
      </c>
      <c r="Q34" s="163">
        <f t="shared" ref="Q34" si="30">Q$11*Q35</f>
        <v>634376.20268017519</v>
      </c>
      <c r="R34" s="163">
        <f t="shared" ref="R34" si="31">R$11*R35</f>
        <v>749841.21475999942</v>
      </c>
    </row>
    <row r="35" spans="2:18">
      <c r="D35" s="39">
        <f>D34/D$11</f>
        <v>6.949014361145664E-2</v>
      </c>
      <c r="E35" s="39">
        <f t="shared" ref="E35:H35" si="32">E34/E$11</f>
        <v>6.699822693540855E-2</v>
      </c>
      <c r="F35" s="39">
        <f t="shared" si="32"/>
        <v>6.7320416650585718E-2</v>
      </c>
      <c r="G35" s="39">
        <f t="shared" si="32"/>
        <v>5.8916501771415448E-2</v>
      </c>
      <c r="H35" s="39">
        <f t="shared" si="32"/>
        <v>5.6093900161380994E-2</v>
      </c>
      <c r="I35" s="40">
        <f>AVERAGE(D35:H35)</f>
        <v>6.3763837826049469E-2</v>
      </c>
      <c r="J35" s="40">
        <f>I35</f>
        <v>6.3763837826049469E-2</v>
      </c>
      <c r="K35" s="40">
        <f t="shared" ref="K35:R35" si="33">J35</f>
        <v>6.3763837826049469E-2</v>
      </c>
      <c r="L35" s="40">
        <f t="shared" si="33"/>
        <v>6.3763837826049469E-2</v>
      </c>
      <c r="M35" s="40">
        <f t="shared" si="33"/>
        <v>6.3763837826049469E-2</v>
      </c>
      <c r="N35" s="40">
        <f t="shared" si="33"/>
        <v>6.3763837826049469E-2</v>
      </c>
      <c r="O35" s="40">
        <f t="shared" si="33"/>
        <v>6.3763837826049469E-2</v>
      </c>
      <c r="P35" s="40">
        <f t="shared" si="33"/>
        <v>6.3763837826049469E-2</v>
      </c>
      <c r="Q35" s="40">
        <f t="shared" si="33"/>
        <v>6.3763837826049469E-2</v>
      </c>
      <c r="R35" s="40">
        <f t="shared" si="33"/>
        <v>6.3763837826049469E-2</v>
      </c>
    </row>
    <row r="37" spans="2:18">
      <c r="B37" s="1" t="s">
        <v>39</v>
      </c>
      <c r="D37" s="150">
        <f>'Balance Sheet Historical '!D26</f>
        <v>67947.695999999996</v>
      </c>
      <c r="E37" s="150">
        <f>'Balance Sheet Historical '!E26</f>
        <v>95883.392999999996</v>
      </c>
      <c r="F37" s="150">
        <f>'Balance Sheet Historical '!F26</f>
        <v>59808.934999999998</v>
      </c>
      <c r="G37" s="150">
        <f>'Balance Sheet Historical '!G26</f>
        <v>66867.525999999998</v>
      </c>
      <c r="H37" s="150">
        <f>'Balance Sheet Historical '!H26</f>
        <v>138884.16200000001</v>
      </c>
      <c r="I37" s="163">
        <f t="shared" ref="I37" si="34">I$11*I38</f>
        <v>131521.47250413863</v>
      </c>
      <c r="J37" s="163">
        <f t="shared" ref="J37" si="35">J$11*J38</f>
        <v>154011.5170502972</v>
      </c>
      <c r="K37" s="163">
        <f t="shared" ref="K37" si="36">K$11*K38</f>
        <v>180219.31581612196</v>
      </c>
      <c r="L37" s="163">
        <f t="shared" ref="L37" si="37">L$11*L38</f>
        <v>210914.64599723322</v>
      </c>
      <c r="M37" s="163">
        <f t="shared" ref="M37" si="38">M$11*M38</f>
        <v>247038.40168836087</v>
      </c>
      <c r="N37" s="163">
        <f t="shared" ref="N37" si="39">N$11*N38</f>
        <v>289734.00355794886</v>
      </c>
      <c r="O37" s="163">
        <f t="shared" ref="O37" si="40">O$11*O38</f>
        <v>340386.01242927107</v>
      </c>
      <c r="P37" s="163">
        <f t="shared" ref="P37" si="41">P$11*P38</f>
        <v>400667.61857411574</v>
      </c>
      <c r="Q37" s="163">
        <f t="shared" ref="Q37" si="42">Q$11*Q38</f>
        <v>472598.92570388166</v>
      </c>
      <c r="R37" s="163">
        <f t="shared" ref="R37" si="43">R$11*R38</f>
        <v>558618.29470726429</v>
      </c>
    </row>
    <row r="38" spans="2:18">
      <c r="D38" s="39">
        <f>D37/D$11</f>
        <v>4.5363151854544599E-2</v>
      </c>
      <c r="E38" s="39">
        <f t="shared" ref="E38" si="44">E37/E$11</f>
        <v>5.9430696021135467E-2</v>
      </c>
      <c r="F38" s="39">
        <f t="shared" ref="F38" si="45">F37/F$11</f>
        <v>3.7965172094917538E-2</v>
      </c>
      <c r="G38" s="39">
        <f t="shared" ref="G38" si="46">G37/G$11</f>
        <v>3.5915757325753528E-2</v>
      </c>
      <c r="H38" s="39">
        <f t="shared" ref="H38" si="47">H37/H$11</f>
        <v>5.8839816788604817E-2</v>
      </c>
      <c r="I38" s="40">
        <f>AVERAGE(D38:H38)</f>
        <v>4.7502918816991188E-2</v>
      </c>
      <c r="J38" s="40">
        <f>I38</f>
        <v>4.7502918816991188E-2</v>
      </c>
      <c r="K38" s="40">
        <f t="shared" ref="K38:R38" si="48">J38</f>
        <v>4.7502918816991188E-2</v>
      </c>
      <c r="L38" s="40">
        <f t="shared" si="48"/>
        <v>4.7502918816991188E-2</v>
      </c>
      <c r="M38" s="40">
        <f t="shared" si="48"/>
        <v>4.7502918816991188E-2</v>
      </c>
      <c r="N38" s="40">
        <f t="shared" si="48"/>
        <v>4.7502918816991188E-2</v>
      </c>
      <c r="O38" s="40">
        <f t="shared" si="48"/>
        <v>4.7502918816991188E-2</v>
      </c>
      <c r="P38" s="40">
        <f t="shared" si="48"/>
        <v>4.7502918816991188E-2</v>
      </c>
      <c r="Q38" s="40">
        <f t="shared" si="48"/>
        <v>4.7502918816991188E-2</v>
      </c>
      <c r="R38" s="40">
        <f t="shared" si="48"/>
        <v>4.7502918816991188E-2</v>
      </c>
    </row>
    <row r="40" spans="2:18">
      <c r="B40" s="30"/>
      <c r="C40" s="30"/>
      <c r="D40" s="30"/>
      <c r="E40" s="30"/>
      <c r="F40" s="30"/>
      <c r="G40" s="30"/>
      <c r="H40" s="30"/>
      <c r="I40" s="30"/>
      <c r="J40" s="30"/>
      <c r="K40" s="30"/>
      <c r="L40" s="30"/>
      <c r="M40" s="30"/>
      <c r="N40" s="30"/>
      <c r="O40" s="30"/>
      <c r="P40" s="30"/>
      <c r="Q40" s="30"/>
      <c r="R40" s="3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9"/>
  <sheetViews>
    <sheetView showGridLines="0" workbookViewId="0">
      <pane xSplit="2" ySplit="10" topLeftCell="H11" activePane="bottomRight" state="frozen"/>
      <selection pane="topRight" activeCell="C1" sqref="C1"/>
      <selection pane="bottomLeft" activeCell="A11" sqref="A11"/>
      <selection pane="bottomRight" activeCell="B22" sqref="B22:Q22"/>
    </sheetView>
  </sheetViews>
  <sheetFormatPr defaultRowHeight="15"/>
  <cols>
    <col min="1" max="1" width="1.85546875" customWidth="1"/>
    <col min="2" max="2" width="51.42578125" bestFit="1" customWidth="1"/>
    <col min="3" max="4" width="12.28515625" bestFit="1" customWidth="1"/>
    <col min="5" max="16" width="12.42578125" bestFit="1" customWidth="1"/>
    <col min="17" max="17" width="13.42578125" bestFit="1" customWidth="1"/>
  </cols>
  <sheetData>
    <row r="1" spans="2:17" ht="5.0999999999999996" customHeight="1">
      <c r="B1" s="30"/>
      <c r="C1" s="30"/>
      <c r="D1" s="30"/>
      <c r="E1" s="30"/>
      <c r="F1" s="30"/>
      <c r="G1" s="30"/>
      <c r="H1" s="30"/>
      <c r="I1" s="30"/>
      <c r="J1" s="30"/>
      <c r="K1" s="30"/>
      <c r="L1" s="30"/>
      <c r="M1" s="30"/>
      <c r="N1" s="30"/>
      <c r="O1" s="30"/>
      <c r="P1" s="30"/>
      <c r="Q1" s="30"/>
    </row>
    <row r="3" spans="2:17">
      <c r="B3" s="170" t="s">
        <v>260</v>
      </c>
    </row>
    <row r="4" spans="2:17">
      <c r="B4" s="171" t="s">
        <v>262</v>
      </c>
    </row>
    <row r="5" spans="2:17">
      <c r="B5" s="25" t="s">
        <v>261</v>
      </c>
      <c r="C5" s="29"/>
      <c r="D5" s="29"/>
      <c r="E5" s="29"/>
      <c r="F5" s="29"/>
      <c r="G5" s="29"/>
      <c r="H5" s="29"/>
      <c r="I5" s="29"/>
      <c r="J5" s="29"/>
      <c r="K5" s="29"/>
      <c r="L5" s="29"/>
      <c r="M5" s="29"/>
      <c r="N5" s="29"/>
      <c r="O5" s="29"/>
      <c r="P5" s="29"/>
      <c r="Q5" s="29"/>
    </row>
    <row r="7" spans="2:17">
      <c r="B7" s="1" t="s">
        <v>103</v>
      </c>
    </row>
    <row r="9" spans="2:17">
      <c r="B9" s="32" t="s">
        <v>0</v>
      </c>
      <c r="C9" s="32">
        <v>2020</v>
      </c>
      <c r="D9" s="32">
        <v>2021</v>
      </c>
      <c r="E9" s="32">
        <v>2022</v>
      </c>
      <c r="F9" s="32">
        <v>2023</v>
      </c>
      <c r="G9" s="32">
        <v>2024</v>
      </c>
      <c r="H9" s="32">
        <v>2025</v>
      </c>
      <c r="I9" s="32">
        <v>2026</v>
      </c>
      <c r="J9" s="32">
        <v>2027</v>
      </c>
      <c r="K9" s="32">
        <v>2028</v>
      </c>
      <c r="L9" s="32">
        <v>2029</v>
      </c>
      <c r="M9" s="32">
        <v>2030</v>
      </c>
      <c r="N9" s="32">
        <v>2031</v>
      </c>
      <c r="O9" s="32">
        <v>2032</v>
      </c>
      <c r="P9" s="32">
        <v>2033</v>
      </c>
      <c r="Q9" s="32">
        <v>2034</v>
      </c>
    </row>
    <row r="10" spans="2:17">
      <c r="B10" s="168"/>
      <c r="C10" s="168" t="s">
        <v>73</v>
      </c>
      <c r="D10" s="168" t="s">
        <v>73</v>
      </c>
      <c r="E10" s="168" t="s">
        <v>73</v>
      </c>
      <c r="F10" s="168" t="s">
        <v>73</v>
      </c>
      <c r="G10" s="168" t="s">
        <v>73</v>
      </c>
      <c r="H10" s="168" t="s">
        <v>79</v>
      </c>
      <c r="I10" s="168" t="s">
        <v>79</v>
      </c>
      <c r="J10" s="168" t="s">
        <v>79</v>
      </c>
      <c r="K10" s="168" t="s">
        <v>79</v>
      </c>
      <c r="L10" s="168" t="s">
        <v>79</v>
      </c>
      <c r="M10" s="168" t="s">
        <v>79</v>
      </c>
      <c r="N10" s="168" t="s">
        <v>79</v>
      </c>
      <c r="O10" s="168" t="s">
        <v>79</v>
      </c>
      <c r="P10" s="168" t="s">
        <v>79</v>
      </c>
      <c r="Q10" s="168" t="s">
        <v>79</v>
      </c>
    </row>
    <row r="13" spans="2:17">
      <c r="B13" s="1" t="s">
        <v>23</v>
      </c>
    </row>
    <row r="14" spans="2:17">
      <c r="B14" t="s">
        <v>24</v>
      </c>
      <c r="C14" s="195">
        <f>'Balance Sheet Historical '!D11</f>
        <v>353119.34100000001</v>
      </c>
      <c r="D14" s="195">
        <f>'Balance Sheet Historical '!E11</f>
        <v>463022.049</v>
      </c>
      <c r="E14" s="195">
        <f>'Balance Sheet Historical '!F11</f>
        <v>602287.06900000002</v>
      </c>
      <c r="F14" s="195">
        <f>'Balance Sheet Historical '!G11</f>
        <v>686489.41299999994</v>
      </c>
      <c r="G14" s="195">
        <f>'Balance Sheet Historical '!H11</f>
        <v>899430.23100000003</v>
      </c>
      <c r="H14" s="191">
        <f>H35-SUM(H15:H20)</f>
        <v>1701510.4462514408</v>
      </c>
      <c r="I14" s="191">
        <f t="shared" ref="I14:Q14" si="0">I35-SUM(I15:I20)</f>
        <v>2021126.1688326113</v>
      </c>
      <c r="J14" s="191">
        <f t="shared" si="0"/>
        <v>2404347.2684266865</v>
      </c>
      <c r="K14" s="191">
        <f t="shared" si="0"/>
        <v>2861268.7250699997</v>
      </c>
      <c r="L14" s="191">
        <f t="shared" si="0"/>
        <v>3404008.632017158</v>
      </c>
      <c r="M14" s="191">
        <f t="shared" si="0"/>
        <v>4047133.6376011968</v>
      </c>
      <c r="N14" s="191">
        <f t="shared" si="0"/>
        <v>4808156.5034467876</v>
      </c>
      <c r="O14" s="191">
        <f t="shared" si="0"/>
        <v>5708122.1449079067</v>
      </c>
      <c r="P14" s="191">
        <f t="shared" si="0"/>
        <v>6772302.0365702659</v>
      </c>
      <c r="Q14" s="191">
        <f t="shared" si="0"/>
        <v>8031020.816622749</v>
      </c>
    </row>
    <row r="15" spans="2:17">
      <c r="B15" t="s">
        <v>25</v>
      </c>
      <c r="C15" s="195">
        <f>'Balance Sheet Historical '!D12</f>
        <v>925409.87600000005</v>
      </c>
      <c r="D15" s="195">
        <f>'Balance Sheet Historical '!E12</f>
        <v>1012683.253</v>
      </c>
      <c r="E15" s="195">
        <f>'Balance Sheet Historical '!F12</f>
        <v>1228972.763</v>
      </c>
      <c r="F15" s="195">
        <f>'Balance Sheet Historical '!G12</f>
        <v>678075.51500000001</v>
      </c>
      <c r="G15" s="195">
        <f>'Balance Sheet Historical '!H12</f>
        <v>728258.79500000004</v>
      </c>
      <c r="H15" s="191">
        <f>G15</f>
        <v>728258.79500000004</v>
      </c>
      <c r="I15" s="191">
        <f t="shared" ref="I15:Q15" si="1">H15</f>
        <v>728258.79500000004</v>
      </c>
      <c r="J15" s="191">
        <f t="shared" si="1"/>
        <v>728258.79500000004</v>
      </c>
      <c r="K15" s="191">
        <f t="shared" si="1"/>
        <v>728258.79500000004</v>
      </c>
      <c r="L15" s="191">
        <f t="shared" si="1"/>
        <v>728258.79500000004</v>
      </c>
      <c r="M15" s="191">
        <f t="shared" si="1"/>
        <v>728258.79500000004</v>
      </c>
      <c r="N15" s="191">
        <f t="shared" si="1"/>
        <v>728258.79500000004</v>
      </c>
      <c r="O15" s="191">
        <f t="shared" si="1"/>
        <v>728258.79500000004</v>
      </c>
      <c r="P15" s="191">
        <f t="shared" si="1"/>
        <v>728258.79500000004</v>
      </c>
      <c r="Q15" s="191">
        <f t="shared" si="1"/>
        <v>728258.79500000004</v>
      </c>
    </row>
    <row r="16" spans="2:17">
      <c r="B16" t="s">
        <v>26</v>
      </c>
      <c r="C16" s="195">
        <f>'Balance Sheet Historical '!D13</f>
        <v>4434726.2980000004</v>
      </c>
      <c r="D16" s="195">
        <f>'Balance Sheet Historical '!E13</f>
        <v>5365786.165</v>
      </c>
      <c r="E16" s="195">
        <f>'Balance Sheet Historical '!F13</f>
        <v>5670977.1799999997</v>
      </c>
      <c r="F16" s="195">
        <f>'Balance Sheet Historical '!G13</f>
        <v>6395519.6710000001</v>
      </c>
      <c r="G16" s="195">
        <f>'Balance Sheet Historical '!H13</f>
        <v>8271625.0499999998</v>
      </c>
      <c r="H16" s="191">
        <f>'Balance sheet '!I25</f>
        <v>9317154.6000485122</v>
      </c>
      <c r="I16" s="191">
        <f>'Balance sheet '!J25</f>
        <v>10910379.021953791</v>
      </c>
      <c r="J16" s="191">
        <f>'Balance sheet '!K25</f>
        <v>12766974.056809912</v>
      </c>
      <c r="K16" s="191">
        <f>'Balance sheet '!L25</f>
        <v>14941471.736555319</v>
      </c>
      <c r="L16" s="191">
        <f>'Balance sheet '!M25</f>
        <v>17500526.239978917</v>
      </c>
      <c r="M16" s="191">
        <f>'Balance sheet '!N25</f>
        <v>20525138.995501049</v>
      </c>
      <c r="N16" s="191">
        <f>'Balance sheet '!O25</f>
        <v>24113394.118194323</v>
      </c>
      <c r="O16" s="191">
        <f>'Balance sheet '!P25</f>
        <v>28383822.613990542</v>
      </c>
      <c r="P16" s="191">
        <f>'Balance sheet '!Q25</f>
        <v>33479531.294491448</v>
      </c>
      <c r="Q16" s="191">
        <f>'Balance sheet '!R25</f>
        <v>39573256.861454792</v>
      </c>
    </row>
    <row r="17" spans="2:17">
      <c r="B17" t="s">
        <v>27</v>
      </c>
      <c r="C17" s="195">
        <f>'Balance Sheet Historical '!D14</f>
        <v>7062461.1220000004</v>
      </c>
      <c r="D17" s="195">
        <f>'Balance Sheet Historical '!E14</f>
        <v>7918013.9179999996</v>
      </c>
      <c r="E17" s="195">
        <f>'Balance Sheet Historical '!F14</f>
        <v>9203081.3900000006</v>
      </c>
      <c r="F17" s="195">
        <f>'Balance Sheet Historical '!G14</f>
        <v>10838663.147</v>
      </c>
      <c r="G17" s="195">
        <f>'Balance Sheet Historical '!H14</f>
        <v>12607762.028999999</v>
      </c>
      <c r="H17" s="191">
        <f>'Balance sheet '!I28</f>
        <v>14744857.587267794</v>
      </c>
      <c r="I17" s="191">
        <f>'Balance sheet '!J28</f>
        <v>17266213.968477577</v>
      </c>
      <c r="J17" s="191">
        <f>'Balance sheet '!K28</f>
        <v>20204367.35986162</v>
      </c>
      <c r="K17" s="191">
        <f>'Balance sheet '!L28</f>
        <v>23645617.3968121</v>
      </c>
      <c r="L17" s="191">
        <f>'Balance sheet '!M28</f>
        <v>27695447.611161102</v>
      </c>
      <c r="M17" s="191">
        <f>'Balance sheet '!N28</f>
        <v>32482046.766291067</v>
      </c>
      <c r="N17" s="191">
        <f>'Balance sheet '!O28</f>
        <v>38160637.821399346</v>
      </c>
      <c r="O17" s="191">
        <f>'Balance sheet '!P28</f>
        <v>44918801.950907037</v>
      </c>
      <c r="P17" s="191">
        <f>'Balance sheet '!Q28</f>
        <v>52983012.756188616</v>
      </c>
      <c r="Q17" s="191">
        <f>'Balance sheet '!R28</f>
        <v>62626634.604032531</v>
      </c>
    </row>
    <row r="18" spans="2:17">
      <c r="B18" t="s">
        <v>28</v>
      </c>
      <c r="C18" s="195">
        <f>'Balance Sheet Historical '!D15</f>
        <v>104086.576</v>
      </c>
      <c r="D18" s="195">
        <f>'Balance Sheet Historical '!E15</f>
        <v>108092.58100000001</v>
      </c>
      <c r="E18" s="195">
        <f>'Balance Sheet Historical '!F15</f>
        <v>106054.107</v>
      </c>
      <c r="F18" s="195">
        <f>'Balance Sheet Historical '!G15</f>
        <v>109690.03599999999</v>
      </c>
      <c r="G18" s="195">
        <f>'Balance Sheet Historical '!H15</f>
        <v>132402.76300000001</v>
      </c>
      <c r="H18" s="191">
        <f>FAS!H52/1000</f>
        <v>184378.81743500003</v>
      </c>
      <c r="I18" s="191">
        <f>FAS!I52/1000</f>
        <v>236614.75214217493</v>
      </c>
      <c r="J18" s="191">
        <f>FAS!J52/1000</f>
        <v>289111.86652288586</v>
      </c>
      <c r="K18" s="191">
        <f>FAS!K52/1000</f>
        <v>341871.4664755002</v>
      </c>
      <c r="L18" s="191">
        <f>FAS!L52/1000</f>
        <v>394894.86442787776</v>
      </c>
      <c r="M18" s="191">
        <f>FAS!M52/1000</f>
        <v>448183.37937001715</v>
      </c>
      <c r="N18" s="191">
        <f>FAS!N52/1000</f>
        <v>501738.3368868673</v>
      </c>
      <c r="O18" s="191">
        <f>FAS!O52/1000</f>
        <v>555561.06919130159</v>
      </c>
      <c r="P18" s="191">
        <f>FAS!P52/1000</f>
        <v>609652.91515725804</v>
      </c>
      <c r="Q18" s="191">
        <f>FAS!Q52/1000</f>
        <v>664015.22035304422</v>
      </c>
    </row>
    <row r="19" spans="2:17">
      <c r="B19" t="s">
        <v>29</v>
      </c>
      <c r="C19" s="195">
        <f>'Balance Sheet Historical '!D16</f>
        <v>893119.11</v>
      </c>
      <c r="D19" s="195">
        <f>'Balance Sheet Historical '!E16</f>
        <v>869447.777</v>
      </c>
      <c r="E19" s="195">
        <f>'Balance Sheet Historical '!F16</f>
        <v>713988.01</v>
      </c>
      <c r="F19" s="195">
        <f>'Balance Sheet Historical '!G16</f>
        <v>875453.87</v>
      </c>
      <c r="G19" s="195">
        <f>'Balance Sheet Historical '!H16</f>
        <v>976409.78799999994</v>
      </c>
      <c r="H19" s="191">
        <f>'Balance sheet '!I31</f>
        <v>1368999.8951969459</v>
      </c>
      <c r="I19" s="191">
        <f>'Balance sheet '!J31</f>
        <v>1603097.5527159255</v>
      </c>
      <c r="J19" s="191">
        <f>'Balance sheet '!K31</f>
        <v>1875893.1128677304</v>
      </c>
      <c r="K19" s="191">
        <f>'Balance sheet '!L31</f>
        <v>2195399.1448554322</v>
      </c>
      <c r="L19" s="191">
        <f>'Balance sheet '!M31</f>
        <v>2571409.36443169</v>
      </c>
      <c r="M19" s="191">
        <f>'Balance sheet '!N31</f>
        <v>3015825.5755032101</v>
      </c>
      <c r="N19" s="191">
        <f>'Balance sheet '!O31</f>
        <v>3543059.596808536</v>
      </c>
      <c r="O19" s="191">
        <f>'Balance sheet '!P31</f>
        <v>4170527.5754079935</v>
      </c>
      <c r="P19" s="191">
        <f>'Balance sheet '!Q31</f>
        <v>4919256.661595271</v>
      </c>
      <c r="Q19" s="191">
        <f>'Balance sheet '!R31</f>
        <v>5814627.6220050445</v>
      </c>
    </row>
    <row r="20" spans="2:17">
      <c r="B20" t="s">
        <v>42</v>
      </c>
      <c r="C20" s="195">
        <f>'Balance Sheet Historical '!D17</f>
        <v>0</v>
      </c>
      <c r="D20" s="195">
        <f>'Balance Sheet Historical '!E17</f>
        <v>1076.703</v>
      </c>
      <c r="E20" s="195">
        <f>'Balance Sheet Historical '!F17</f>
        <v>1013.318</v>
      </c>
      <c r="F20" s="195">
        <f>'Balance Sheet Historical '!G17</f>
        <v>1013.318</v>
      </c>
      <c r="G20" s="195">
        <f>'Balance Sheet Historical '!H17</f>
        <v>24741.618999999999</v>
      </c>
      <c r="H20" s="191">
        <f>G20</f>
        <v>24741.618999999999</v>
      </c>
      <c r="I20" s="191">
        <f t="shared" ref="I20:Q20" si="2">H20</f>
        <v>24741.618999999999</v>
      </c>
      <c r="J20" s="191">
        <f t="shared" si="2"/>
        <v>24741.618999999999</v>
      </c>
      <c r="K20" s="191">
        <f t="shared" si="2"/>
        <v>24741.618999999999</v>
      </c>
      <c r="L20" s="191">
        <f t="shared" si="2"/>
        <v>24741.618999999999</v>
      </c>
      <c r="M20" s="191">
        <f t="shared" si="2"/>
        <v>24741.618999999999</v>
      </c>
      <c r="N20" s="191">
        <f t="shared" si="2"/>
        <v>24741.618999999999</v>
      </c>
      <c r="O20" s="191">
        <f t="shared" si="2"/>
        <v>24741.618999999999</v>
      </c>
      <c r="P20" s="191">
        <f t="shared" si="2"/>
        <v>24741.618999999999</v>
      </c>
      <c r="Q20" s="191">
        <f t="shared" si="2"/>
        <v>24741.618999999999</v>
      </c>
    </row>
    <row r="22" spans="2:17">
      <c r="B22" s="8" t="s">
        <v>30</v>
      </c>
      <c r="C22" s="192">
        <f>SUM(C14:C20)</f>
        <v>13772922.323000001</v>
      </c>
      <c r="D22" s="192">
        <f t="shared" ref="D22:Q22" si="3">SUM(D14:D20)</f>
        <v>15738122.446</v>
      </c>
      <c r="E22" s="192">
        <f t="shared" si="3"/>
        <v>17526373.837000001</v>
      </c>
      <c r="F22" s="192">
        <f t="shared" si="3"/>
        <v>19584904.969999999</v>
      </c>
      <c r="G22" s="192">
        <f t="shared" si="3"/>
        <v>23640630.274999995</v>
      </c>
      <c r="H22" s="192">
        <f t="shared" si="3"/>
        <v>28069901.760199688</v>
      </c>
      <c r="I22" s="192">
        <f t="shared" si="3"/>
        <v>32790431.87812208</v>
      </c>
      <c r="J22" s="192">
        <f t="shared" si="3"/>
        <v>38293694.078488834</v>
      </c>
      <c r="K22" s="192">
        <f t="shared" si="3"/>
        <v>44738628.883768357</v>
      </c>
      <c r="L22" s="192">
        <f t="shared" si="3"/>
        <v>52319287.126016743</v>
      </c>
      <c r="M22" s="192">
        <f t="shared" si="3"/>
        <v>61271328.768266544</v>
      </c>
      <c r="N22" s="192">
        <f t="shared" si="3"/>
        <v>71879986.790735856</v>
      </c>
      <c r="O22" s="192">
        <f t="shared" si="3"/>
        <v>84489835.768404782</v>
      </c>
      <c r="P22" s="192">
        <f t="shared" si="3"/>
        <v>99516756.07800287</v>
      </c>
      <c r="Q22" s="192">
        <f t="shared" si="3"/>
        <v>117462555.53846817</v>
      </c>
    </row>
    <row r="25" spans="2:17">
      <c r="B25" s="1" t="s">
        <v>31</v>
      </c>
    </row>
    <row r="26" spans="2:17">
      <c r="B26" t="s">
        <v>32</v>
      </c>
      <c r="C26" s="195">
        <f>'Balance Sheet Historical '!D23</f>
        <v>12947.648999999999</v>
      </c>
      <c r="D26" s="195">
        <f>'Balance Sheet Historical '!E23</f>
        <v>13834.103999999999</v>
      </c>
      <c r="E26" s="195">
        <f>'Balance Sheet Historical '!F23</f>
        <v>13899.662</v>
      </c>
      <c r="F26" s="195">
        <f>'Balance Sheet Historical '!G23</f>
        <v>13967.75</v>
      </c>
      <c r="G26" s="195">
        <f>'Balance Sheet Historical '!H23</f>
        <v>14046.79</v>
      </c>
      <c r="H26" s="191">
        <f>G26</f>
        <v>14046.79</v>
      </c>
      <c r="I26" s="191">
        <f t="shared" ref="I26:Q26" si="4">H26</f>
        <v>14046.79</v>
      </c>
      <c r="J26" s="191">
        <f t="shared" si="4"/>
        <v>14046.79</v>
      </c>
      <c r="K26" s="191">
        <f t="shared" si="4"/>
        <v>14046.79</v>
      </c>
      <c r="L26" s="191">
        <f t="shared" si="4"/>
        <v>14046.79</v>
      </c>
      <c r="M26" s="191">
        <f t="shared" si="4"/>
        <v>14046.79</v>
      </c>
      <c r="N26" s="191">
        <f t="shared" si="4"/>
        <v>14046.79</v>
      </c>
      <c r="O26" s="191">
        <f t="shared" si="4"/>
        <v>14046.79</v>
      </c>
      <c r="P26" s="191">
        <f t="shared" si="4"/>
        <v>14046.79</v>
      </c>
      <c r="Q26" s="191">
        <f t="shared" si="4"/>
        <v>14046.79</v>
      </c>
    </row>
    <row r="27" spans="2:17">
      <c r="B27" t="s">
        <v>33</v>
      </c>
      <c r="C27" s="195">
        <f>'Balance Sheet Historical '!D24</f>
        <v>34.857999999999997</v>
      </c>
      <c r="D27" s="195">
        <f>'Balance Sheet Historical '!E24</f>
        <v>31.01</v>
      </c>
      <c r="E27" s="195">
        <f>'Balance Sheet Historical '!F24</f>
        <v>2664.1410000000001</v>
      </c>
      <c r="F27" s="195">
        <f>'Balance Sheet Historical '!G24</f>
        <v>7608.8590000000004</v>
      </c>
      <c r="G27" s="195">
        <f>'Balance Sheet Historical '!H24</f>
        <v>14053.18</v>
      </c>
      <c r="H27" s="191">
        <f>G27</f>
        <v>14053.18</v>
      </c>
      <c r="I27" s="191">
        <f t="shared" ref="I27:Q27" si="5">H27</f>
        <v>14053.18</v>
      </c>
      <c r="J27" s="191">
        <f t="shared" si="5"/>
        <v>14053.18</v>
      </c>
      <c r="K27" s="191">
        <f t="shared" si="5"/>
        <v>14053.18</v>
      </c>
      <c r="L27" s="191">
        <f t="shared" si="5"/>
        <v>14053.18</v>
      </c>
      <c r="M27" s="191">
        <f t="shared" si="5"/>
        <v>14053.18</v>
      </c>
      <c r="N27" s="191">
        <f t="shared" si="5"/>
        <v>14053.18</v>
      </c>
      <c r="O27" s="191">
        <f t="shared" si="5"/>
        <v>14053.18</v>
      </c>
      <c r="P27" s="191">
        <f t="shared" si="5"/>
        <v>14053.18</v>
      </c>
      <c r="Q27" s="191">
        <f t="shared" si="5"/>
        <v>14053.18</v>
      </c>
    </row>
    <row r="28" spans="2:17">
      <c r="B28" t="s">
        <v>34</v>
      </c>
      <c r="C28" s="195">
        <f>'Balance Sheet Historical '!D25</f>
        <v>1216618.0649999999</v>
      </c>
      <c r="D28" s="195">
        <f>'Balance Sheet Historical '!E25</f>
        <v>1562009.8910000001</v>
      </c>
      <c r="E28" s="195">
        <f>'Balance Sheet Historical '!F25</f>
        <v>1803961.07</v>
      </c>
      <c r="F28" s="195">
        <f>'Balance Sheet Historical '!G25</f>
        <v>2123401.284</v>
      </c>
      <c r="G28" s="195">
        <f>'Balance Sheet Historical '!H25</f>
        <v>2533338.3760000002</v>
      </c>
      <c r="H28" s="191">
        <f>G28+'Income Statement'!I33-'Income Statement'!I35</f>
        <v>2891103.4728944935</v>
      </c>
      <c r="I28" s="191">
        <f>H28+'Income Statement'!J33-'Income Statement'!J35</f>
        <v>3310888.5128191509</v>
      </c>
      <c r="J28" s="191">
        <f>I28+'Income Statement'!K33-'Income Statement'!K35</f>
        <v>3802463.8169708312</v>
      </c>
      <c r="K28" s="191">
        <f>J28+'Income Statement'!L33-'Income Statement'!L35</f>
        <v>4377566.309424716</v>
      </c>
      <c r="L28" s="191">
        <f>K28+'Income Statement'!M33-'Income Statement'!M35</f>
        <v>5050320.7381190099</v>
      </c>
      <c r="M28" s="191">
        <f>L28+'Income Statement'!N33-'Income Statement'!N35</f>
        <v>5837732.0606771745</v>
      </c>
      <c r="N28" s="191">
        <f>M28+'Income Statement'!O33-'Income Statement'!O35</f>
        <v>6760265.3003814369</v>
      </c>
      <c r="O28" s="191">
        <f>N28+'Income Statement'!P33-'Income Statement'!P35</f>
        <v>7842532.8013155218</v>
      </c>
      <c r="P28" s="191">
        <f>O28+'Income Statement'!Q33-'Income Statement'!Q35</f>
        <v>9114112.8554793503</v>
      </c>
      <c r="Q28" s="191">
        <f>P28+'Income Statement'!R33-'Income Statement'!R35</f>
        <v>10610528.363214411</v>
      </c>
    </row>
    <row r="29" spans="2:17">
      <c r="B29" t="s">
        <v>39</v>
      </c>
      <c r="C29" s="195">
        <f>'Balance Sheet Historical '!D26</f>
        <v>67947.695999999996</v>
      </c>
      <c r="D29" s="195">
        <f>'Balance Sheet Historical '!E26</f>
        <v>95883.392999999996</v>
      </c>
      <c r="E29" s="195">
        <f>'Balance Sheet Historical '!F26</f>
        <v>59808.934999999998</v>
      </c>
      <c r="F29" s="195">
        <f>'Balance Sheet Historical '!G26</f>
        <v>66867.525999999998</v>
      </c>
      <c r="G29" s="195">
        <f>'Balance Sheet Historical '!H26</f>
        <v>138884.16200000001</v>
      </c>
      <c r="H29" s="191">
        <f>'Balance sheet '!I37</f>
        <v>131521.47250413863</v>
      </c>
      <c r="I29" s="191">
        <f>'Balance sheet '!J37</f>
        <v>154011.5170502972</v>
      </c>
      <c r="J29" s="191">
        <f>'Balance sheet '!K37</f>
        <v>180219.31581612196</v>
      </c>
      <c r="K29" s="191">
        <f>'Balance sheet '!L37</f>
        <v>210914.64599723322</v>
      </c>
      <c r="L29" s="191">
        <f>'Balance sheet '!M37</f>
        <v>247038.40168836087</v>
      </c>
      <c r="M29" s="191">
        <f>'Balance sheet '!N37</f>
        <v>289734.00355794886</v>
      </c>
      <c r="N29" s="191">
        <f>'Balance sheet '!O37</f>
        <v>340386.01242927107</v>
      </c>
      <c r="O29" s="191">
        <f>'Balance sheet '!P37</f>
        <v>400667.61857411574</v>
      </c>
      <c r="P29" s="191">
        <f>'Balance sheet '!Q37</f>
        <v>472598.92570388166</v>
      </c>
      <c r="Q29" s="191">
        <f>'Balance sheet '!R37</f>
        <v>558618.29470726429</v>
      </c>
    </row>
    <row r="30" spans="2:17">
      <c r="B30" t="s">
        <v>40</v>
      </c>
      <c r="C30" s="195">
        <f>'Balance Sheet Historical '!D27</f>
        <v>8007844.6100000003</v>
      </c>
      <c r="D30" s="195">
        <f>'Balance Sheet Historical '!E27</f>
        <v>9599400.1799999997</v>
      </c>
      <c r="E30" s="195">
        <f>'Balance Sheet Historical '!F27</f>
        <v>10913657.932</v>
      </c>
      <c r="F30" s="195">
        <f>'Balance Sheet Historical '!G27</f>
        <v>12108321.521</v>
      </c>
      <c r="G30" s="195">
        <f>'Balance Sheet Historical '!H27</f>
        <v>14435799.524</v>
      </c>
      <c r="H30" s="191">
        <f>'Balance sheet '!I13</f>
        <v>17079190.778274283</v>
      </c>
      <c r="I30" s="191">
        <f>'Balance sheet '!J13</f>
        <v>19999715.876589634</v>
      </c>
      <c r="J30" s="191">
        <f>'Balance sheet '!K13</f>
        <v>23403023.233767048</v>
      </c>
      <c r="K30" s="191">
        <f>'Balance sheet '!L13</f>
        <v>27389075.018192004</v>
      </c>
      <c r="L30" s="191">
        <f>'Balance sheet '!M13</f>
        <v>32080054.394636612</v>
      </c>
      <c r="M30" s="191">
        <f>'Balance sheet '!N13</f>
        <v>37624444.339791693</v>
      </c>
      <c r="N30" s="191">
        <f>'Balance sheet '!O13</f>
        <v>44202041.946820699</v>
      </c>
      <c r="O30" s="191">
        <f>'Balance sheet '!P13</f>
        <v>52030125.317284763</v>
      </c>
      <c r="P30" s="191">
        <f>'Balance sheet '!Q13</f>
        <v>61371022.23707293</v>
      </c>
      <c r="Q30" s="191">
        <f>'Balance sheet '!R13</f>
        <v>72541374.772392318</v>
      </c>
    </row>
    <row r="31" spans="2:17">
      <c r="B31" t="s">
        <v>35</v>
      </c>
      <c r="C31" s="195">
        <f>'Balance Sheet Historical '!D28</f>
        <v>2138517.821</v>
      </c>
      <c r="D31" s="195">
        <f>'Balance Sheet Historical '!E28</f>
        <v>1438999.3929999999</v>
      </c>
      <c r="E31" s="195">
        <f>'Balance Sheet Historical '!F28</f>
        <v>1616026.828</v>
      </c>
      <c r="F31" s="195">
        <f>'Balance Sheet Historical '!G28</f>
        <v>1890618.0730000001</v>
      </c>
      <c r="G31" s="195">
        <f>'Balance Sheet Historical '!H28</f>
        <v>2074280.0079999999</v>
      </c>
      <c r="H31" s="191">
        <f>'Balance sheet '!I16</f>
        <v>2901450.0811798293</v>
      </c>
      <c r="I31" s="191">
        <f>'Balance sheet '!J16</f>
        <v>3397595.2377977832</v>
      </c>
      <c r="J31" s="191">
        <f>'Balance sheet '!K16</f>
        <v>3975756.4947305932</v>
      </c>
      <c r="K31" s="191">
        <f>'Balance sheet '!L16</f>
        <v>4652915.6425877949</v>
      </c>
      <c r="L31" s="191">
        <f>'Balance sheet '!M16</f>
        <v>5449829.4231816418</v>
      </c>
      <c r="M31" s="191">
        <f>'Balance sheet '!N16</f>
        <v>6391722.4475821974</v>
      </c>
      <c r="N31" s="191">
        <f>'Balance sheet '!O16</f>
        <v>7509139.0370824002</v>
      </c>
      <c r="O31" s="191">
        <f>'Balance sheet '!P16</f>
        <v>8838990.8682129122</v>
      </c>
      <c r="P31" s="191">
        <f>'Balance sheet '!Q16</f>
        <v>10425842.755873028</v>
      </c>
      <c r="Q31" s="191">
        <f>'Balance sheet '!R16</f>
        <v>12323486.543050431</v>
      </c>
    </row>
    <row r="32" spans="2:17">
      <c r="B32" t="s">
        <v>41</v>
      </c>
      <c r="C32" s="195">
        <f>'Balance Sheet Historical '!D29</f>
        <v>1454862.5090000001</v>
      </c>
      <c r="D32" s="195">
        <f>'Balance Sheet Historical '!E29</f>
        <v>2031800.4129999999</v>
      </c>
      <c r="E32" s="195">
        <f>'Balance Sheet Historical '!F29</f>
        <v>2288271.963</v>
      </c>
      <c r="F32" s="195">
        <f>'Balance Sheet Historical '!G29</f>
        <v>2388673.665</v>
      </c>
      <c r="G32" s="195">
        <f>'Balance Sheet Historical '!H29</f>
        <v>2813183.3</v>
      </c>
      <c r="H32" s="191">
        <f>'Balance sheet '!I19</f>
        <v>3409946.5070784232</v>
      </c>
      <c r="I32" s="191">
        <f>'Balance sheet '!J19</f>
        <v>3993044.0605353182</v>
      </c>
      <c r="J32" s="191">
        <f>'Balance sheet '!K19</f>
        <v>4672531.5248877732</v>
      </c>
      <c r="K32" s="191">
        <f>'Balance sheet '!L19</f>
        <v>5468366.8507993324</v>
      </c>
      <c r="L32" s="191">
        <f>'Balance sheet '!M19</f>
        <v>6404944.5228417357</v>
      </c>
      <c r="M32" s="191">
        <f>'Balance sheet '!N19</f>
        <v>7511909.9155705245</v>
      </c>
      <c r="N32" s="191">
        <f>'Balance sheet '!O19</f>
        <v>8825160.4246981144</v>
      </c>
      <c r="O32" s="191">
        <f>'Balance sheet '!P19</f>
        <v>10388076.718143826</v>
      </c>
      <c r="P32" s="191">
        <f>'Balance sheet '!Q19</f>
        <v>12253033.860324636</v>
      </c>
      <c r="Q32" s="191">
        <f>'Balance sheet '!R19</f>
        <v>14483251.035432257</v>
      </c>
    </row>
    <row r="33" spans="2:17">
      <c r="B33" t="s">
        <v>36</v>
      </c>
      <c r="C33" s="195">
        <f>'Balance Sheet Historical '!D30</f>
        <v>874149.11499999999</v>
      </c>
      <c r="D33" s="195">
        <f>'Balance Sheet Historical '!E30</f>
        <v>996164.06200000003</v>
      </c>
      <c r="E33" s="195">
        <f>'Balance Sheet Historical '!F30</f>
        <v>828083.30599999998</v>
      </c>
      <c r="F33" s="195">
        <f>'Balance Sheet Historical '!G30</f>
        <v>985446.29200000002</v>
      </c>
      <c r="G33" s="195">
        <f>'Balance Sheet Historical '!H30</f>
        <v>1617044.9350000001</v>
      </c>
      <c r="H33" s="191">
        <f>'Balance sheet '!I22</f>
        <v>1628589.478268523</v>
      </c>
      <c r="I33" s="191">
        <f>'Balance sheet '!J22</f>
        <v>1907076.7033299035</v>
      </c>
      <c r="J33" s="191">
        <f>'Balance sheet '!K22</f>
        <v>2231599.7223164639</v>
      </c>
      <c r="K33" s="191">
        <f>'Balance sheet '!L22</f>
        <v>2611690.4467672794</v>
      </c>
      <c r="L33" s="191">
        <f>'Balance sheet '!M22</f>
        <v>3058999.6755493851</v>
      </c>
      <c r="M33" s="191">
        <f>'Balance sheet '!N22</f>
        <v>3587686.0310869939</v>
      </c>
      <c r="N33" s="191">
        <f>'Balance sheet '!O22</f>
        <v>4214894.0993239386</v>
      </c>
      <c r="O33" s="191">
        <f>'Balance sheet '!P22</f>
        <v>4961342.4748736573</v>
      </c>
      <c r="P33" s="191">
        <f>'Balance sheet '!Q22</f>
        <v>5852045.473549041</v>
      </c>
      <c r="Q33" s="191">
        <f>'Balance sheet '!R22</f>
        <v>6917196.5596714849</v>
      </c>
    </row>
    <row r="35" spans="2:17">
      <c r="B35" s="8" t="s">
        <v>37</v>
      </c>
      <c r="C35" s="192">
        <f>SUM(C26:C33)</f>
        <v>13772922.323000001</v>
      </c>
      <c r="D35" s="192">
        <f t="shared" ref="D35:Q35" si="6">SUM(D26:D33)</f>
        <v>15738122.446</v>
      </c>
      <c r="E35" s="192">
        <f t="shared" si="6"/>
        <v>17526373.837000001</v>
      </c>
      <c r="F35" s="192">
        <f t="shared" si="6"/>
        <v>19584904.969999999</v>
      </c>
      <c r="G35" s="192">
        <f t="shared" si="6"/>
        <v>23640630.275000002</v>
      </c>
      <c r="H35" s="192">
        <f t="shared" si="6"/>
        <v>28069901.760199692</v>
      </c>
      <c r="I35" s="192">
        <f t="shared" si="6"/>
        <v>32790431.878122084</v>
      </c>
      <c r="J35" s="192">
        <f t="shared" si="6"/>
        <v>38293694.078488834</v>
      </c>
      <c r="K35" s="192">
        <f t="shared" si="6"/>
        <v>44738628.883768357</v>
      </c>
      <c r="L35" s="192">
        <f t="shared" si="6"/>
        <v>52319287.126016751</v>
      </c>
      <c r="M35" s="192">
        <f t="shared" si="6"/>
        <v>61271328.768266544</v>
      </c>
      <c r="N35" s="192">
        <f t="shared" si="6"/>
        <v>71879986.790735871</v>
      </c>
      <c r="O35" s="192">
        <f t="shared" si="6"/>
        <v>84489835.768404797</v>
      </c>
      <c r="P35" s="192">
        <f t="shared" si="6"/>
        <v>99516756.078002855</v>
      </c>
      <c r="Q35" s="192">
        <f t="shared" si="6"/>
        <v>117462555.53846815</v>
      </c>
    </row>
    <row r="37" spans="2:17">
      <c r="B37" s="11" t="s">
        <v>38</v>
      </c>
      <c r="C37" s="58" t="str">
        <f t="shared" ref="C37:K37" si="7">IF(ROUND(C22,0)=ROUND(C35,0),"True","False")</f>
        <v>True</v>
      </c>
      <c r="D37" s="58" t="str">
        <f t="shared" si="7"/>
        <v>True</v>
      </c>
      <c r="E37" s="58" t="str">
        <f t="shared" si="7"/>
        <v>True</v>
      </c>
      <c r="F37" s="58" t="str">
        <f t="shared" si="7"/>
        <v>True</v>
      </c>
      <c r="G37" s="58" t="str">
        <f t="shared" si="7"/>
        <v>True</v>
      </c>
      <c r="H37" s="58" t="str">
        <f t="shared" si="7"/>
        <v>True</v>
      </c>
      <c r="I37" s="58" t="str">
        <f t="shared" si="7"/>
        <v>True</v>
      </c>
      <c r="J37" s="58" t="str">
        <f t="shared" si="7"/>
        <v>True</v>
      </c>
      <c r="K37" s="58" t="str">
        <f t="shared" si="7"/>
        <v>True</v>
      </c>
      <c r="L37" s="58" t="str">
        <f>IF(ROUND(L22,0)=ROUND(L35,0),"True","False")</f>
        <v>True</v>
      </c>
      <c r="M37" s="58" t="str">
        <f t="shared" ref="M37:Q37" si="8">IF(ROUND(M22,0)=ROUND(M35,0),"True","False")</f>
        <v>True</v>
      </c>
      <c r="N37" s="58" t="str">
        <f t="shared" si="8"/>
        <v>True</v>
      </c>
      <c r="O37" s="58" t="str">
        <f t="shared" si="8"/>
        <v>True</v>
      </c>
      <c r="P37" s="58" t="str">
        <f t="shared" si="8"/>
        <v>True</v>
      </c>
      <c r="Q37" s="58" t="str">
        <f t="shared" si="8"/>
        <v>True</v>
      </c>
    </row>
    <row r="39" spans="2:17">
      <c r="B39" s="30"/>
      <c r="C39" s="30"/>
      <c r="D39" s="30"/>
      <c r="E39" s="30"/>
      <c r="F39" s="30"/>
      <c r="G39" s="30"/>
      <c r="H39" s="30"/>
      <c r="I39" s="30"/>
      <c r="J39" s="30"/>
      <c r="K39" s="30"/>
      <c r="L39" s="30"/>
      <c r="M39" s="30"/>
      <c r="N39" s="30"/>
      <c r="O39" s="30"/>
      <c r="P39" s="30"/>
      <c r="Q39" s="3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2"/>
  <sheetViews>
    <sheetView showGridLines="0" workbookViewId="0">
      <pane xSplit="2" ySplit="9" topLeftCell="D40" activePane="bottomRight" state="frozen"/>
      <selection pane="topRight" activeCell="C1" sqref="C1"/>
      <selection pane="bottomLeft" activeCell="A10" sqref="A10"/>
      <selection pane="bottomRight" activeCell="D53" sqref="D53"/>
    </sheetView>
  </sheetViews>
  <sheetFormatPr defaultRowHeight="15"/>
  <cols>
    <col min="1" max="1" width="1.85546875" customWidth="1"/>
    <col min="2" max="2" width="51.42578125" bestFit="1" customWidth="1"/>
    <col min="3" max="3" width="9.7109375" bestFit="1" customWidth="1"/>
    <col min="4" max="6" width="11.140625" bestFit="1" customWidth="1"/>
    <col min="7" max="16" width="11" bestFit="1" customWidth="1"/>
    <col min="17" max="17" width="12.5703125" bestFit="1" customWidth="1"/>
  </cols>
  <sheetData>
    <row r="1" spans="2:17" ht="5.0999999999999996" customHeight="1">
      <c r="B1" s="30"/>
      <c r="C1" s="30"/>
      <c r="D1" s="30"/>
      <c r="E1" s="30"/>
      <c r="F1" s="30"/>
      <c r="G1" s="30"/>
      <c r="H1" s="30"/>
      <c r="I1" s="30"/>
      <c r="J1" s="30"/>
      <c r="K1" s="30"/>
      <c r="L1" s="30"/>
      <c r="M1" s="30"/>
      <c r="N1" s="30"/>
      <c r="O1" s="30"/>
      <c r="P1" s="30"/>
      <c r="Q1" s="30"/>
    </row>
    <row r="3" spans="2:17">
      <c r="B3" s="170" t="s">
        <v>260</v>
      </c>
    </row>
    <row r="4" spans="2:17">
      <c r="B4" s="171" t="s">
        <v>262</v>
      </c>
    </row>
    <row r="5" spans="2:17">
      <c r="B5" s="25" t="s">
        <v>261</v>
      </c>
      <c r="C5" s="29"/>
      <c r="D5" s="29"/>
      <c r="E5" s="29"/>
      <c r="F5" s="29"/>
      <c r="G5" s="29"/>
      <c r="H5" s="29"/>
      <c r="I5" s="29"/>
      <c r="J5" s="29"/>
      <c r="K5" s="29"/>
      <c r="L5" s="29"/>
      <c r="M5" s="29"/>
      <c r="N5" s="29"/>
      <c r="O5" s="29"/>
      <c r="P5" s="29"/>
      <c r="Q5" s="29"/>
    </row>
    <row r="8" spans="2:17">
      <c r="B8" s="32" t="s">
        <v>0</v>
      </c>
      <c r="C8" s="32">
        <v>2020</v>
      </c>
      <c r="D8" s="32">
        <v>2021</v>
      </c>
      <c r="E8" s="32">
        <v>2022</v>
      </c>
      <c r="F8" s="32">
        <v>2023</v>
      </c>
      <c r="G8" s="32">
        <v>2024</v>
      </c>
      <c r="H8" s="32">
        <v>2025</v>
      </c>
      <c r="I8" s="32">
        <v>2026</v>
      </c>
      <c r="J8" s="32">
        <v>2027</v>
      </c>
      <c r="K8" s="32">
        <v>2028</v>
      </c>
      <c r="L8" s="32">
        <v>2029</v>
      </c>
      <c r="M8" s="32">
        <v>2030</v>
      </c>
      <c r="N8" s="32">
        <v>2031</v>
      </c>
      <c r="O8" s="32">
        <v>2032</v>
      </c>
      <c r="P8" s="32">
        <v>2033</v>
      </c>
      <c r="Q8" s="32">
        <v>2034</v>
      </c>
    </row>
    <row r="9" spans="2:17">
      <c r="B9" s="169"/>
      <c r="C9" s="169" t="s">
        <v>73</v>
      </c>
      <c r="D9" s="169" t="s">
        <v>73</v>
      </c>
      <c r="E9" s="169" t="s">
        <v>73</v>
      </c>
      <c r="F9" s="169" t="s">
        <v>73</v>
      </c>
      <c r="G9" s="169" t="s">
        <v>73</v>
      </c>
      <c r="H9" s="169" t="s">
        <v>79</v>
      </c>
      <c r="I9" s="169" t="s">
        <v>79</v>
      </c>
      <c r="J9" s="169" t="s">
        <v>79</v>
      </c>
      <c r="K9" s="169" t="s">
        <v>79</v>
      </c>
      <c r="L9" s="169" t="s">
        <v>79</v>
      </c>
      <c r="M9" s="169" t="s">
        <v>79</v>
      </c>
      <c r="N9" s="169" t="s">
        <v>79</v>
      </c>
      <c r="O9" s="169" t="s">
        <v>79</v>
      </c>
      <c r="P9" s="169" t="s">
        <v>79</v>
      </c>
      <c r="Q9" s="169" t="s">
        <v>79</v>
      </c>
    </row>
    <row r="11" spans="2:17">
      <c r="B11" s="310" t="s">
        <v>110</v>
      </c>
      <c r="C11" s="310"/>
      <c r="D11" s="310"/>
      <c r="E11" s="310"/>
      <c r="F11" s="310"/>
      <c r="G11" s="310"/>
      <c r="H11" s="310"/>
      <c r="I11" s="310"/>
      <c r="J11" s="310"/>
      <c r="K11" s="310"/>
      <c r="L11" s="310"/>
      <c r="M11" s="310"/>
      <c r="N11" s="310"/>
      <c r="O11" s="310"/>
      <c r="P11" s="310"/>
      <c r="Q11" s="310"/>
    </row>
    <row r="13" spans="2:17">
      <c r="B13" s="185" t="s">
        <v>16</v>
      </c>
      <c r="C13" s="185"/>
      <c r="D13" s="260">
        <f>'Income Statement'!E29</f>
        <v>222179.07199999946</v>
      </c>
      <c r="E13" s="260">
        <f>'Income Statement'!F29</f>
        <v>300918.72499999998</v>
      </c>
      <c r="F13" s="260">
        <f>'Income Statement'!G29</f>
        <v>449120.65599999973</v>
      </c>
      <c r="G13" s="260">
        <f>'Income Statement'!H29</f>
        <v>575999.70999999961</v>
      </c>
      <c r="H13" s="260">
        <f>'Income Statement'!I29</f>
        <v>506855.31996793696</v>
      </c>
      <c r="I13" s="260">
        <f>'Income Statement'!J29</f>
        <v>598641.82120071282</v>
      </c>
      <c r="J13" s="260">
        <f>'Income Statement'!K29</f>
        <v>705672.33006752154</v>
      </c>
      <c r="K13" s="260">
        <f>'Income Statement'!L29</f>
        <v>831094.38790266565</v>
      </c>
      <c r="L13" s="260">
        <f>'Income Statement'!M29</f>
        <v>978753.03348283481</v>
      </c>
      <c r="M13" s="260">
        <f>'Income Statement'!N29</f>
        <v>1153318.6549979623</v>
      </c>
      <c r="N13" s="260">
        <f>'Income Statement'!O29</f>
        <v>1360444.1174512038</v>
      </c>
      <c r="O13" s="260">
        <f>'Income Statement'!P29</f>
        <v>1606957.9528033766</v>
      </c>
      <c r="P13" s="260">
        <f>'Income Statement'!Q29</f>
        <v>1901101.403558993</v>
      </c>
      <c r="Q13" s="260">
        <f>'Income Statement'!R29</f>
        <v>2252818.5149655165</v>
      </c>
    </row>
    <row r="14" spans="2:17">
      <c r="B14" s="163" t="s">
        <v>104</v>
      </c>
      <c r="C14" s="163"/>
      <c r="D14" s="163"/>
      <c r="E14" s="163"/>
      <c r="F14" s="163"/>
      <c r="G14" s="163"/>
      <c r="H14" s="163"/>
      <c r="I14" s="163"/>
      <c r="J14" s="163"/>
      <c r="K14" s="163"/>
      <c r="L14" s="163"/>
      <c r="M14" s="163"/>
      <c r="N14" s="163"/>
      <c r="O14" s="163"/>
      <c r="P14" s="163"/>
      <c r="Q14" s="163"/>
    </row>
    <row r="15" spans="2:17">
      <c r="B15" s="163" t="s">
        <v>11</v>
      </c>
      <c r="C15" s="163"/>
      <c r="D15" s="195">
        <f>'Income Statement'!E21</f>
        <v>13400.744000000001</v>
      </c>
      <c r="E15" s="195">
        <f>'Income Statement'!F21</f>
        <v>13300.074000000001</v>
      </c>
      <c r="F15" s="195">
        <f>'Income Statement'!G21</f>
        <v>15145.592000000001</v>
      </c>
      <c r="G15" s="195">
        <f>'Income Statement'!H21</f>
        <v>19352.106</v>
      </c>
      <c r="H15" s="195">
        <f>'Income Statement'!I21</f>
        <v>19448.866529999996</v>
      </c>
      <c r="I15" s="195">
        <f>'Income Statement'!J21</f>
        <v>19546.110862649995</v>
      </c>
      <c r="J15" s="195">
        <f>'Income Statement'!K21</f>
        <v>19643.841416963241</v>
      </c>
      <c r="K15" s="195">
        <f>'Income Statement'!L21</f>
        <v>19742.060624048059</v>
      </c>
      <c r="L15" s="195">
        <f>'Income Statement'!M21</f>
        <v>19840.770927168294</v>
      </c>
      <c r="M15" s="195">
        <f>'Income Statement'!N21</f>
        <v>19939.974781804136</v>
      </c>
      <c r="N15" s="195">
        <f>'Income Statement'!O21</f>
        <v>20039.674655713156</v>
      </c>
      <c r="O15" s="195">
        <f>'Income Statement'!P21</f>
        <v>20139.873028991718</v>
      </c>
      <c r="P15" s="195">
        <f>'Income Statement'!Q21</f>
        <v>20240.57239413667</v>
      </c>
      <c r="Q15" s="195">
        <f>'Income Statement'!R21</f>
        <v>20341.775256107354</v>
      </c>
    </row>
    <row r="16" spans="2:17">
      <c r="B16" s="163" t="s">
        <v>105</v>
      </c>
      <c r="C16" s="163"/>
      <c r="D16" s="195">
        <f>'Income Statement'!E25</f>
        <v>89394.289000000004</v>
      </c>
      <c r="E16" s="195">
        <f>'Income Statement'!F25</f>
        <v>75533.877999999997</v>
      </c>
      <c r="F16" s="195">
        <f>'Income Statement'!G25</f>
        <v>110668.47199999999</v>
      </c>
      <c r="G16" s="195">
        <f>'Income Statement'!H25</f>
        <v>153237.07199999999</v>
      </c>
      <c r="H16" s="195">
        <f>'Income Statement'!I25</f>
        <v>171054.5583858818</v>
      </c>
      <c r="I16" s="195">
        <f>'Income Statement'!J25</f>
        <v>200304.7223680476</v>
      </c>
      <c r="J16" s="195">
        <f>'Income Statement'!K25</f>
        <v>234390.13335683607</v>
      </c>
      <c r="K16" s="195">
        <f>'Income Statement'!L25</f>
        <v>274311.95029416995</v>
      </c>
      <c r="L16" s="195">
        <f>'Income Statement'!M25</f>
        <v>321293.8838091775</v>
      </c>
      <c r="M16" s="195">
        <f>'Income Statement'!N25</f>
        <v>376823.04709916411</v>
      </c>
      <c r="N16" s="195">
        <f>'Income Statement'!O25</f>
        <v>442700.17608712573</v>
      </c>
      <c r="O16" s="195">
        <f>'Income Statement'!P25</f>
        <v>521101.39317792119</v>
      </c>
      <c r="P16" s="195">
        <f>'Income Statement'!Q25</f>
        <v>614654.01041168999</v>
      </c>
      <c r="Q16" s="195">
        <f>'Income Statement'!R25</f>
        <v>726529.31789840339</v>
      </c>
    </row>
    <row r="17" spans="2:17">
      <c r="B17" s="162" t="s">
        <v>106</v>
      </c>
      <c r="C17" s="163"/>
      <c r="D17" s="191"/>
      <c r="E17" s="191"/>
      <c r="F17" s="191"/>
      <c r="G17" s="191"/>
      <c r="H17" s="191"/>
      <c r="I17" s="191"/>
      <c r="J17" s="191"/>
      <c r="K17" s="191"/>
      <c r="L17" s="191"/>
      <c r="M17" s="191"/>
      <c r="N17" s="191"/>
      <c r="O17" s="191"/>
      <c r="P17" s="191"/>
      <c r="Q17" s="191"/>
    </row>
    <row r="18" spans="2:17">
      <c r="B18" s="163" t="s">
        <v>112</v>
      </c>
      <c r="C18" s="163"/>
      <c r="D18" s="191">
        <f>'Balancesheet Forecasted'!D30-'Balancesheet Forecasted'!C30</f>
        <v>1591555.5699999994</v>
      </c>
      <c r="E18" s="191">
        <f>'Balancesheet Forecasted'!E30-'Balancesheet Forecasted'!D30</f>
        <v>1314257.7520000003</v>
      </c>
      <c r="F18" s="191">
        <f>'Balancesheet Forecasted'!F30-'Balancesheet Forecasted'!E30</f>
        <v>1194663.5889999997</v>
      </c>
      <c r="G18" s="191">
        <f>'Balancesheet Forecasted'!G30-'Balancesheet Forecasted'!F30</f>
        <v>2327478.0030000005</v>
      </c>
      <c r="H18" s="191">
        <f>'Balancesheet Forecasted'!H30-'Balancesheet Forecasted'!G30</f>
        <v>2643391.2542742826</v>
      </c>
      <c r="I18" s="191">
        <f>'Balancesheet Forecasted'!I30-'Balancesheet Forecasted'!H30</f>
        <v>2920525.0983153507</v>
      </c>
      <c r="J18" s="191">
        <f>'Balancesheet Forecasted'!J30-'Balancesheet Forecasted'!I30</f>
        <v>3403307.357177414</v>
      </c>
      <c r="K18" s="191">
        <f>'Balancesheet Forecasted'!K30-'Balancesheet Forecasted'!J30</f>
        <v>3986051.7844249569</v>
      </c>
      <c r="L18" s="191">
        <f>'Balancesheet Forecasted'!L30-'Balancesheet Forecasted'!K30</f>
        <v>4690979.376444608</v>
      </c>
      <c r="M18" s="191">
        <f>'Balancesheet Forecasted'!M30-'Balancesheet Forecasted'!L30</f>
        <v>5544389.9451550804</v>
      </c>
      <c r="N18" s="191">
        <f>'Balancesheet Forecasted'!N30-'Balancesheet Forecasted'!M30</f>
        <v>6577597.6070290059</v>
      </c>
      <c r="O18" s="191">
        <f>'Balancesheet Forecasted'!O30-'Balancesheet Forecasted'!N30</f>
        <v>7828083.3704640642</v>
      </c>
      <c r="P18" s="191">
        <f>'Balancesheet Forecasted'!P30-'Balancesheet Forecasted'!O30</f>
        <v>9340896.9197881669</v>
      </c>
      <c r="Q18" s="191">
        <f>'Balancesheet Forecasted'!Q30-'Balancesheet Forecasted'!P30</f>
        <v>11170352.535319388</v>
      </c>
    </row>
    <row r="19" spans="2:17">
      <c r="B19" s="163" t="s">
        <v>35</v>
      </c>
      <c r="C19" s="163"/>
      <c r="D19" s="191">
        <f>'Balancesheet Forecasted'!D31-'Balancesheet Forecasted'!C31</f>
        <v>-699518.42800000007</v>
      </c>
      <c r="E19" s="191">
        <f>'Balancesheet Forecasted'!E31-'Balancesheet Forecasted'!D31</f>
        <v>177027.43500000006</v>
      </c>
      <c r="F19" s="191">
        <f>'Balancesheet Forecasted'!F31-'Balancesheet Forecasted'!E31</f>
        <v>274591.24500000011</v>
      </c>
      <c r="G19" s="191">
        <f>'Balancesheet Forecasted'!G31-'Balancesheet Forecasted'!F31</f>
        <v>183661.93499999982</v>
      </c>
      <c r="H19" s="191">
        <f>'Balancesheet Forecasted'!H31-'Balancesheet Forecasted'!G31</f>
        <v>827170.0731798294</v>
      </c>
      <c r="I19" s="191">
        <f>'Balancesheet Forecasted'!I31-'Balancesheet Forecasted'!H31</f>
        <v>496145.15661795391</v>
      </c>
      <c r="J19" s="191">
        <f>'Balancesheet Forecasted'!J31-'Balancesheet Forecasted'!I31</f>
        <v>578161.25693280995</v>
      </c>
      <c r="K19" s="191">
        <f>'Balancesheet Forecasted'!K31-'Balancesheet Forecasted'!J31</f>
        <v>677159.14785720175</v>
      </c>
      <c r="L19" s="191">
        <f>'Balancesheet Forecasted'!L31-'Balancesheet Forecasted'!K31</f>
        <v>796913.78059384692</v>
      </c>
      <c r="M19" s="191">
        <f>'Balancesheet Forecasted'!M31-'Balancesheet Forecasted'!L31</f>
        <v>941893.02440055553</v>
      </c>
      <c r="N19" s="191">
        <f>'Balancesheet Forecasted'!N31-'Balancesheet Forecasted'!M31</f>
        <v>1117416.5895002028</v>
      </c>
      <c r="O19" s="191">
        <f>'Balancesheet Forecasted'!O31-'Balancesheet Forecasted'!N31</f>
        <v>1329851.8311305121</v>
      </c>
      <c r="P19" s="191">
        <f>'Balancesheet Forecasted'!P31-'Balancesheet Forecasted'!O31</f>
        <v>1586851.887660116</v>
      </c>
      <c r="Q19" s="191">
        <f>'Balancesheet Forecasted'!Q31-'Balancesheet Forecasted'!P31</f>
        <v>1897643.7871774025</v>
      </c>
    </row>
    <row r="20" spans="2:17">
      <c r="B20" s="163" t="s">
        <v>36</v>
      </c>
      <c r="C20" s="163"/>
      <c r="D20" s="191">
        <f>'Balancesheet Forecasted'!D32+'Balancesheet Forecasted'!D33-'Balancesheet Forecasted'!C32-'Balancesheet Forecasted'!C33</f>
        <v>698952.85100000002</v>
      </c>
      <c r="E20" s="191">
        <f>'Balancesheet Forecasted'!E32+'Balancesheet Forecasted'!E33-'Balancesheet Forecasted'!D32-'Balancesheet Forecasted'!D33</f>
        <v>88390.793999999878</v>
      </c>
      <c r="F20" s="191">
        <f>'Balancesheet Forecasted'!F32+'Balancesheet Forecasted'!F33-'Balancesheet Forecasted'!E32-'Balancesheet Forecasted'!E33</f>
        <v>257764.68799999997</v>
      </c>
      <c r="G20" s="191">
        <f>'Balancesheet Forecasted'!G32+'Balancesheet Forecasted'!G33-'Balancesheet Forecasted'!F32-'Balancesheet Forecasted'!F33</f>
        <v>1056108.2779999995</v>
      </c>
      <c r="H20" s="191">
        <f>'Balancesheet Forecasted'!H32+'Balancesheet Forecasted'!H33-'Balancesheet Forecasted'!G32-'Balancesheet Forecasted'!G33</f>
        <v>608307.75034694606</v>
      </c>
      <c r="I20" s="191">
        <f>'Balancesheet Forecasted'!I32+'Balancesheet Forecasted'!I33-'Balancesheet Forecasted'!H32-'Balancesheet Forecasted'!H33</f>
        <v>861584.77851827512</v>
      </c>
      <c r="J20" s="191">
        <f>'Balancesheet Forecasted'!J32+'Balancesheet Forecasted'!J33-'Balancesheet Forecasted'!I32-'Balancesheet Forecasted'!I33</f>
        <v>1004010.4833390149</v>
      </c>
      <c r="K20" s="191">
        <f>'Balancesheet Forecasted'!K32+'Balancesheet Forecasted'!K33-'Balancesheet Forecasted'!J32-'Balancesheet Forecasted'!J33</f>
        <v>1175926.0503623742</v>
      </c>
      <c r="L20" s="191">
        <f>'Balancesheet Forecasted'!L32+'Balancesheet Forecasted'!L33-'Balancesheet Forecasted'!K32-'Balancesheet Forecasted'!K33</f>
        <v>1383886.9008245091</v>
      </c>
      <c r="M20" s="191">
        <f>'Balancesheet Forecasted'!M32+'Balancesheet Forecasted'!M33-'Balancesheet Forecasted'!L32-'Balancesheet Forecasted'!L33</f>
        <v>1635651.748266397</v>
      </c>
      <c r="N20" s="191">
        <f>'Balancesheet Forecasted'!N32+'Balancesheet Forecasted'!N33-'Balancesheet Forecasted'!M32-'Balancesheet Forecasted'!M33</f>
        <v>1940458.5773645355</v>
      </c>
      <c r="O20" s="191">
        <f>'Balancesheet Forecasted'!O32+'Balancesheet Forecasted'!O33-'Balancesheet Forecasted'!N32-'Balancesheet Forecasted'!N33</f>
        <v>2309364.6689954298</v>
      </c>
      <c r="P20" s="191">
        <f>'Balancesheet Forecasted'!P32+'Balancesheet Forecasted'!P33-'Balancesheet Forecasted'!O32-'Balancesheet Forecasted'!O33</f>
        <v>2755660.1408561943</v>
      </c>
      <c r="Q20" s="191">
        <f>'Balancesheet Forecasted'!Q32+'Balancesheet Forecasted'!Q33-'Balancesheet Forecasted'!P32-'Balancesheet Forecasted'!P33</f>
        <v>3295368.2612300636</v>
      </c>
    </row>
    <row r="21" spans="2:17">
      <c r="B21" s="162" t="s">
        <v>107</v>
      </c>
      <c r="C21" s="163"/>
      <c r="D21" s="191"/>
      <c r="E21" s="191"/>
      <c r="F21" s="191"/>
      <c r="G21" s="191"/>
      <c r="H21" s="191"/>
      <c r="I21" s="191"/>
      <c r="J21" s="191"/>
      <c r="K21" s="191"/>
      <c r="L21" s="191"/>
      <c r="M21" s="191"/>
      <c r="N21" s="191"/>
      <c r="O21" s="191"/>
      <c r="P21" s="191"/>
      <c r="Q21" s="191"/>
    </row>
    <row r="22" spans="2:17">
      <c r="B22" s="164" t="s">
        <v>113</v>
      </c>
      <c r="C22" s="163"/>
      <c r="D22" s="195">
        <f>'Income Statement'!E26</f>
        <v>0</v>
      </c>
      <c r="E22" s="195">
        <f>'Income Statement'!F26</f>
        <v>7544.2790000000005</v>
      </c>
      <c r="F22" s="195">
        <f>'Income Statement'!G26</f>
        <v>9982.8760000000002</v>
      </c>
      <c r="G22" s="195">
        <f>'Income Statement'!H26</f>
        <v>10737.68</v>
      </c>
      <c r="H22" s="195">
        <f>'Income Statement'!I26</f>
        <v>12165.246636870783</v>
      </c>
      <c r="I22" s="195">
        <f>'Income Statement'!J26</f>
        <v>13782.607205271146</v>
      </c>
      <c r="J22" s="195">
        <f>'Income Statement'!K26</f>
        <v>15614.994668423329</v>
      </c>
      <c r="K22" s="195">
        <f>'Income Statement'!L26</f>
        <v>17690.996693400444</v>
      </c>
      <c r="L22" s="195">
        <f>'Income Statement'!M26</f>
        <v>20043.001656529334</v>
      </c>
      <c r="M22" s="195">
        <f>'Income Statement'!N26</f>
        <v>22707.703944882785</v>
      </c>
      <c r="N22" s="195">
        <f>'Income Statement'!O26</f>
        <v>25726.676437232501</v>
      </c>
      <c r="O22" s="195">
        <f>'Income Statement'!P26</f>
        <v>29147.019095922533</v>
      </c>
      <c r="P22" s="195">
        <f>'Income Statement'!Q26</f>
        <v>33022.093788553961</v>
      </c>
      <c r="Q22" s="195">
        <f>'Income Statement'!R26</f>
        <v>37412.356803670591</v>
      </c>
    </row>
    <row r="23" spans="2:17">
      <c r="B23" s="163" t="s">
        <v>17</v>
      </c>
      <c r="C23" s="163"/>
      <c r="D23" s="195">
        <f>'Income Statement'!E31</f>
        <v>38335.862999999998</v>
      </c>
      <c r="E23" s="195">
        <f>'Income Statement'!F31</f>
        <v>49817.733</v>
      </c>
      <c r="F23" s="195">
        <f>'Income Statement'!G31</f>
        <v>108754.258</v>
      </c>
      <c r="G23" s="195">
        <f>'Income Statement'!H31</f>
        <v>133436.04699999999</v>
      </c>
      <c r="H23" s="195">
        <f>'Income Statement'!I31</f>
        <v>119952.32502792343</v>
      </c>
      <c r="I23" s="195">
        <f>'Income Statement'!J31</f>
        <v>144667.71755649877</v>
      </c>
      <c r="J23" s="195">
        <f>'Income Statement'!K31</f>
        <v>174061.06036638084</v>
      </c>
      <c r="K23" s="195">
        <f>'Income Statement'!L31</f>
        <v>209153.12348275079</v>
      </c>
      <c r="L23" s="195">
        <f>'Income Statement'!M31</f>
        <v>251206.64737535774</v>
      </c>
      <c r="M23" s="195">
        <f>'Income Statement'!N31</f>
        <v>301777.23412740062</v>
      </c>
      <c r="N23" s="195">
        <f>'Income Statement'!O31</f>
        <v>362775.88074628828</v>
      </c>
      <c r="O23" s="195">
        <f>'Income Statement'!P31</f>
        <v>436546.023097647</v>
      </c>
      <c r="P23" s="195">
        <f>'Income Statement'!Q31</f>
        <v>525958.50803205371</v>
      </c>
      <c r="Q23" s="195">
        <f>'Income Statement'!R31</f>
        <v>634528.61848599452</v>
      </c>
    </row>
    <row r="24" spans="2:17">
      <c r="B24" s="162" t="s">
        <v>108</v>
      </c>
      <c r="C24" s="163"/>
      <c r="D24" s="191"/>
      <c r="E24" s="191"/>
      <c r="F24" s="191"/>
      <c r="G24" s="191"/>
      <c r="H24" s="191"/>
      <c r="I24" s="191"/>
      <c r="J24" s="191"/>
      <c r="K24" s="191"/>
      <c r="L24" s="191"/>
      <c r="M24" s="191"/>
      <c r="N24" s="191"/>
      <c r="O24" s="191"/>
      <c r="P24" s="191"/>
      <c r="Q24" s="191"/>
    </row>
    <row r="25" spans="2:17">
      <c r="B25" s="163" t="s">
        <v>26</v>
      </c>
      <c r="C25" s="163"/>
      <c r="D25" s="191">
        <f>'Balancesheet Forecasted'!D16-'Balancesheet Forecasted'!C16</f>
        <v>931059.86699999962</v>
      </c>
      <c r="E25" s="191">
        <f>'Balancesheet Forecasted'!E16-'Balancesheet Forecasted'!D16</f>
        <v>305191.01499999966</v>
      </c>
      <c r="F25" s="191">
        <f>'Balancesheet Forecasted'!F16-'Balancesheet Forecasted'!E16</f>
        <v>724542.49100000039</v>
      </c>
      <c r="G25" s="191">
        <f>'Balancesheet Forecasted'!G16-'Balancesheet Forecasted'!F16</f>
        <v>1876105.3789999997</v>
      </c>
      <c r="H25" s="191">
        <f>'Balancesheet Forecasted'!H16-'Balancesheet Forecasted'!G16</f>
        <v>1045529.5500485124</v>
      </c>
      <c r="I25" s="191">
        <f>'Balancesheet Forecasted'!I16-'Balancesheet Forecasted'!H16</f>
        <v>1593224.4219052792</v>
      </c>
      <c r="J25" s="191">
        <f>'Balancesheet Forecasted'!J16-'Balancesheet Forecasted'!I16</f>
        <v>1856595.0348561201</v>
      </c>
      <c r="K25" s="191">
        <f>'Balancesheet Forecasted'!K16-'Balancesheet Forecasted'!J16</f>
        <v>2174497.6797454078</v>
      </c>
      <c r="L25" s="191">
        <f>'Balancesheet Forecasted'!L16-'Balancesheet Forecasted'!K16</f>
        <v>2559054.5034235977</v>
      </c>
      <c r="M25" s="191">
        <f>'Balancesheet Forecasted'!M16-'Balancesheet Forecasted'!L16</f>
        <v>3024612.7555221319</v>
      </c>
      <c r="N25" s="191">
        <f>'Balancesheet Forecasted'!N16-'Balancesheet Forecasted'!M16</f>
        <v>3588255.1226932742</v>
      </c>
      <c r="O25" s="191">
        <f>'Balancesheet Forecasted'!O16-'Balancesheet Forecasted'!N16</f>
        <v>4270428.4957962185</v>
      </c>
      <c r="P25" s="191">
        <f>'Balancesheet Forecasted'!P16-'Balancesheet Forecasted'!O16</f>
        <v>5095708.680500906</v>
      </c>
      <c r="Q25" s="191">
        <f>'Balancesheet Forecasted'!Q16-'Balancesheet Forecasted'!P16</f>
        <v>6093725.5669633448</v>
      </c>
    </row>
    <row r="26" spans="2:17">
      <c r="B26" s="163" t="s">
        <v>102</v>
      </c>
      <c r="C26" s="163"/>
      <c r="D26" s="191">
        <f>'Balancesheet Forecasted'!D17-'Balancesheet Forecasted'!C17</f>
        <v>855552.79599999916</v>
      </c>
      <c r="E26" s="191">
        <f>'Balancesheet Forecasted'!E17-'Balancesheet Forecasted'!D17</f>
        <v>1285067.472000001</v>
      </c>
      <c r="F26" s="191">
        <f>'Balancesheet Forecasted'!F17-'Balancesheet Forecasted'!E17</f>
        <v>1635581.7569999993</v>
      </c>
      <c r="G26" s="191">
        <f>'Balancesheet Forecasted'!G17-'Balancesheet Forecasted'!F17</f>
        <v>1769098.8819999993</v>
      </c>
      <c r="H26" s="191">
        <f>'Balancesheet Forecasted'!H17-'Balancesheet Forecasted'!G17</f>
        <v>2137095.5582677945</v>
      </c>
      <c r="I26" s="191">
        <f>'Balancesheet Forecasted'!I17-'Balancesheet Forecasted'!H17</f>
        <v>2521356.3812097833</v>
      </c>
      <c r="J26" s="191">
        <f>'Balancesheet Forecasted'!J17-'Balancesheet Forecasted'!I17</f>
        <v>2938153.3913840428</v>
      </c>
      <c r="K26" s="191">
        <f>'Balancesheet Forecasted'!K17-'Balancesheet Forecasted'!J17</f>
        <v>3441250.0369504802</v>
      </c>
      <c r="L26" s="191">
        <f>'Balancesheet Forecasted'!L17-'Balancesheet Forecasted'!K17</f>
        <v>4049830.2143490016</v>
      </c>
      <c r="M26" s="191">
        <f>'Balancesheet Forecasted'!M17-'Balancesheet Forecasted'!L17</f>
        <v>4786599.1551299654</v>
      </c>
      <c r="N26" s="191">
        <f>'Balancesheet Forecasted'!N17-'Balancesheet Forecasted'!M17</f>
        <v>5678591.055108279</v>
      </c>
      <c r="O26" s="191">
        <f>'Balancesheet Forecasted'!O17-'Balancesheet Forecasted'!N17</f>
        <v>6758164.1295076907</v>
      </c>
      <c r="P26" s="191">
        <f>'Balancesheet Forecasted'!P17-'Balancesheet Forecasted'!O17</f>
        <v>8064210.8052815795</v>
      </c>
      <c r="Q26" s="191">
        <f>'Balancesheet Forecasted'!Q17-'Balancesheet Forecasted'!P17</f>
        <v>9643621.8478439152</v>
      </c>
    </row>
    <row r="27" spans="2:17">
      <c r="B27" s="163" t="s">
        <v>29</v>
      </c>
      <c r="C27" s="163"/>
      <c r="D27" s="191">
        <f>'Balancesheet Forecasted'!D19-'Balancesheet Forecasted'!C19</f>
        <v>-23671.332999999984</v>
      </c>
      <c r="E27" s="191">
        <f>'Balancesheet Forecasted'!E19-'Balancesheet Forecasted'!D19</f>
        <v>-155459.76699999999</v>
      </c>
      <c r="F27" s="191">
        <f>'Balancesheet Forecasted'!F19-'Balancesheet Forecasted'!E19</f>
        <v>161465.85999999999</v>
      </c>
      <c r="G27" s="191">
        <f>'Balancesheet Forecasted'!G19-'Balancesheet Forecasted'!F19</f>
        <v>100955.91799999995</v>
      </c>
      <c r="H27" s="191">
        <f>'Balancesheet Forecasted'!H19-'Balancesheet Forecasted'!G19</f>
        <v>392590.10719694593</v>
      </c>
      <c r="I27" s="191">
        <f>'Balancesheet Forecasted'!I19-'Balancesheet Forecasted'!H19</f>
        <v>234097.65751897963</v>
      </c>
      <c r="J27" s="191">
        <f>'Balancesheet Forecasted'!J19-'Balancesheet Forecasted'!I19</f>
        <v>272795.56015180494</v>
      </c>
      <c r="K27" s="191">
        <f>'Balancesheet Forecasted'!K19-'Balancesheet Forecasted'!J19</f>
        <v>319506.03198770178</v>
      </c>
      <c r="L27" s="191">
        <f>'Balancesheet Forecasted'!L19-'Balancesheet Forecasted'!K19</f>
        <v>376010.21957625775</v>
      </c>
      <c r="M27" s="191">
        <f>'Balancesheet Forecasted'!M19-'Balancesheet Forecasted'!L19</f>
        <v>444416.21107152011</v>
      </c>
      <c r="N27" s="191">
        <f>'Balancesheet Forecasted'!N19-'Balancesheet Forecasted'!M19</f>
        <v>527234.02130532591</v>
      </c>
      <c r="O27" s="191">
        <f>'Balancesheet Forecasted'!O19-'Balancesheet Forecasted'!N19</f>
        <v>627467.97859945754</v>
      </c>
      <c r="P27" s="191">
        <f>'Balancesheet Forecasted'!P19-'Balancesheet Forecasted'!O19</f>
        <v>748729.08618727745</v>
      </c>
      <c r="Q27" s="191">
        <f>'Balancesheet Forecasted'!Q19-'Balancesheet Forecasted'!P19</f>
        <v>895370.96040977351</v>
      </c>
    </row>
    <row r="28" spans="2:17">
      <c r="B28" s="163" t="s">
        <v>25</v>
      </c>
      <c r="C28" s="163"/>
      <c r="D28" s="191">
        <f>'Balancesheet Forecasted'!D15-'Balancesheet Forecasted'!C15</f>
        <v>87273.376999999979</v>
      </c>
      <c r="E28" s="191">
        <f>'Balancesheet Forecasted'!E15-'Balancesheet Forecasted'!D15</f>
        <v>216289.51</v>
      </c>
      <c r="F28" s="191">
        <f>'Balancesheet Forecasted'!F15-'Balancesheet Forecasted'!E15</f>
        <v>-550897.24800000002</v>
      </c>
      <c r="G28" s="191">
        <f>'Balancesheet Forecasted'!G15-'Balancesheet Forecasted'!F15</f>
        <v>50183.280000000028</v>
      </c>
      <c r="H28" s="191">
        <f>'Balancesheet Forecasted'!H15-'Balancesheet Forecasted'!G15</f>
        <v>0</v>
      </c>
      <c r="I28" s="191">
        <f>'Balancesheet Forecasted'!I15-'Balancesheet Forecasted'!H15</f>
        <v>0</v>
      </c>
      <c r="J28" s="191">
        <f>'Balancesheet Forecasted'!J15-'Balancesheet Forecasted'!I15</f>
        <v>0</v>
      </c>
      <c r="K28" s="191">
        <f>'Balancesheet Forecasted'!K15-'Balancesheet Forecasted'!J15</f>
        <v>0</v>
      </c>
      <c r="L28" s="191">
        <f>'Balancesheet Forecasted'!L15-'Balancesheet Forecasted'!K15</f>
        <v>0</v>
      </c>
      <c r="M28" s="191">
        <f>'Balancesheet Forecasted'!M15-'Balancesheet Forecasted'!L15</f>
        <v>0</v>
      </c>
      <c r="N28" s="191">
        <f>'Balancesheet Forecasted'!N15-'Balancesheet Forecasted'!M15</f>
        <v>0</v>
      </c>
      <c r="O28" s="191">
        <f>'Balancesheet Forecasted'!O15-'Balancesheet Forecasted'!N15</f>
        <v>0</v>
      </c>
      <c r="P28" s="191">
        <f>'Balancesheet Forecasted'!P15-'Balancesheet Forecasted'!O15</f>
        <v>0</v>
      </c>
      <c r="Q28" s="191">
        <f>'Balancesheet Forecasted'!Q15-'Balancesheet Forecasted'!P15</f>
        <v>0</v>
      </c>
    </row>
    <row r="29" spans="2:17">
      <c r="B29" s="165" t="s">
        <v>109</v>
      </c>
      <c r="C29" s="165"/>
      <c r="D29" s="165">
        <f>D13+SUM(D15:D20)-SUM(D22:D28)</f>
        <v>27413.528000000399</v>
      </c>
      <c r="E29" s="165">
        <f t="shared" ref="E29:Q29" si="0">E13+SUM(E15:E20)-SUM(E22:E28)</f>
        <v>260978.4159999995</v>
      </c>
      <c r="F29" s="165">
        <f t="shared" si="0"/>
        <v>212524.24800000014</v>
      </c>
      <c r="G29" s="165">
        <f t="shared" si="0"/>
        <v>375319.91800000053</v>
      </c>
      <c r="H29" s="165">
        <f t="shared" si="0"/>
        <v>1068895.0355068296</v>
      </c>
      <c r="I29" s="165">
        <f t="shared" si="0"/>
        <v>589618.9024871774</v>
      </c>
      <c r="J29" s="165">
        <f t="shared" si="0"/>
        <v>687965.36086378712</v>
      </c>
      <c r="K29" s="165">
        <f t="shared" si="0"/>
        <v>802187.5126056755</v>
      </c>
      <c r="L29" s="165">
        <f t="shared" si="0"/>
        <v>935523.15970139951</v>
      </c>
      <c r="M29" s="165">
        <f t="shared" si="0"/>
        <v>1091903.3349050619</v>
      </c>
      <c r="N29" s="165">
        <f t="shared" si="0"/>
        <v>1276073.9857973866</v>
      </c>
      <c r="O29" s="165">
        <f t="shared" si="0"/>
        <v>1493745.4435033593</v>
      </c>
      <c r="P29" s="165">
        <f t="shared" si="0"/>
        <v>1751775.7608789299</v>
      </c>
      <c r="Q29" s="165">
        <f t="shared" si="0"/>
        <v>2058394.8413401805</v>
      </c>
    </row>
    <row r="30" spans="2:17">
      <c r="D30" s="24"/>
      <c r="E30" s="24"/>
      <c r="F30" s="24"/>
      <c r="G30" s="24"/>
      <c r="H30" s="24"/>
      <c r="I30" s="24"/>
      <c r="J30" s="24"/>
      <c r="K30" s="24"/>
      <c r="L30" s="24"/>
      <c r="M30" s="24"/>
      <c r="N30" s="24"/>
      <c r="O30" s="24"/>
      <c r="P30" s="24"/>
      <c r="Q30" s="24"/>
    </row>
    <row r="31" spans="2:17">
      <c r="B31" s="310" t="s">
        <v>256</v>
      </c>
      <c r="C31" s="310"/>
      <c r="D31" s="310"/>
      <c r="E31" s="310"/>
      <c r="F31" s="310"/>
      <c r="G31" s="310"/>
      <c r="H31" s="310"/>
      <c r="I31" s="310"/>
      <c r="J31" s="310"/>
      <c r="K31" s="310"/>
      <c r="L31" s="310"/>
      <c r="M31" s="310"/>
      <c r="N31" s="310"/>
      <c r="O31" s="310"/>
      <c r="P31" s="310"/>
      <c r="Q31" s="310"/>
    </row>
    <row r="32" spans="2:17">
      <c r="D32" s="24"/>
      <c r="E32" s="24"/>
      <c r="F32" s="24"/>
      <c r="G32" s="24"/>
      <c r="H32" s="24"/>
      <c r="I32" s="24"/>
      <c r="J32" s="24"/>
      <c r="K32" s="24"/>
      <c r="L32" s="24"/>
      <c r="M32" s="24"/>
      <c r="N32" s="24"/>
      <c r="O32" s="24"/>
      <c r="P32" s="24"/>
      <c r="Q32" s="24"/>
    </row>
    <row r="33" spans="2:17">
      <c r="B33" t="s">
        <v>14</v>
      </c>
      <c r="D33" s="195">
        <f>'Income Statement'!E26</f>
        <v>0</v>
      </c>
      <c r="E33" s="195">
        <f>'Income Statement'!F26</f>
        <v>7544.2790000000005</v>
      </c>
      <c r="F33" s="195">
        <f>'Income Statement'!G26</f>
        <v>9982.8760000000002</v>
      </c>
      <c r="G33" s="195">
        <f>'Income Statement'!H26</f>
        <v>10737.68</v>
      </c>
      <c r="H33" s="195">
        <f>'Income Statement'!I26</f>
        <v>12165.246636870783</v>
      </c>
      <c r="I33" s="195">
        <f>'Income Statement'!J26</f>
        <v>13782.607205271146</v>
      </c>
      <c r="J33" s="195">
        <f>'Income Statement'!K26</f>
        <v>15614.994668423329</v>
      </c>
      <c r="K33" s="195">
        <f>'Income Statement'!L26</f>
        <v>17690.996693400444</v>
      </c>
      <c r="L33" s="195">
        <f>'Income Statement'!M26</f>
        <v>20043.001656529334</v>
      </c>
      <c r="M33" s="195">
        <f>'Income Statement'!N26</f>
        <v>22707.703944882785</v>
      </c>
      <c r="N33" s="195">
        <f>'Income Statement'!O26</f>
        <v>25726.676437232501</v>
      </c>
      <c r="O33" s="195">
        <f>'Income Statement'!P26</f>
        <v>29147.019095922533</v>
      </c>
      <c r="P33" s="195">
        <f>'Income Statement'!Q26</f>
        <v>33022.093788553961</v>
      </c>
      <c r="Q33" s="195">
        <f>'Income Statement'!R26</f>
        <v>37412.356803670591</v>
      </c>
    </row>
    <row r="34" spans="2:17">
      <c r="B34" t="s">
        <v>107</v>
      </c>
      <c r="D34" s="191"/>
      <c r="E34" s="191"/>
      <c r="F34" s="191"/>
      <c r="G34" s="191"/>
      <c r="H34" s="191"/>
      <c r="I34" s="191"/>
      <c r="J34" s="191"/>
      <c r="K34" s="191"/>
      <c r="L34" s="191"/>
      <c r="M34" s="191"/>
      <c r="N34" s="191"/>
      <c r="O34" s="191"/>
      <c r="P34" s="191"/>
      <c r="Q34" s="191"/>
    </row>
    <row r="35" spans="2:17">
      <c r="B35" t="s">
        <v>114</v>
      </c>
      <c r="D35" s="191">
        <f>'Balancesheet Forecasted'!D18-'Balancesheet Forecasted'!C18</f>
        <v>4006.0050000000047</v>
      </c>
      <c r="E35" s="191">
        <f>'Balancesheet Forecasted'!E18-'Balancesheet Forecasted'!D18</f>
        <v>-2038.474000000002</v>
      </c>
      <c r="F35" s="191">
        <f>'Balancesheet Forecasted'!F18-'Balancesheet Forecasted'!E18</f>
        <v>3635.9289999999892</v>
      </c>
      <c r="G35" s="191">
        <f>'Balancesheet Forecasted'!G18-'Balancesheet Forecasted'!F18</f>
        <v>22712.727000000014</v>
      </c>
      <c r="H35" s="191">
        <f>'Balancesheet Forecasted'!H18-'Balancesheet Forecasted'!G18</f>
        <v>51976.054435000027</v>
      </c>
      <c r="I35" s="191">
        <f>'Balancesheet Forecasted'!I18-'Balancesheet Forecasted'!H18</f>
        <v>52235.934707174893</v>
      </c>
      <c r="J35" s="191">
        <f>'Balancesheet Forecasted'!J18-'Balancesheet Forecasted'!I18</f>
        <v>52497.114380710933</v>
      </c>
      <c r="K35" s="191">
        <f>'Balancesheet Forecasted'!K18-'Balancesheet Forecasted'!J18</f>
        <v>52759.599952614342</v>
      </c>
      <c r="L35" s="191">
        <f>'Balancesheet Forecasted'!L18-'Balancesheet Forecasted'!K18</f>
        <v>53023.397952377563</v>
      </c>
      <c r="M35" s="191">
        <f>'Balancesheet Forecasted'!M18-'Balancesheet Forecasted'!L18</f>
        <v>53288.514942139387</v>
      </c>
      <c r="N35" s="191">
        <f>'Balancesheet Forecasted'!N18-'Balancesheet Forecasted'!M18</f>
        <v>53554.957516850147</v>
      </c>
      <c r="O35" s="191">
        <f>'Balancesheet Forecasted'!O18-'Balancesheet Forecasted'!N18</f>
        <v>53822.732304434292</v>
      </c>
      <c r="P35" s="191">
        <f>'Balancesheet Forecasted'!P18-'Balancesheet Forecasted'!O18</f>
        <v>54091.845965956454</v>
      </c>
      <c r="Q35" s="191">
        <f>'Balancesheet Forecasted'!Q18-'Balancesheet Forecasted'!P18</f>
        <v>54362.305195786175</v>
      </c>
    </row>
    <row r="36" spans="2:17">
      <c r="B36" s="23" t="s">
        <v>120</v>
      </c>
      <c r="D36" s="191">
        <f>'Balancesheet Forecasted'!D20-'Balancesheet Forecasted'!C20</f>
        <v>1076.703</v>
      </c>
      <c r="E36" s="191">
        <f>'Balancesheet Forecasted'!E20-'Balancesheet Forecasted'!D20</f>
        <v>-63.384999999999991</v>
      </c>
      <c r="F36" s="191">
        <f>'Balancesheet Forecasted'!F20-'Balancesheet Forecasted'!E20</f>
        <v>0</v>
      </c>
      <c r="G36" s="191">
        <f>'Balancesheet Forecasted'!G20-'Balancesheet Forecasted'!F20</f>
        <v>23728.300999999999</v>
      </c>
      <c r="H36" s="191">
        <f>'Balancesheet Forecasted'!H20-'Balancesheet Forecasted'!G20</f>
        <v>0</v>
      </c>
      <c r="I36" s="191">
        <f>'Balancesheet Forecasted'!I20-'Balancesheet Forecasted'!H20</f>
        <v>0</v>
      </c>
      <c r="J36" s="191">
        <f>'Balancesheet Forecasted'!J20-'Balancesheet Forecasted'!I20</f>
        <v>0</v>
      </c>
      <c r="K36" s="191">
        <f>'Balancesheet Forecasted'!K20-'Balancesheet Forecasted'!J20</f>
        <v>0</v>
      </c>
      <c r="L36" s="191">
        <f>'Balancesheet Forecasted'!L20-'Balancesheet Forecasted'!K20</f>
        <v>0</v>
      </c>
      <c r="M36" s="191">
        <f>'Balancesheet Forecasted'!M20-'Balancesheet Forecasted'!L20</f>
        <v>0</v>
      </c>
      <c r="N36" s="191">
        <f>'Balancesheet Forecasted'!N20-'Balancesheet Forecasted'!M20</f>
        <v>0</v>
      </c>
      <c r="O36" s="191">
        <f>'Balancesheet Forecasted'!O20-'Balancesheet Forecasted'!N20</f>
        <v>0</v>
      </c>
      <c r="P36" s="191">
        <f>'Balancesheet Forecasted'!P20-'Balancesheet Forecasted'!O20</f>
        <v>0</v>
      </c>
      <c r="Q36" s="191">
        <f>'Balancesheet Forecasted'!Q20-'Balancesheet Forecasted'!P20</f>
        <v>0</v>
      </c>
    </row>
    <row r="37" spans="2:17">
      <c r="B37" s="8" t="s">
        <v>115</v>
      </c>
      <c r="C37" s="9"/>
      <c r="D37" s="192">
        <f>D33-D35-D36</f>
        <v>-5082.7080000000042</v>
      </c>
      <c r="E37" s="192">
        <f t="shared" ref="E37:Q37" si="1">E33-E35-E36</f>
        <v>9646.1380000000026</v>
      </c>
      <c r="F37" s="192">
        <f t="shared" si="1"/>
        <v>6346.947000000011</v>
      </c>
      <c r="G37" s="192">
        <f t="shared" si="1"/>
        <v>-35703.348000000013</v>
      </c>
      <c r="H37" s="192">
        <f t="shared" si="1"/>
        <v>-39810.807798129244</v>
      </c>
      <c r="I37" s="192">
        <f t="shared" si="1"/>
        <v>-38453.327501903746</v>
      </c>
      <c r="J37" s="192">
        <f t="shared" si="1"/>
        <v>-36882.119712287604</v>
      </c>
      <c r="K37" s="192">
        <f t="shared" si="1"/>
        <v>-35068.603259213894</v>
      </c>
      <c r="L37" s="192">
        <f t="shared" si="1"/>
        <v>-32980.39629584823</v>
      </c>
      <c r="M37" s="192">
        <f t="shared" si="1"/>
        <v>-30580.810997256602</v>
      </c>
      <c r="N37" s="192">
        <f t="shared" si="1"/>
        <v>-27828.281079617645</v>
      </c>
      <c r="O37" s="192">
        <f t="shared" si="1"/>
        <v>-24675.713208511759</v>
      </c>
      <c r="P37" s="192">
        <f t="shared" si="1"/>
        <v>-21069.752177402494</v>
      </c>
      <c r="Q37" s="192">
        <f t="shared" si="1"/>
        <v>-16949.948392115584</v>
      </c>
    </row>
    <row r="38" spans="2:17">
      <c r="D38" s="24"/>
      <c r="E38" s="24"/>
      <c r="F38" s="24"/>
      <c r="G38" s="24"/>
      <c r="H38" s="24"/>
      <c r="I38" s="24"/>
      <c r="J38" s="24"/>
      <c r="K38" s="24"/>
      <c r="L38" s="24"/>
      <c r="M38" s="24"/>
      <c r="N38" s="24"/>
      <c r="O38" s="24"/>
      <c r="P38" s="24"/>
      <c r="Q38" s="24"/>
    </row>
    <row r="39" spans="2:17">
      <c r="B39" s="310" t="s">
        <v>257</v>
      </c>
      <c r="C39" s="310"/>
      <c r="D39" s="310"/>
      <c r="E39" s="310"/>
      <c r="F39" s="310"/>
      <c r="G39" s="310"/>
      <c r="H39" s="310"/>
      <c r="I39" s="310"/>
      <c r="J39" s="310"/>
      <c r="K39" s="310"/>
      <c r="L39" s="310"/>
      <c r="M39" s="310"/>
      <c r="N39" s="310"/>
      <c r="O39" s="310"/>
      <c r="P39" s="310"/>
      <c r="Q39" s="310"/>
    </row>
    <row r="40" spans="2:17">
      <c r="D40" s="24"/>
      <c r="E40" s="24"/>
      <c r="F40" s="24"/>
      <c r="G40" s="24"/>
      <c r="H40" s="24"/>
      <c r="I40" s="24"/>
      <c r="J40" s="24"/>
      <c r="K40" s="24"/>
      <c r="L40" s="24"/>
      <c r="M40" s="24"/>
      <c r="N40" s="24"/>
      <c r="O40" s="24"/>
      <c r="P40" s="24"/>
      <c r="Q40" s="24"/>
    </row>
    <row r="41" spans="2:17">
      <c r="B41" t="s">
        <v>32</v>
      </c>
      <c r="C41" s="163"/>
      <c r="D41" s="191">
        <f>'Balancesheet Forecasted'!D26-'Balancesheet Forecasted'!C26</f>
        <v>886.45499999999993</v>
      </c>
      <c r="E41" s="191">
        <f>'Balancesheet Forecasted'!E26-'Balancesheet Forecasted'!D26</f>
        <v>65.558000000000902</v>
      </c>
      <c r="F41" s="191">
        <f>'Balancesheet Forecasted'!F26-'Balancesheet Forecasted'!E26</f>
        <v>68.087999999999738</v>
      </c>
      <c r="G41" s="191">
        <f>'Balancesheet Forecasted'!G26-'Balancesheet Forecasted'!F26</f>
        <v>79.040000000000873</v>
      </c>
      <c r="H41" s="191">
        <f>'Balancesheet Forecasted'!H26-'Balancesheet Forecasted'!G26</f>
        <v>0</v>
      </c>
      <c r="I41" s="191">
        <f>'Balancesheet Forecasted'!I26-'Balancesheet Forecasted'!H26</f>
        <v>0</v>
      </c>
      <c r="J41" s="191">
        <f>'Balancesheet Forecasted'!J26-'Balancesheet Forecasted'!I26</f>
        <v>0</v>
      </c>
      <c r="K41" s="191">
        <f>'Balancesheet Forecasted'!K26-'Balancesheet Forecasted'!J26</f>
        <v>0</v>
      </c>
      <c r="L41" s="191">
        <f>'Balancesheet Forecasted'!L26-'Balancesheet Forecasted'!K26</f>
        <v>0</v>
      </c>
      <c r="M41" s="191">
        <f>'Balancesheet Forecasted'!M26-'Balancesheet Forecasted'!L26</f>
        <v>0</v>
      </c>
      <c r="N41" s="191">
        <f>'Balancesheet Forecasted'!N26-'Balancesheet Forecasted'!M26</f>
        <v>0</v>
      </c>
      <c r="O41" s="191">
        <f>'Balancesheet Forecasted'!O26-'Balancesheet Forecasted'!N26</f>
        <v>0</v>
      </c>
      <c r="P41" s="191">
        <f>'Balancesheet Forecasted'!P26-'Balancesheet Forecasted'!O26</f>
        <v>0</v>
      </c>
      <c r="Q41" s="191">
        <f>'Balancesheet Forecasted'!Q26-'Balancesheet Forecasted'!P26</f>
        <v>0</v>
      </c>
    </row>
    <row r="42" spans="2:17">
      <c r="B42" t="s">
        <v>34</v>
      </c>
      <c r="C42" s="163"/>
      <c r="D42" s="191">
        <f>'Balancesheet Forecasted'!D28-'Balancesheet Forecasted'!C28-'Income Statement'!E33</f>
        <v>161548.61700000067</v>
      </c>
      <c r="E42" s="191">
        <f>'Balancesheet Forecasted'!E28-'Balancesheet Forecasted'!D28-'Income Statement'!F33</f>
        <v>-9149.8129999999655</v>
      </c>
      <c r="F42" s="191">
        <f>'Balancesheet Forecasted'!F28-'Balancesheet Forecasted'!E28-'Income Statement'!G33</f>
        <v>-20926.183999999776</v>
      </c>
      <c r="G42" s="191">
        <f>'Balancesheet Forecasted'!G28-'Balancesheet Forecasted'!F28-'Income Statement'!H33</f>
        <v>-32626.570999999414</v>
      </c>
      <c r="H42" s="191">
        <f>'Balancesheet Forecasted'!H28-'Balancesheet Forecasted'!G28-'Income Statement'!I33</f>
        <v>-29137.898045520182</v>
      </c>
      <c r="I42" s="191">
        <f>'Balancesheet Forecasted'!I28-'Balancesheet Forecasted'!H28-'Income Statement'!J33</f>
        <v>-34189.063719556609</v>
      </c>
      <c r="J42" s="191">
        <f>'Balancesheet Forecasted'!J28-'Balancesheet Forecasted'!I28-'Income Statement'!K33</f>
        <v>-40035.965549460379</v>
      </c>
      <c r="K42" s="191">
        <f>'Balancesheet Forecasted'!K28-'Balancesheet Forecasted'!J28-'Income Statement'!L33</f>
        <v>-46838.771966030123</v>
      </c>
      <c r="L42" s="191">
        <f>'Balancesheet Forecasted'!L28-'Balancesheet Forecasted'!K28-'Income Statement'!M33</f>
        <v>-54791.957413183292</v>
      </c>
      <c r="M42" s="191">
        <f>'Balancesheet Forecasted'!M28-'Balancesheet Forecasted'!L28-'Income Statement'!N33</f>
        <v>-64130.098312397022</v>
      </c>
      <c r="N42" s="191">
        <f>'Balancesheet Forecasted'!N28-'Balancesheet Forecasted'!M28-'Income Statement'!O33</f>
        <v>-75134.997000653064</v>
      </c>
      <c r="O42" s="191">
        <f>'Balancesheet Forecasted'!O28-'Balancesheet Forecasted'!N28-'Income Statement'!P33</f>
        <v>-88144.428771644831</v>
      </c>
      <c r="P42" s="191">
        <f>'Balancesheet Forecasted'!P28-'Balancesheet Forecasted'!O28-'Income Statement'!Q33</f>
        <v>-103562.84136311081</v>
      </c>
      <c r="Q42" s="191">
        <f>'Balancesheet Forecasted'!Q28-'Balancesheet Forecasted'!P28-'Income Statement'!R33</f>
        <v>-121874.38874446135</v>
      </c>
    </row>
    <row r="43" spans="2:17">
      <c r="B43" t="s">
        <v>33</v>
      </c>
      <c r="C43" s="163"/>
      <c r="D43" s="191">
        <f>'Balancesheet Forecasted'!D27-'Balancesheet Forecasted'!C27</f>
        <v>-3.8479999999999954</v>
      </c>
      <c r="E43" s="191">
        <f>'Balancesheet Forecasted'!E27-'Balancesheet Forecasted'!D27</f>
        <v>2633.1309999999999</v>
      </c>
      <c r="F43" s="191">
        <f>'Balancesheet Forecasted'!F27-'Balancesheet Forecasted'!E27</f>
        <v>4944.7180000000008</v>
      </c>
      <c r="G43" s="191">
        <f>'Balancesheet Forecasted'!G27-'Balancesheet Forecasted'!F27</f>
        <v>6444.3209999999999</v>
      </c>
      <c r="H43" s="191">
        <f>'Balancesheet Forecasted'!H27-'Balancesheet Forecasted'!G27</f>
        <v>0</v>
      </c>
      <c r="I43" s="191">
        <f>'Balancesheet Forecasted'!I27-'Balancesheet Forecasted'!H27</f>
        <v>0</v>
      </c>
      <c r="J43" s="191">
        <f>'Balancesheet Forecasted'!J27-'Balancesheet Forecasted'!I27</f>
        <v>0</v>
      </c>
      <c r="K43" s="191">
        <f>'Balancesheet Forecasted'!K27-'Balancesheet Forecasted'!J27</f>
        <v>0</v>
      </c>
      <c r="L43" s="191">
        <f>'Balancesheet Forecasted'!L27-'Balancesheet Forecasted'!K27</f>
        <v>0</v>
      </c>
      <c r="M43" s="191">
        <f>'Balancesheet Forecasted'!M27-'Balancesheet Forecasted'!L27</f>
        <v>0</v>
      </c>
      <c r="N43" s="191">
        <f>'Balancesheet Forecasted'!N27-'Balancesheet Forecasted'!M27</f>
        <v>0</v>
      </c>
      <c r="O43" s="191">
        <f>'Balancesheet Forecasted'!O27-'Balancesheet Forecasted'!N27</f>
        <v>0</v>
      </c>
      <c r="P43" s="191">
        <f>'Balancesheet Forecasted'!P27-'Balancesheet Forecasted'!O27</f>
        <v>0</v>
      </c>
      <c r="Q43" s="191">
        <f>'Balancesheet Forecasted'!Q27-'Balancesheet Forecasted'!P27</f>
        <v>0</v>
      </c>
    </row>
    <row r="44" spans="2:17">
      <c r="B44" t="s">
        <v>107</v>
      </c>
      <c r="C44" s="163"/>
      <c r="D44" s="191"/>
      <c r="E44" s="191"/>
      <c r="F44" s="191"/>
      <c r="G44" s="191"/>
      <c r="H44" s="191"/>
      <c r="I44" s="191"/>
      <c r="J44" s="191"/>
      <c r="K44" s="191"/>
      <c r="L44" s="191"/>
      <c r="M44" s="191"/>
      <c r="N44" s="191"/>
      <c r="O44" s="191"/>
      <c r="P44" s="191"/>
      <c r="Q44" s="191"/>
    </row>
    <row r="45" spans="2:17">
      <c r="B45" t="s">
        <v>105</v>
      </c>
      <c r="C45" s="163"/>
      <c r="D45" s="195">
        <f>'Income Statement'!E25</f>
        <v>89394.289000000004</v>
      </c>
      <c r="E45" s="195">
        <f>'Income Statement'!F25</f>
        <v>75533.877999999997</v>
      </c>
      <c r="F45" s="195">
        <f>'Income Statement'!G25</f>
        <v>110668.47199999999</v>
      </c>
      <c r="G45" s="195">
        <f>'Income Statement'!H25</f>
        <v>153237.07199999999</v>
      </c>
      <c r="H45" s="195">
        <f>'Income Statement'!I25</f>
        <v>171054.5583858818</v>
      </c>
      <c r="I45" s="195">
        <f>'Income Statement'!J25</f>
        <v>200304.7223680476</v>
      </c>
      <c r="J45" s="195">
        <f>'Income Statement'!K25</f>
        <v>234390.13335683607</v>
      </c>
      <c r="K45" s="195">
        <f>'Income Statement'!L25</f>
        <v>274311.95029416995</v>
      </c>
      <c r="L45" s="195">
        <f>'Income Statement'!M25</f>
        <v>321293.8838091775</v>
      </c>
      <c r="M45" s="195">
        <f>'Income Statement'!N25</f>
        <v>376823.04709916411</v>
      </c>
      <c r="N45" s="195">
        <f>'Income Statement'!O25</f>
        <v>442700.17608712573</v>
      </c>
      <c r="O45" s="195">
        <f>'Income Statement'!P25</f>
        <v>521101.39317792119</v>
      </c>
      <c r="P45" s="195">
        <f>'Income Statement'!Q25</f>
        <v>614654.01041168999</v>
      </c>
      <c r="Q45" s="195">
        <f>'Income Statement'!R25</f>
        <v>726529.31789840339</v>
      </c>
    </row>
    <row r="46" spans="2:17">
      <c r="B46" s="8" t="s">
        <v>116</v>
      </c>
      <c r="C46" s="165"/>
      <c r="D46" s="192">
        <f>SUM(D41:D43)-D45</f>
        <v>73036.935000000653</v>
      </c>
      <c r="E46" s="192">
        <f t="shared" ref="E46:Q46" si="2">SUM(E41:E43)-E45</f>
        <v>-81985.001999999964</v>
      </c>
      <c r="F46" s="192">
        <f t="shared" si="2"/>
        <v>-126581.84999999977</v>
      </c>
      <c r="G46" s="192">
        <f t="shared" si="2"/>
        <v>-179340.2819999994</v>
      </c>
      <c r="H46" s="192">
        <f t="shared" si="2"/>
        <v>-200192.45643140198</v>
      </c>
      <c r="I46" s="192">
        <f t="shared" si="2"/>
        <v>-234493.78608760421</v>
      </c>
      <c r="J46" s="192">
        <f t="shared" si="2"/>
        <v>-274426.09890629642</v>
      </c>
      <c r="K46" s="192">
        <f t="shared" si="2"/>
        <v>-321150.72226020007</v>
      </c>
      <c r="L46" s="192">
        <f t="shared" si="2"/>
        <v>-376085.84122236079</v>
      </c>
      <c r="M46" s="192">
        <f t="shared" si="2"/>
        <v>-440953.14541156113</v>
      </c>
      <c r="N46" s="192">
        <f t="shared" si="2"/>
        <v>-517835.17308777879</v>
      </c>
      <c r="O46" s="192">
        <f t="shared" si="2"/>
        <v>-609245.82194956602</v>
      </c>
      <c r="P46" s="192">
        <f t="shared" si="2"/>
        <v>-718216.8517748008</v>
      </c>
      <c r="Q46" s="192">
        <f t="shared" si="2"/>
        <v>-848403.70664286474</v>
      </c>
    </row>
    <row r="47" spans="2:17">
      <c r="C47" s="163"/>
      <c r="D47" s="191"/>
      <c r="E47" s="191"/>
      <c r="F47" s="191"/>
      <c r="G47" s="191"/>
      <c r="H47" s="191"/>
      <c r="I47" s="191"/>
      <c r="J47" s="191"/>
      <c r="K47" s="191"/>
      <c r="L47" s="191"/>
      <c r="M47" s="191"/>
      <c r="N47" s="191"/>
      <c r="O47" s="191"/>
      <c r="P47" s="191"/>
      <c r="Q47" s="191"/>
    </row>
    <row r="48" spans="2:17">
      <c r="B48" s="11" t="s">
        <v>117</v>
      </c>
      <c r="C48" s="166"/>
      <c r="D48" s="193">
        <f>D46+D37+D29</f>
        <v>95367.755000001052</v>
      </c>
      <c r="E48" s="193">
        <f t="shared" ref="E48:Q48" si="3">E46+E37+E29</f>
        <v>188639.55199999956</v>
      </c>
      <c r="F48" s="193">
        <f t="shared" si="3"/>
        <v>92289.34500000038</v>
      </c>
      <c r="G48" s="193">
        <f t="shared" si="3"/>
        <v>160276.28800000111</v>
      </c>
      <c r="H48" s="193">
        <f t="shared" si="3"/>
        <v>828891.77127729845</v>
      </c>
      <c r="I48" s="193">
        <f t="shared" si="3"/>
        <v>316671.78889766947</v>
      </c>
      <c r="J48" s="193">
        <f t="shared" si="3"/>
        <v>376657.14224520308</v>
      </c>
      <c r="K48" s="193">
        <f t="shared" si="3"/>
        <v>445968.18708626152</v>
      </c>
      <c r="L48" s="193">
        <f t="shared" si="3"/>
        <v>526456.92218319047</v>
      </c>
      <c r="M48" s="193">
        <f t="shared" si="3"/>
        <v>620369.37849624408</v>
      </c>
      <c r="N48" s="193">
        <f t="shared" si="3"/>
        <v>730410.5316299902</v>
      </c>
      <c r="O48" s="193">
        <f t="shared" si="3"/>
        <v>859823.90834528161</v>
      </c>
      <c r="P48" s="193">
        <f t="shared" si="3"/>
        <v>1012489.1569267266</v>
      </c>
      <c r="Q48" s="193">
        <f t="shared" si="3"/>
        <v>1193041.1863052002</v>
      </c>
    </row>
    <row r="49" spans="2:17">
      <c r="B49" t="s">
        <v>118</v>
      </c>
      <c r="C49" s="163"/>
      <c r="D49" s="191">
        <f>C50</f>
        <v>353119.34100000001</v>
      </c>
      <c r="E49" s="191">
        <f t="shared" ref="E49:Q49" si="4">D50</f>
        <v>448487.09600000107</v>
      </c>
      <c r="F49" s="191">
        <f t="shared" si="4"/>
        <v>637126.64800000063</v>
      </c>
      <c r="G49" s="191">
        <f t="shared" si="4"/>
        <v>729415.99300000095</v>
      </c>
      <c r="H49" s="191">
        <f t="shared" si="4"/>
        <v>889692.28100000205</v>
      </c>
      <c r="I49" s="191">
        <f t="shared" si="4"/>
        <v>1718584.0522773005</v>
      </c>
      <c r="J49" s="191">
        <f t="shared" si="4"/>
        <v>2035255.8411749699</v>
      </c>
      <c r="K49" s="191">
        <f t="shared" si="4"/>
        <v>2411912.9834201732</v>
      </c>
      <c r="L49" s="191">
        <f t="shared" si="4"/>
        <v>2857881.1705064345</v>
      </c>
      <c r="M49" s="191">
        <f t="shared" si="4"/>
        <v>3384338.092689625</v>
      </c>
      <c r="N49" s="191">
        <f t="shared" si="4"/>
        <v>4004707.4711858691</v>
      </c>
      <c r="O49" s="191">
        <f t="shared" si="4"/>
        <v>4735118.0028158594</v>
      </c>
      <c r="P49" s="191">
        <f t="shared" si="4"/>
        <v>5594941.9111611415</v>
      </c>
      <c r="Q49" s="191">
        <f t="shared" si="4"/>
        <v>6607431.0680878684</v>
      </c>
    </row>
    <row r="50" spans="2:17">
      <c r="B50" s="11" t="s">
        <v>119</v>
      </c>
      <c r="C50" s="166">
        <f>'Balancesheet Forecasted'!C14</f>
        <v>353119.34100000001</v>
      </c>
      <c r="D50" s="193">
        <f>SUM(D48:D49)</f>
        <v>448487.09600000107</v>
      </c>
      <c r="E50" s="193">
        <f t="shared" ref="E50:Q50" si="5">SUM(E48:E49)</f>
        <v>637126.64800000063</v>
      </c>
      <c r="F50" s="193">
        <f t="shared" si="5"/>
        <v>729415.99300000095</v>
      </c>
      <c r="G50" s="193">
        <f t="shared" si="5"/>
        <v>889692.28100000205</v>
      </c>
      <c r="H50" s="193">
        <f t="shared" si="5"/>
        <v>1718584.0522773005</v>
      </c>
      <c r="I50" s="193">
        <f t="shared" si="5"/>
        <v>2035255.8411749699</v>
      </c>
      <c r="J50" s="193">
        <f t="shared" si="5"/>
        <v>2411912.9834201732</v>
      </c>
      <c r="K50" s="193">
        <f t="shared" si="5"/>
        <v>2857881.1705064345</v>
      </c>
      <c r="L50" s="193">
        <f t="shared" si="5"/>
        <v>3384338.092689625</v>
      </c>
      <c r="M50" s="193">
        <f t="shared" si="5"/>
        <v>4004707.4711858691</v>
      </c>
      <c r="N50" s="193">
        <f t="shared" si="5"/>
        <v>4735118.0028158594</v>
      </c>
      <c r="O50" s="193">
        <f t="shared" si="5"/>
        <v>5594941.9111611415</v>
      </c>
      <c r="P50" s="193">
        <f t="shared" si="5"/>
        <v>6607431.0680878684</v>
      </c>
      <c r="Q50" s="193">
        <f t="shared" si="5"/>
        <v>7800472.2543930691</v>
      </c>
    </row>
    <row r="52" spans="2:17">
      <c r="B52" s="30"/>
      <c r="C52" s="30"/>
      <c r="D52" s="30"/>
      <c r="E52" s="30"/>
      <c r="F52" s="30"/>
      <c r="G52" s="30"/>
      <c r="H52" s="30"/>
      <c r="I52" s="30"/>
      <c r="J52" s="30"/>
      <c r="K52" s="30"/>
      <c r="L52" s="30"/>
      <c r="M52" s="30"/>
      <c r="N52" s="30"/>
      <c r="O52" s="30"/>
      <c r="P52" s="30"/>
      <c r="Q52" s="30"/>
    </row>
  </sheetData>
  <mergeCells count="3">
    <mergeCell ref="B11:Q11"/>
    <mergeCell ref="B31:Q31"/>
    <mergeCell ref="B39:Q3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487"/>
  <sheetViews>
    <sheetView showGridLines="0" workbookViewId="0">
      <pane ySplit="5" topLeftCell="A6" activePane="bottomLeft" state="frozen"/>
      <selection pane="bottomLeft" activeCell="A6" sqref="A6"/>
    </sheetView>
  </sheetViews>
  <sheetFormatPr defaultRowHeight="15"/>
  <cols>
    <col min="1" max="1" width="1.85546875" customWidth="1"/>
    <col min="2" max="2" width="25.7109375" bestFit="1" customWidth="1"/>
    <col min="3" max="3" width="18.42578125" bestFit="1" customWidth="1"/>
    <col min="8" max="8" width="10.140625" bestFit="1" customWidth="1"/>
    <col min="9" max="9" width="10.7109375" bestFit="1" customWidth="1"/>
  </cols>
  <sheetData>
    <row r="1" spans="2:13" ht="5.0999999999999996" customHeight="1">
      <c r="B1" s="30"/>
      <c r="C1" s="30"/>
      <c r="D1" s="30"/>
      <c r="E1" s="30"/>
      <c r="F1" s="30"/>
      <c r="G1" s="30"/>
      <c r="H1" s="30"/>
      <c r="I1" s="30"/>
      <c r="J1" s="30"/>
      <c r="K1" s="30"/>
      <c r="L1" s="30"/>
      <c r="M1" s="30"/>
    </row>
    <row r="2" spans="2:13" ht="12" customHeight="1"/>
    <row r="3" spans="2:13">
      <c r="B3" s="170" t="s">
        <v>260</v>
      </c>
    </row>
    <row r="4" spans="2:13">
      <c r="B4" s="171" t="s">
        <v>262</v>
      </c>
    </row>
    <row r="5" spans="2:13">
      <c r="B5" s="25" t="s">
        <v>261</v>
      </c>
      <c r="C5" s="29"/>
      <c r="D5" s="29"/>
      <c r="E5" s="29"/>
      <c r="F5" s="29"/>
      <c r="G5" s="29"/>
      <c r="H5" s="29"/>
      <c r="I5" s="29"/>
      <c r="J5" s="29"/>
      <c r="K5" s="29"/>
      <c r="L5" s="29"/>
      <c r="M5" s="29"/>
    </row>
    <row r="7" spans="2:13">
      <c r="B7" s="309" t="s">
        <v>265</v>
      </c>
      <c r="C7" s="309"/>
      <c r="D7" s="309"/>
      <c r="E7" s="309"/>
      <c r="F7" s="309"/>
      <c r="G7" s="309"/>
      <c r="H7" s="309"/>
      <c r="I7" s="309"/>
      <c r="J7" s="309"/>
      <c r="K7" s="309"/>
      <c r="L7" s="309"/>
      <c r="M7" s="309"/>
    </row>
    <row r="8" spans="2:13" ht="15.75" thickBot="1"/>
    <row r="9" spans="2:13" ht="15.75" thickBot="1">
      <c r="B9" s="311" t="s">
        <v>156</v>
      </c>
      <c r="C9" s="312"/>
      <c r="H9" s="311" t="s">
        <v>157</v>
      </c>
      <c r="I9" s="312"/>
    </row>
    <row r="10" spans="2:13">
      <c r="B10" s="91" t="s">
        <v>121</v>
      </c>
      <c r="C10" s="91" t="s">
        <v>155</v>
      </c>
      <c r="H10" s="91" t="s">
        <v>121</v>
      </c>
      <c r="I10" s="91" t="s">
        <v>155</v>
      </c>
    </row>
    <row r="11" spans="2:13" ht="15.75" thickBot="1">
      <c r="B11" s="86">
        <v>45744</v>
      </c>
      <c r="C11" s="61">
        <v>35054.080000000002</v>
      </c>
      <c r="H11" s="86">
        <v>42095</v>
      </c>
      <c r="I11" s="61">
        <v>28260.14</v>
      </c>
    </row>
    <row r="12" spans="2:13" ht="15.75" thickBot="1">
      <c r="B12" s="86">
        <v>45743</v>
      </c>
      <c r="C12" s="61">
        <v>35162.32</v>
      </c>
      <c r="E12" s="88" t="s">
        <v>122</v>
      </c>
      <c r="F12" s="89">
        <f>YEARFRAC(B2487,B11)</f>
        <v>9.9916666666666671</v>
      </c>
      <c r="H12" s="86">
        <v>42100</v>
      </c>
      <c r="I12" s="61">
        <v>28504.46</v>
      </c>
      <c r="L12" s="88" t="s">
        <v>122</v>
      </c>
      <c r="M12" s="89">
        <f>YEARFRAC(H11,H2485)</f>
        <v>9.9916666666666671</v>
      </c>
    </row>
    <row r="13" spans="2:13" ht="15.75" thickBot="1">
      <c r="B13" s="86">
        <v>45742</v>
      </c>
      <c r="C13" s="61">
        <v>35005.67</v>
      </c>
      <c r="H13" s="86">
        <v>42101</v>
      </c>
      <c r="I13" s="61">
        <v>28516.59</v>
      </c>
    </row>
    <row r="14" spans="2:13" ht="15.75" thickBot="1">
      <c r="B14" s="86">
        <v>45741</v>
      </c>
      <c r="C14" s="61">
        <v>35276.65</v>
      </c>
      <c r="E14" s="88" t="s">
        <v>123</v>
      </c>
      <c r="F14" s="90">
        <f>_xlfn.RRI(F12,C2487,C11)</f>
        <v>0.11969791430979027</v>
      </c>
      <c r="H14" s="86">
        <v>42102</v>
      </c>
      <c r="I14" s="61">
        <v>28707.75</v>
      </c>
      <c r="L14" s="88" t="s">
        <v>123</v>
      </c>
      <c r="M14" s="90">
        <f>_xlfn.RRI(M12,I11,I2485)</f>
        <v>0.10611819764391583</v>
      </c>
    </row>
    <row r="15" spans="2:13">
      <c r="B15" s="86">
        <v>45740</v>
      </c>
      <c r="C15" s="61">
        <v>35261.269999999997</v>
      </c>
      <c r="H15" s="86">
        <v>42103</v>
      </c>
      <c r="I15" s="61">
        <v>28885.21</v>
      </c>
    </row>
    <row r="16" spans="2:13">
      <c r="B16" s="86">
        <v>45737</v>
      </c>
      <c r="C16" s="61">
        <v>34802.300000000003</v>
      </c>
      <c r="H16" s="86">
        <v>42104</v>
      </c>
      <c r="I16" s="61">
        <v>28879.38</v>
      </c>
    </row>
    <row r="17" spans="2:9">
      <c r="B17" s="86">
        <v>45736</v>
      </c>
      <c r="C17" s="61">
        <v>34564.18</v>
      </c>
      <c r="H17" s="86">
        <v>42107</v>
      </c>
      <c r="I17" s="61">
        <v>29044.44</v>
      </c>
    </row>
    <row r="18" spans="2:9">
      <c r="B18" s="86">
        <v>45735</v>
      </c>
      <c r="C18" s="61">
        <v>34142.35</v>
      </c>
      <c r="H18" s="86">
        <v>42109</v>
      </c>
      <c r="I18" s="61">
        <v>28799.69</v>
      </c>
    </row>
    <row r="19" spans="2:9">
      <c r="B19" s="86">
        <v>45734</v>
      </c>
      <c r="C19" s="61">
        <v>34033.06</v>
      </c>
      <c r="H19" s="86">
        <v>42110</v>
      </c>
      <c r="I19" s="61">
        <v>28666.04</v>
      </c>
    </row>
    <row r="20" spans="2:9">
      <c r="B20" s="86">
        <v>45733</v>
      </c>
      <c r="C20" s="61">
        <v>33547.879999999997</v>
      </c>
      <c r="H20" s="86">
        <v>42111</v>
      </c>
      <c r="I20" s="61">
        <v>28442.1</v>
      </c>
    </row>
    <row r="21" spans="2:9">
      <c r="B21" s="86">
        <v>45729</v>
      </c>
      <c r="C21" s="61">
        <v>33381.620000000003</v>
      </c>
      <c r="H21" s="86">
        <v>42114</v>
      </c>
      <c r="I21" s="61">
        <v>27886.21</v>
      </c>
    </row>
    <row r="22" spans="2:9">
      <c r="B22" s="86">
        <v>45728</v>
      </c>
      <c r="C22" s="61">
        <v>33490.870000000003</v>
      </c>
      <c r="H22" s="86">
        <v>42115</v>
      </c>
      <c r="I22" s="61">
        <v>27676.04</v>
      </c>
    </row>
    <row r="23" spans="2:9">
      <c r="B23" s="86">
        <v>45727</v>
      </c>
      <c r="C23" s="61">
        <v>33531.68</v>
      </c>
      <c r="H23" s="86">
        <v>42116</v>
      </c>
      <c r="I23" s="61">
        <v>27890.13</v>
      </c>
    </row>
    <row r="24" spans="2:9">
      <c r="B24" s="86">
        <v>45726</v>
      </c>
      <c r="C24" s="61">
        <v>33473.919999999998</v>
      </c>
      <c r="H24" s="86">
        <v>42117</v>
      </c>
      <c r="I24" s="61">
        <v>27735.02</v>
      </c>
    </row>
    <row r="25" spans="2:9">
      <c r="B25" s="86">
        <v>45723</v>
      </c>
      <c r="C25" s="61">
        <v>33611.300000000003</v>
      </c>
      <c r="H25" s="86">
        <v>42118</v>
      </c>
      <c r="I25" s="61">
        <v>27437.94</v>
      </c>
    </row>
    <row r="26" spans="2:9">
      <c r="B26" s="86">
        <v>45722</v>
      </c>
      <c r="C26" s="61">
        <v>33599.300000000003</v>
      </c>
      <c r="H26" s="86">
        <v>42121</v>
      </c>
      <c r="I26" s="61">
        <v>27176.99</v>
      </c>
    </row>
    <row r="27" spans="2:9">
      <c r="B27" s="86">
        <v>45721</v>
      </c>
      <c r="C27" s="61">
        <v>33290.199999999997</v>
      </c>
      <c r="H27" s="86">
        <v>42122</v>
      </c>
      <c r="I27" s="61">
        <v>27396.38</v>
      </c>
    </row>
    <row r="28" spans="2:9">
      <c r="B28" s="86">
        <v>45720</v>
      </c>
      <c r="C28" s="61">
        <v>32910.629999999997</v>
      </c>
      <c r="H28" s="86">
        <v>42123</v>
      </c>
      <c r="I28" s="61">
        <v>27225.93</v>
      </c>
    </row>
    <row r="29" spans="2:9">
      <c r="B29" s="86">
        <v>45719</v>
      </c>
      <c r="C29" s="61">
        <v>32965.25</v>
      </c>
      <c r="H29" s="86">
        <v>42124</v>
      </c>
      <c r="I29" s="61">
        <v>27011.31</v>
      </c>
    </row>
    <row r="30" spans="2:9">
      <c r="B30" s="86">
        <v>45716</v>
      </c>
      <c r="C30" s="61">
        <v>32973.360000000001</v>
      </c>
      <c r="H30" s="86">
        <v>42128</v>
      </c>
      <c r="I30" s="61">
        <v>27490.59</v>
      </c>
    </row>
    <row r="31" spans="2:9">
      <c r="B31" s="86">
        <v>45715</v>
      </c>
      <c r="C31" s="61">
        <v>33599.79</v>
      </c>
      <c r="H31" s="86">
        <v>42129</v>
      </c>
      <c r="I31" s="61">
        <v>27440.14</v>
      </c>
    </row>
    <row r="32" spans="2:9">
      <c r="B32" s="86">
        <v>45713</v>
      </c>
      <c r="C32" s="61">
        <v>33603.550000000003</v>
      </c>
      <c r="H32" s="86">
        <v>42130</v>
      </c>
      <c r="I32" s="61">
        <v>26717.37</v>
      </c>
    </row>
    <row r="33" spans="2:9">
      <c r="B33" s="86">
        <v>45712</v>
      </c>
      <c r="C33" s="61">
        <v>33612.18</v>
      </c>
      <c r="H33" s="86">
        <v>42131</v>
      </c>
      <c r="I33" s="61">
        <v>26599.11</v>
      </c>
    </row>
    <row r="34" spans="2:9">
      <c r="B34" s="86">
        <v>45709</v>
      </c>
      <c r="C34" s="61">
        <v>33973.61</v>
      </c>
      <c r="H34" s="86">
        <v>42132</v>
      </c>
      <c r="I34" s="61">
        <v>27105.39</v>
      </c>
    </row>
    <row r="35" spans="2:9">
      <c r="B35" s="86">
        <v>45708</v>
      </c>
      <c r="C35" s="61">
        <v>34148.36</v>
      </c>
      <c r="H35" s="86">
        <v>42135</v>
      </c>
      <c r="I35" s="61">
        <v>27507.3</v>
      </c>
    </row>
    <row r="36" spans="2:9">
      <c r="B36" s="86">
        <v>45707</v>
      </c>
      <c r="C36" s="61">
        <v>34177.82</v>
      </c>
      <c r="H36" s="86">
        <v>42136</v>
      </c>
      <c r="I36" s="61">
        <v>26877.48</v>
      </c>
    </row>
    <row r="37" spans="2:9">
      <c r="B37" s="86">
        <v>45706</v>
      </c>
      <c r="C37" s="61">
        <v>34196.32</v>
      </c>
      <c r="H37" s="86">
        <v>42137</v>
      </c>
      <c r="I37" s="61">
        <v>27251.1</v>
      </c>
    </row>
    <row r="38" spans="2:9">
      <c r="B38" s="86">
        <v>45705</v>
      </c>
      <c r="C38" s="61">
        <v>34217.480000000003</v>
      </c>
      <c r="H38" s="86">
        <v>42138</v>
      </c>
      <c r="I38" s="61">
        <v>27206.06</v>
      </c>
    </row>
    <row r="39" spans="2:9">
      <c r="B39" s="86">
        <v>45702</v>
      </c>
      <c r="C39" s="61">
        <v>34172.379999999997</v>
      </c>
      <c r="H39" s="86">
        <v>42139</v>
      </c>
      <c r="I39" s="61">
        <v>27324</v>
      </c>
    </row>
    <row r="40" spans="2:9">
      <c r="B40" s="86">
        <v>45701</v>
      </c>
      <c r="C40" s="61">
        <v>34324.31</v>
      </c>
      <c r="H40" s="86">
        <v>42142</v>
      </c>
      <c r="I40" s="61">
        <v>27687.3</v>
      </c>
    </row>
    <row r="41" spans="2:9">
      <c r="B41" s="86">
        <v>45700</v>
      </c>
      <c r="C41" s="61">
        <v>34344.93</v>
      </c>
      <c r="H41" s="86">
        <v>42143</v>
      </c>
      <c r="I41" s="61">
        <v>27645.53</v>
      </c>
    </row>
    <row r="42" spans="2:9">
      <c r="B42" s="86">
        <v>45699</v>
      </c>
      <c r="C42" s="61">
        <v>34364.39</v>
      </c>
      <c r="H42" s="86">
        <v>42144</v>
      </c>
      <c r="I42" s="61">
        <v>27837.21</v>
      </c>
    </row>
    <row r="43" spans="2:9">
      <c r="B43" s="86">
        <v>45698</v>
      </c>
      <c r="C43" s="61">
        <v>34825.870000000003</v>
      </c>
      <c r="H43" s="86">
        <v>42145</v>
      </c>
      <c r="I43" s="61">
        <v>27809.35</v>
      </c>
    </row>
    <row r="44" spans="2:9">
      <c r="B44" s="86">
        <v>45695</v>
      </c>
      <c r="C44" s="61">
        <v>35091.5</v>
      </c>
      <c r="H44" s="86">
        <v>42146</v>
      </c>
      <c r="I44" s="61">
        <v>27957.5</v>
      </c>
    </row>
    <row r="45" spans="2:9">
      <c r="B45" s="86">
        <v>45694</v>
      </c>
      <c r="C45" s="61">
        <v>35143.08</v>
      </c>
      <c r="H45" s="86">
        <v>42149</v>
      </c>
      <c r="I45" s="61">
        <v>27643.88</v>
      </c>
    </row>
    <row r="46" spans="2:9">
      <c r="B46" s="86">
        <v>45693</v>
      </c>
      <c r="C46" s="61">
        <v>35277.699999999997</v>
      </c>
      <c r="H46" s="86">
        <v>42150</v>
      </c>
      <c r="I46" s="61">
        <v>27531.41</v>
      </c>
    </row>
    <row r="47" spans="2:9">
      <c r="B47" s="86">
        <v>45692</v>
      </c>
      <c r="C47" s="61">
        <v>35341.64</v>
      </c>
      <c r="H47" s="86">
        <v>42151</v>
      </c>
      <c r="I47" s="61">
        <v>27564.66</v>
      </c>
    </row>
    <row r="48" spans="2:9">
      <c r="B48" s="86">
        <v>45691</v>
      </c>
      <c r="C48" s="61">
        <v>34778.660000000003</v>
      </c>
      <c r="H48" s="86">
        <v>42152</v>
      </c>
      <c r="I48" s="61">
        <v>27506.71</v>
      </c>
    </row>
    <row r="49" spans="2:9">
      <c r="B49" s="86">
        <v>45689</v>
      </c>
      <c r="C49" s="61">
        <v>34958.89</v>
      </c>
      <c r="H49" s="86">
        <v>42153</v>
      </c>
      <c r="I49" s="61">
        <v>27828.44</v>
      </c>
    </row>
    <row r="50" spans="2:9">
      <c r="B50" s="86">
        <v>45688</v>
      </c>
      <c r="C50" s="61">
        <v>34998.01</v>
      </c>
      <c r="H50" s="86">
        <v>42156</v>
      </c>
      <c r="I50" s="61">
        <v>27848.99</v>
      </c>
    </row>
    <row r="51" spans="2:9">
      <c r="B51" s="86">
        <v>45687</v>
      </c>
      <c r="C51" s="61">
        <v>34603.4</v>
      </c>
      <c r="H51" s="86">
        <v>42157</v>
      </c>
      <c r="I51" s="61">
        <v>27188.38</v>
      </c>
    </row>
    <row r="52" spans="2:9">
      <c r="B52" s="86">
        <v>45686</v>
      </c>
      <c r="C52" s="61">
        <v>34474.800000000003</v>
      </c>
      <c r="H52" s="86">
        <v>42158</v>
      </c>
      <c r="I52" s="61">
        <v>26837.200000000001</v>
      </c>
    </row>
    <row r="53" spans="2:9">
      <c r="B53" s="86">
        <v>45685</v>
      </c>
      <c r="C53" s="61">
        <v>34165.22</v>
      </c>
      <c r="H53" s="86">
        <v>42159</v>
      </c>
      <c r="I53" s="61">
        <v>26813.42</v>
      </c>
    </row>
    <row r="54" spans="2:9">
      <c r="B54" s="86">
        <v>45684</v>
      </c>
      <c r="C54" s="61">
        <v>33974.58</v>
      </c>
      <c r="H54" s="86">
        <v>42160</v>
      </c>
      <c r="I54" s="61">
        <v>26768.49</v>
      </c>
    </row>
    <row r="55" spans="2:9">
      <c r="B55" s="86">
        <v>45681</v>
      </c>
      <c r="C55" s="61">
        <v>34366.04</v>
      </c>
      <c r="H55" s="86">
        <v>42163</v>
      </c>
      <c r="I55" s="61">
        <v>26523.09</v>
      </c>
    </row>
    <row r="56" spans="2:9">
      <c r="B56" s="86">
        <v>45680</v>
      </c>
      <c r="C56" s="61">
        <v>34534.46</v>
      </c>
      <c r="H56" s="86">
        <v>42164</v>
      </c>
      <c r="I56" s="61">
        <v>26481.25</v>
      </c>
    </row>
    <row r="57" spans="2:9">
      <c r="B57" s="86">
        <v>45679</v>
      </c>
      <c r="C57" s="61">
        <v>34460.03</v>
      </c>
      <c r="H57" s="86">
        <v>42165</v>
      </c>
      <c r="I57" s="61">
        <v>26840.5</v>
      </c>
    </row>
    <row r="58" spans="2:9">
      <c r="B58" s="86">
        <v>45678</v>
      </c>
      <c r="C58" s="61">
        <v>34265.550000000003</v>
      </c>
      <c r="H58" s="86">
        <v>42166</v>
      </c>
      <c r="I58" s="61">
        <v>26370.98</v>
      </c>
    </row>
    <row r="59" spans="2:9">
      <c r="B59" s="86">
        <v>45677</v>
      </c>
      <c r="C59" s="61">
        <v>34741.89</v>
      </c>
      <c r="H59" s="86">
        <v>42167</v>
      </c>
      <c r="I59" s="61">
        <v>26425.3</v>
      </c>
    </row>
    <row r="60" spans="2:9">
      <c r="B60" s="86">
        <v>45674</v>
      </c>
      <c r="C60" s="61">
        <v>34531.21</v>
      </c>
      <c r="H60" s="86">
        <v>42170</v>
      </c>
      <c r="I60" s="61">
        <v>26586.55</v>
      </c>
    </row>
    <row r="61" spans="2:9">
      <c r="B61" s="86">
        <v>45673</v>
      </c>
      <c r="C61" s="61">
        <v>34660.67</v>
      </c>
      <c r="H61" s="86">
        <v>42171</v>
      </c>
      <c r="I61" s="61">
        <v>26686.51</v>
      </c>
    </row>
    <row r="62" spans="2:9">
      <c r="B62" s="86">
        <v>45672</v>
      </c>
      <c r="C62" s="61">
        <v>34514.06</v>
      </c>
      <c r="H62" s="86">
        <v>42172</v>
      </c>
      <c r="I62" s="61">
        <v>26832.66</v>
      </c>
    </row>
    <row r="63" spans="2:9">
      <c r="B63" s="86">
        <v>45671</v>
      </c>
      <c r="C63" s="61">
        <v>34458.870000000003</v>
      </c>
      <c r="H63" s="86">
        <v>42173</v>
      </c>
      <c r="I63" s="61">
        <v>27115.83</v>
      </c>
    </row>
    <row r="64" spans="2:9">
      <c r="B64" s="86">
        <v>45670</v>
      </c>
      <c r="C64" s="61">
        <v>34324.870000000003</v>
      </c>
      <c r="H64" s="86">
        <v>42174</v>
      </c>
      <c r="I64" s="61">
        <v>27316.17</v>
      </c>
    </row>
    <row r="65" spans="2:9">
      <c r="B65" s="86">
        <v>45667</v>
      </c>
      <c r="C65" s="61">
        <v>34838.660000000003</v>
      </c>
      <c r="H65" s="86">
        <v>42177</v>
      </c>
      <c r="I65" s="61">
        <v>27730.21</v>
      </c>
    </row>
    <row r="66" spans="2:9">
      <c r="B66" s="86">
        <v>45666</v>
      </c>
      <c r="C66" s="61">
        <v>34979.910000000003</v>
      </c>
      <c r="H66" s="86">
        <v>42178</v>
      </c>
      <c r="I66" s="61">
        <v>27804.37</v>
      </c>
    </row>
    <row r="67" spans="2:9">
      <c r="B67" s="86">
        <v>45665</v>
      </c>
      <c r="C67" s="61">
        <v>35221.43</v>
      </c>
      <c r="H67" s="86">
        <v>42179</v>
      </c>
      <c r="I67" s="61">
        <v>27729.67</v>
      </c>
    </row>
    <row r="68" spans="2:9">
      <c r="B68" s="86">
        <v>45664</v>
      </c>
      <c r="C68" s="61">
        <v>35249.64</v>
      </c>
      <c r="H68" s="86">
        <v>42180</v>
      </c>
      <c r="I68" s="61">
        <v>27895.97</v>
      </c>
    </row>
    <row r="69" spans="2:9">
      <c r="B69" s="86">
        <v>45663</v>
      </c>
      <c r="C69" s="61">
        <v>35113.040000000001</v>
      </c>
      <c r="H69" s="86">
        <v>42181</v>
      </c>
      <c r="I69" s="61">
        <v>27811.84</v>
      </c>
    </row>
    <row r="70" spans="2:9">
      <c r="B70" s="86">
        <v>45660</v>
      </c>
      <c r="C70" s="61">
        <v>35690.959999999999</v>
      </c>
      <c r="H70" s="86">
        <v>42184</v>
      </c>
      <c r="I70" s="61">
        <v>27645.15</v>
      </c>
    </row>
    <row r="71" spans="2:9">
      <c r="B71" s="86">
        <v>45659</v>
      </c>
      <c r="C71" s="61">
        <v>35964.43</v>
      </c>
      <c r="H71" s="86">
        <v>42185</v>
      </c>
      <c r="I71" s="61">
        <v>27780.83</v>
      </c>
    </row>
    <row r="72" spans="2:9">
      <c r="B72" s="86">
        <v>45658</v>
      </c>
      <c r="C72" s="61">
        <v>35301.629999999997</v>
      </c>
      <c r="H72" s="86">
        <v>42186</v>
      </c>
      <c r="I72" s="61">
        <v>28020.87</v>
      </c>
    </row>
    <row r="73" spans="2:9">
      <c r="B73" s="86">
        <v>45657</v>
      </c>
      <c r="C73" s="61">
        <v>35155.769999999997</v>
      </c>
      <c r="H73" s="86">
        <v>42187</v>
      </c>
      <c r="I73" s="61">
        <v>27945.8</v>
      </c>
    </row>
    <row r="74" spans="2:9">
      <c r="B74" s="86">
        <v>45656</v>
      </c>
      <c r="C74" s="61">
        <v>35155.94</v>
      </c>
      <c r="H74" s="86">
        <v>42188</v>
      </c>
      <c r="I74" s="61">
        <v>28092.79</v>
      </c>
    </row>
    <row r="75" spans="2:9">
      <c r="B75" s="86">
        <v>45653</v>
      </c>
      <c r="C75" s="61">
        <v>35406.5</v>
      </c>
      <c r="H75" s="86">
        <v>42191</v>
      </c>
      <c r="I75" s="61">
        <v>28208.76</v>
      </c>
    </row>
    <row r="76" spans="2:9">
      <c r="B76" s="86">
        <v>45652</v>
      </c>
      <c r="C76" s="61">
        <v>35312.5</v>
      </c>
      <c r="H76" s="86">
        <v>42192</v>
      </c>
      <c r="I76" s="61">
        <v>28171.69</v>
      </c>
    </row>
    <row r="77" spans="2:9">
      <c r="B77" s="86">
        <v>45650</v>
      </c>
      <c r="C77" s="61">
        <v>35278.97</v>
      </c>
      <c r="H77" s="86">
        <v>42193</v>
      </c>
      <c r="I77" s="61">
        <v>27687.72</v>
      </c>
    </row>
    <row r="78" spans="2:9">
      <c r="B78" s="86">
        <v>45649</v>
      </c>
      <c r="C78" s="61">
        <v>35317.360000000001</v>
      </c>
      <c r="H78" s="86">
        <v>42194</v>
      </c>
      <c r="I78" s="61">
        <v>27573.66</v>
      </c>
    </row>
    <row r="79" spans="2:9">
      <c r="B79" s="86">
        <v>45646</v>
      </c>
      <c r="C79" s="61">
        <v>35070.589999999997</v>
      </c>
      <c r="H79" s="86">
        <v>42195</v>
      </c>
      <c r="I79" s="61">
        <v>27661.4</v>
      </c>
    </row>
    <row r="80" spans="2:9">
      <c r="B80" s="86">
        <v>45645</v>
      </c>
      <c r="C80" s="61">
        <v>35612.11</v>
      </c>
      <c r="H80" s="86">
        <v>42198</v>
      </c>
      <c r="I80" s="61">
        <v>27961.19</v>
      </c>
    </row>
    <row r="81" spans="2:9">
      <c r="B81" s="86">
        <v>45644</v>
      </c>
      <c r="C81" s="61">
        <v>35979.58</v>
      </c>
      <c r="H81" s="86">
        <v>42199</v>
      </c>
      <c r="I81" s="61">
        <v>27932.9</v>
      </c>
    </row>
    <row r="82" spans="2:9">
      <c r="B82" s="86">
        <v>45643</v>
      </c>
      <c r="C82" s="61">
        <v>36183.53</v>
      </c>
      <c r="H82" s="86">
        <v>42200</v>
      </c>
      <c r="I82" s="61">
        <v>28198.29</v>
      </c>
    </row>
    <row r="83" spans="2:9">
      <c r="B83" s="86">
        <v>45642</v>
      </c>
      <c r="C83" s="61">
        <v>36677.480000000003</v>
      </c>
      <c r="H83" s="86">
        <v>42201</v>
      </c>
      <c r="I83" s="61">
        <v>28446.12</v>
      </c>
    </row>
    <row r="84" spans="2:9">
      <c r="B84" s="86">
        <v>45639</v>
      </c>
      <c r="C84" s="61">
        <v>36826.269999999997</v>
      </c>
      <c r="H84" s="86">
        <v>42202</v>
      </c>
      <c r="I84" s="61">
        <v>28463.31</v>
      </c>
    </row>
    <row r="85" spans="2:9">
      <c r="B85" s="86">
        <v>45638</v>
      </c>
      <c r="C85" s="61">
        <v>36499.75</v>
      </c>
      <c r="H85" s="86">
        <v>42205</v>
      </c>
      <c r="I85" s="61">
        <v>28420.12</v>
      </c>
    </row>
    <row r="86" spans="2:9">
      <c r="B86" s="86">
        <v>45637</v>
      </c>
      <c r="C86" s="61">
        <v>36638.14</v>
      </c>
      <c r="H86" s="86">
        <v>42206</v>
      </c>
      <c r="I86" s="61">
        <v>28182.14</v>
      </c>
    </row>
    <row r="87" spans="2:9">
      <c r="B87" s="86">
        <v>45636</v>
      </c>
      <c r="C87" s="61">
        <v>36590.980000000003</v>
      </c>
      <c r="H87" s="86">
        <v>42207</v>
      </c>
      <c r="I87" s="61">
        <v>28504.93</v>
      </c>
    </row>
    <row r="88" spans="2:9">
      <c r="B88" s="86">
        <v>45635</v>
      </c>
      <c r="C88" s="61">
        <v>36604.29</v>
      </c>
      <c r="H88" s="86">
        <v>42208</v>
      </c>
      <c r="I88" s="61">
        <v>28370.84</v>
      </c>
    </row>
    <row r="89" spans="2:9">
      <c r="B89" s="86">
        <v>45632</v>
      </c>
      <c r="C89" s="61">
        <v>36691.68</v>
      </c>
      <c r="H89" s="86">
        <v>42209</v>
      </c>
      <c r="I89" s="61">
        <v>28112.31</v>
      </c>
    </row>
    <row r="90" spans="2:9">
      <c r="B90" s="86">
        <v>45631</v>
      </c>
      <c r="C90" s="61">
        <v>36737.18</v>
      </c>
      <c r="H90" s="86">
        <v>42212</v>
      </c>
      <c r="I90" s="61">
        <v>27561.38</v>
      </c>
    </row>
    <row r="91" spans="2:9">
      <c r="B91" s="86">
        <v>45630</v>
      </c>
      <c r="C91" s="61">
        <v>36378.910000000003</v>
      </c>
      <c r="H91" s="86">
        <v>42213</v>
      </c>
      <c r="I91" s="61">
        <v>27459.23</v>
      </c>
    </row>
    <row r="92" spans="2:9">
      <c r="B92" s="86">
        <v>45629</v>
      </c>
      <c r="C92" s="61">
        <v>36363.629999999997</v>
      </c>
      <c r="H92" s="86">
        <v>42214</v>
      </c>
      <c r="I92" s="61">
        <v>27563.43</v>
      </c>
    </row>
    <row r="93" spans="2:9">
      <c r="B93" s="86">
        <v>45628</v>
      </c>
      <c r="C93" s="61">
        <v>36094.39</v>
      </c>
      <c r="H93" s="86">
        <v>42215</v>
      </c>
      <c r="I93" s="61">
        <v>27705.35</v>
      </c>
    </row>
    <row r="94" spans="2:9">
      <c r="B94" s="86">
        <v>45625</v>
      </c>
      <c r="C94" s="61">
        <v>35878.82</v>
      </c>
      <c r="H94" s="86">
        <v>42216</v>
      </c>
      <c r="I94" s="61">
        <v>28114.560000000001</v>
      </c>
    </row>
    <row r="95" spans="2:9">
      <c r="B95" s="86">
        <v>45624</v>
      </c>
      <c r="C95" s="61">
        <v>35556.269999999997</v>
      </c>
      <c r="H95" s="86">
        <v>42219</v>
      </c>
      <c r="I95" s="61">
        <v>28187.06</v>
      </c>
    </row>
    <row r="96" spans="2:9">
      <c r="B96" s="86">
        <v>45623</v>
      </c>
      <c r="C96" s="61">
        <v>36092.65</v>
      </c>
      <c r="H96" s="86">
        <v>42220</v>
      </c>
      <c r="I96" s="61">
        <v>28071.93</v>
      </c>
    </row>
    <row r="97" spans="2:9">
      <c r="B97" s="86">
        <v>45622</v>
      </c>
      <c r="C97" s="61">
        <v>35973.11</v>
      </c>
      <c r="H97" s="86">
        <v>42221</v>
      </c>
      <c r="I97" s="61">
        <v>28223.08</v>
      </c>
    </row>
    <row r="98" spans="2:9">
      <c r="B98" s="86">
        <v>45621</v>
      </c>
      <c r="C98" s="61">
        <v>36013.85</v>
      </c>
      <c r="H98" s="86">
        <v>42222</v>
      </c>
      <c r="I98" s="61">
        <v>28298.13</v>
      </c>
    </row>
    <row r="99" spans="2:9">
      <c r="B99" s="86">
        <v>45618</v>
      </c>
      <c r="C99" s="61">
        <v>35546.01</v>
      </c>
      <c r="H99" s="86">
        <v>42223</v>
      </c>
      <c r="I99" s="61">
        <v>28236.39</v>
      </c>
    </row>
    <row r="100" spans="2:9">
      <c r="B100" s="86">
        <v>45617</v>
      </c>
      <c r="C100" s="61">
        <v>34717.32</v>
      </c>
      <c r="H100" s="86">
        <v>42226</v>
      </c>
      <c r="I100" s="61">
        <v>28101.72</v>
      </c>
    </row>
    <row r="101" spans="2:9">
      <c r="B101" s="86">
        <v>45615</v>
      </c>
      <c r="C101" s="61">
        <v>34968</v>
      </c>
      <c r="H101" s="86">
        <v>42227</v>
      </c>
      <c r="I101" s="61">
        <v>27866.09</v>
      </c>
    </row>
    <row r="102" spans="2:9">
      <c r="B102" s="86">
        <v>45614</v>
      </c>
      <c r="C102" s="61">
        <v>34871.21</v>
      </c>
      <c r="H102" s="86">
        <v>42228</v>
      </c>
      <c r="I102" s="61">
        <v>27512.26</v>
      </c>
    </row>
    <row r="103" spans="2:9">
      <c r="B103" s="86">
        <v>45610</v>
      </c>
      <c r="C103" s="61">
        <v>34988.480000000003</v>
      </c>
      <c r="H103" s="86">
        <v>42229</v>
      </c>
      <c r="I103" s="61">
        <v>27549.53</v>
      </c>
    </row>
    <row r="104" spans="2:9">
      <c r="B104" s="86">
        <v>45609</v>
      </c>
      <c r="C104" s="61">
        <v>35020.93</v>
      </c>
      <c r="H104" s="86">
        <v>42230</v>
      </c>
      <c r="I104" s="61">
        <v>28067.31</v>
      </c>
    </row>
    <row r="105" spans="2:9">
      <c r="B105" s="86">
        <v>45608</v>
      </c>
      <c r="C105" s="61">
        <v>35503.11</v>
      </c>
      <c r="H105" s="86">
        <v>42233</v>
      </c>
      <c r="I105" s="61">
        <v>27878.27</v>
      </c>
    </row>
    <row r="106" spans="2:9">
      <c r="B106" s="86">
        <v>45607</v>
      </c>
      <c r="C106" s="61">
        <v>35886.42</v>
      </c>
      <c r="H106" s="86">
        <v>42234</v>
      </c>
      <c r="I106" s="61">
        <v>27831.54</v>
      </c>
    </row>
    <row r="107" spans="2:9">
      <c r="B107" s="86">
        <v>45604</v>
      </c>
      <c r="C107" s="61">
        <v>35896.71</v>
      </c>
      <c r="H107" s="86">
        <v>42235</v>
      </c>
      <c r="I107" s="61">
        <v>27931.64</v>
      </c>
    </row>
    <row r="108" spans="2:9">
      <c r="B108" s="86">
        <v>45603</v>
      </c>
      <c r="C108" s="61">
        <v>35972.74</v>
      </c>
      <c r="H108" s="86">
        <v>42236</v>
      </c>
      <c r="I108" s="61">
        <v>27607.82</v>
      </c>
    </row>
    <row r="109" spans="2:9">
      <c r="B109" s="86">
        <v>45602</v>
      </c>
      <c r="C109" s="61">
        <v>36393.85</v>
      </c>
      <c r="H109" s="86">
        <v>42237</v>
      </c>
      <c r="I109" s="61">
        <v>27366.07</v>
      </c>
    </row>
    <row r="110" spans="2:9">
      <c r="B110" s="86">
        <v>45601</v>
      </c>
      <c r="C110" s="61">
        <v>35982.959999999999</v>
      </c>
      <c r="H110" s="86">
        <v>42240</v>
      </c>
      <c r="I110" s="61">
        <v>25741.56</v>
      </c>
    </row>
    <row r="111" spans="2:9">
      <c r="B111" s="86">
        <v>45600</v>
      </c>
      <c r="C111" s="61">
        <v>35659.07</v>
      </c>
      <c r="H111" s="86">
        <v>42241</v>
      </c>
      <c r="I111" s="61">
        <v>26032.38</v>
      </c>
    </row>
    <row r="112" spans="2:9">
      <c r="B112" s="86">
        <v>45597</v>
      </c>
      <c r="C112" s="61">
        <v>36118.25</v>
      </c>
      <c r="H112" s="86">
        <v>42242</v>
      </c>
      <c r="I112" s="61">
        <v>25714.66</v>
      </c>
    </row>
    <row r="113" spans="2:9">
      <c r="B113" s="86">
        <v>45596</v>
      </c>
      <c r="C113" s="61">
        <v>35971.14</v>
      </c>
      <c r="H113" s="86">
        <v>42243</v>
      </c>
      <c r="I113" s="61">
        <v>26231.19</v>
      </c>
    </row>
    <row r="114" spans="2:9">
      <c r="B114" s="86">
        <v>45595</v>
      </c>
      <c r="C114" s="61">
        <v>36165.43</v>
      </c>
      <c r="H114" s="86">
        <v>42244</v>
      </c>
      <c r="I114" s="61">
        <v>26392.38</v>
      </c>
    </row>
    <row r="115" spans="2:9">
      <c r="B115" s="86">
        <v>45594</v>
      </c>
      <c r="C115" s="61">
        <v>36352.629999999997</v>
      </c>
      <c r="H115" s="86">
        <v>42247</v>
      </c>
      <c r="I115" s="61">
        <v>26283.09</v>
      </c>
    </row>
    <row r="116" spans="2:9">
      <c r="B116" s="86">
        <v>45593</v>
      </c>
      <c r="C116" s="61">
        <v>36138.03</v>
      </c>
      <c r="H116" s="86">
        <v>42248</v>
      </c>
      <c r="I116" s="61">
        <v>25696.44</v>
      </c>
    </row>
    <row r="117" spans="2:9">
      <c r="B117" s="86">
        <v>45590</v>
      </c>
      <c r="C117" s="61">
        <v>35902.92</v>
      </c>
      <c r="H117" s="86">
        <v>42249</v>
      </c>
      <c r="I117" s="61">
        <v>25453.56</v>
      </c>
    </row>
    <row r="118" spans="2:9">
      <c r="B118" s="86">
        <v>45589</v>
      </c>
      <c r="C118" s="61">
        <v>36227.519999999997</v>
      </c>
      <c r="H118" s="86">
        <v>42250</v>
      </c>
      <c r="I118" s="61">
        <v>25764.78</v>
      </c>
    </row>
    <row r="119" spans="2:9">
      <c r="B119" s="86">
        <v>45588</v>
      </c>
      <c r="C119" s="61">
        <v>36281.1</v>
      </c>
      <c r="H119" s="86">
        <v>42251</v>
      </c>
      <c r="I119" s="61">
        <v>25201.9</v>
      </c>
    </row>
    <row r="120" spans="2:9">
      <c r="B120" s="86">
        <v>45587</v>
      </c>
      <c r="C120" s="61">
        <v>36335.46</v>
      </c>
      <c r="H120" s="86">
        <v>42254</v>
      </c>
      <c r="I120" s="61">
        <v>24893.81</v>
      </c>
    </row>
    <row r="121" spans="2:9">
      <c r="B121" s="86">
        <v>45586</v>
      </c>
      <c r="C121" s="61">
        <v>36789.949999999997</v>
      </c>
      <c r="H121" s="86">
        <v>42255</v>
      </c>
      <c r="I121" s="61">
        <v>25317.87</v>
      </c>
    </row>
    <row r="122" spans="2:9">
      <c r="B122" s="86">
        <v>45583</v>
      </c>
      <c r="C122" s="61">
        <v>36898.25</v>
      </c>
      <c r="H122" s="86">
        <v>42256</v>
      </c>
      <c r="I122" s="61">
        <v>25719.58</v>
      </c>
    </row>
    <row r="123" spans="2:9">
      <c r="B123" s="86">
        <v>45582</v>
      </c>
      <c r="C123" s="61">
        <v>36740.25</v>
      </c>
      <c r="H123" s="86">
        <v>42257</v>
      </c>
      <c r="I123" s="61">
        <v>25622.17</v>
      </c>
    </row>
    <row r="124" spans="2:9">
      <c r="B124" s="86">
        <v>45581</v>
      </c>
      <c r="C124" s="61">
        <v>37068.99</v>
      </c>
      <c r="H124" s="86">
        <v>42258</v>
      </c>
      <c r="I124" s="61">
        <v>25610.21</v>
      </c>
    </row>
    <row r="125" spans="2:9">
      <c r="B125" s="86">
        <v>45580</v>
      </c>
      <c r="C125" s="61">
        <v>37196.69</v>
      </c>
      <c r="H125" s="86">
        <v>42261</v>
      </c>
      <c r="I125" s="61">
        <v>25856.7</v>
      </c>
    </row>
    <row r="126" spans="2:9">
      <c r="B126" s="86">
        <v>45579</v>
      </c>
      <c r="C126" s="61">
        <v>37301.5</v>
      </c>
      <c r="H126" s="86">
        <v>42262</v>
      </c>
      <c r="I126" s="61">
        <v>25705.93</v>
      </c>
    </row>
    <row r="127" spans="2:9">
      <c r="B127" s="86">
        <v>45576</v>
      </c>
      <c r="C127" s="61">
        <v>37058.49</v>
      </c>
      <c r="H127" s="86">
        <v>42263</v>
      </c>
      <c r="I127" s="61">
        <v>25963.97</v>
      </c>
    </row>
    <row r="128" spans="2:9">
      <c r="B128" s="86">
        <v>45575</v>
      </c>
      <c r="C128" s="61">
        <v>37109.26</v>
      </c>
      <c r="H128" s="86">
        <v>42265</v>
      </c>
      <c r="I128" s="61">
        <v>26218.91</v>
      </c>
    </row>
    <row r="129" spans="2:9">
      <c r="B129" s="86">
        <v>45574</v>
      </c>
      <c r="C129" s="61">
        <v>37084.75</v>
      </c>
      <c r="H129" s="86">
        <v>42268</v>
      </c>
      <c r="I129" s="61">
        <v>26192.98</v>
      </c>
    </row>
    <row r="130" spans="2:9">
      <c r="B130" s="86">
        <v>45573</v>
      </c>
      <c r="C130" s="61">
        <v>37131.07</v>
      </c>
      <c r="H130" s="86">
        <v>42269</v>
      </c>
      <c r="I130" s="61">
        <v>25651.84</v>
      </c>
    </row>
    <row r="131" spans="2:9">
      <c r="B131" s="86">
        <v>45572</v>
      </c>
      <c r="C131" s="61">
        <v>36808.370000000003</v>
      </c>
      <c r="H131" s="86">
        <v>42270</v>
      </c>
      <c r="I131" s="61">
        <v>25822.99</v>
      </c>
    </row>
    <row r="132" spans="2:9">
      <c r="B132" s="86">
        <v>45569</v>
      </c>
      <c r="C132" s="61">
        <v>37133.25</v>
      </c>
      <c r="H132" s="86">
        <v>42271</v>
      </c>
      <c r="I132" s="61">
        <v>25863.5</v>
      </c>
    </row>
    <row r="133" spans="2:9">
      <c r="B133" s="86">
        <v>45568</v>
      </c>
      <c r="C133" s="61">
        <v>37482.839999999997</v>
      </c>
      <c r="H133" s="86">
        <v>42275</v>
      </c>
      <c r="I133" s="61">
        <v>25616.84</v>
      </c>
    </row>
    <row r="134" spans="2:9">
      <c r="B134" s="86">
        <v>45566</v>
      </c>
      <c r="C134" s="61">
        <v>38294.54</v>
      </c>
      <c r="H134" s="86">
        <v>42276</v>
      </c>
      <c r="I134" s="61">
        <v>25778.66</v>
      </c>
    </row>
    <row r="135" spans="2:9">
      <c r="B135" s="86">
        <v>45565</v>
      </c>
      <c r="C135" s="61">
        <v>38315.21</v>
      </c>
      <c r="H135" s="86">
        <v>42277</v>
      </c>
      <c r="I135" s="61">
        <v>26154.83</v>
      </c>
    </row>
    <row r="136" spans="2:9">
      <c r="B136" s="86">
        <v>45562</v>
      </c>
      <c r="C136" s="61">
        <v>38861.64</v>
      </c>
      <c r="H136" s="86">
        <v>42278</v>
      </c>
      <c r="I136" s="61">
        <v>26220.95</v>
      </c>
    </row>
    <row r="137" spans="2:9">
      <c r="B137" s="86">
        <v>45561</v>
      </c>
      <c r="C137" s="61">
        <v>38916.76</v>
      </c>
      <c r="H137" s="86">
        <v>42282</v>
      </c>
      <c r="I137" s="61">
        <v>26785.55</v>
      </c>
    </row>
    <row r="138" spans="2:9">
      <c r="B138" s="86">
        <v>45560</v>
      </c>
      <c r="C138" s="61">
        <v>38602.21</v>
      </c>
      <c r="H138" s="86">
        <v>42283</v>
      </c>
      <c r="I138" s="61">
        <v>26932.880000000001</v>
      </c>
    </row>
    <row r="139" spans="2:9">
      <c r="B139" s="86">
        <v>45559</v>
      </c>
      <c r="C139" s="61">
        <v>38507.550000000003</v>
      </c>
      <c r="H139" s="86">
        <v>42284</v>
      </c>
      <c r="I139" s="61">
        <v>27035.85</v>
      </c>
    </row>
    <row r="140" spans="2:9">
      <c r="B140" s="86">
        <v>45558</v>
      </c>
      <c r="C140" s="61">
        <v>38505.51</v>
      </c>
      <c r="H140" s="86">
        <v>42285</v>
      </c>
      <c r="I140" s="61">
        <v>26845.81</v>
      </c>
    </row>
    <row r="141" spans="2:9">
      <c r="B141" s="86">
        <v>45555</v>
      </c>
      <c r="C141" s="61">
        <v>38285.67</v>
      </c>
      <c r="H141" s="86">
        <v>42286</v>
      </c>
      <c r="I141" s="61">
        <v>27079.51</v>
      </c>
    </row>
    <row r="142" spans="2:9">
      <c r="B142" s="86">
        <v>45554</v>
      </c>
      <c r="C142" s="61">
        <v>37728.83</v>
      </c>
      <c r="H142" s="86">
        <v>42289</v>
      </c>
      <c r="I142" s="61">
        <v>26904.11</v>
      </c>
    </row>
    <row r="143" spans="2:9">
      <c r="B143" s="86">
        <v>45553</v>
      </c>
      <c r="C143" s="61">
        <v>37672.03</v>
      </c>
      <c r="H143" s="86">
        <v>42290</v>
      </c>
      <c r="I143" s="61">
        <v>26846.53</v>
      </c>
    </row>
    <row r="144" spans="2:9">
      <c r="B144" s="86">
        <v>45552</v>
      </c>
      <c r="C144" s="61">
        <v>37732.870000000003</v>
      </c>
      <c r="H144" s="86">
        <v>42291</v>
      </c>
      <c r="I144" s="61">
        <v>26779.66</v>
      </c>
    </row>
    <row r="145" spans="2:9">
      <c r="B145" s="86">
        <v>45551</v>
      </c>
      <c r="C145" s="61">
        <v>37681.24</v>
      </c>
      <c r="H145" s="86">
        <v>42292</v>
      </c>
      <c r="I145" s="61">
        <v>27010.14</v>
      </c>
    </row>
    <row r="146" spans="2:9">
      <c r="B146" s="86">
        <v>45548</v>
      </c>
      <c r="C146" s="61">
        <v>37640.800000000003</v>
      </c>
      <c r="H146" s="86">
        <v>42293</v>
      </c>
      <c r="I146" s="61">
        <v>27214.6</v>
      </c>
    </row>
    <row r="147" spans="2:9">
      <c r="B147" s="86">
        <v>45547</v>
      </c>
      <c r="C147" s="61">
        <v>37688.9</v>
      </c>
      <c r="H147" s="86">
        <v>42296</v>
      </c>
      <c r="I147" s="61">
        <v>27364.92</v>
      </c>
    </row>
    <row r="148" spans="2:9">
      <c r="B148" s="86">
        <v>45546</v>
      </c>
      <c r="C148" s="61">
        <v>36990.519999999997</v>
      </c>
      <c r="H148" s="86">
        <v>42297</v>
      </c>
      <c r="I148" s="61">
        <v>27306.83</v>
      </c>
    </row>
    <row r="149" spans="2:9">
      <c r="B149" s="86">
        <v>45545</v>
      </c>
      <c r="C149" s="61">
        <v>37172.57</v>
      </c>
      <c r="H149" s="86">
        <v>42298</v>
      </c>
      <c r="I149" s="61">
        <v>27287.66</v>
      </c>
    </row>
    <row r="150" spans="2:9">
      <c r="B150" s="86">
        <v>45544</v>
      </c>
      <c r="C150" s="61">
        <v>37017.15</v>
      </c>
      <c r="H150" s="86">
        <v>42300</v>
      </c>
      <c r="I150" s="61">
        <v>27470.81</v>
      </c>
    </row>
    <row r="151" spans="2:9">
      <c r="B151" s="86">
        <v>45541</v>
      </c>
      <c r="C151" s="61">
        <v>36892.07</v>
      </c>
      <c r="H151" s="86">
        <v>42303</v>
      </c>
      <c r="I151" s="61">
        <v>27361.96</v>
      </c>
    </row>
    <row r="152" spans="2:9">
      <c r="B152" s="86">
        <v>45540</v>
      </c>
      <c r="C152" s="61">
        <v>37326.99</v>
      </c>
      <c r="H152" s="86">
        <v>42304</v>
      </c>
      <c r="I152" s="61">
        <v>27253.439999999999</v>
      </c>
    </row>
    <row r="153" spans="2:9">
      <c r="B153" s="86">
        <v>45539</v>
      </c>
      <c r="C153" s="61">
        <v>37406.550000000003</v>
      </c>
      <c r="H153" s="86">
        <v>42305</v>
      </c>
      <c r="I153" s="61">
        <v>27039.759999999998</v>
      </c>
    </row>
    <row r="154" spans="2:9">
      <c r="B154" s="86">
        <v>45538</v>
      </c>
      <c r="C154" s="61">
        <v>37526.97</v>
      </c>
      <c r="H154" s="86">
        <v>42306</v>
      </c>
      <c r="I154" s="61">
        <v>26838.14</v>
      </c>
    </row>
    <row r="155" spans="2:9">
      <c r="B155" s="86">
        <v>45537</v>
      </c>
      <c r="C155" s="61">
        <v>37525.279999999999</v>
      </c>
      <c r="H155" s="86">
        <v>42307</v>
      </c>
      <c r="I155" s="61">
        <v>26656.83</v>
      </c>
    </row>
    <row r="156" spans="2:9">
      <c r="B156" s="86">
        <v>45534</v>
      </c>
      <c r="C156" s="61">
        <v>37461.730000000003</v>
      </c>
      <c r="H156" s="86">
        <v>42310</v>
      </c>
      <c r="I156" s="61">
        <v>26559.15</v>
      </c>
    </row>
    <row r="157" spans="2:9">
      <c r="B157" s="86">
        <v>45533</v>
      </c>
      <c r="C157" s="61">
        <v>37337.089999999997</v>
      </c>
      <c r="H157" s="86">
        <v>42311</v>
      </c>
      <c r="I157" s="61">
        <v>26590.59</v>
      </c>
    </row>
    <row r="158" spans="2:9">
      <c r="B158" s="86">
        <v>45532</v>
      </c>
      <c r="C158" s="61">
        <v>37189.269999999997</v>
      </c>
      <c r="H158" s="86">
        <v>42312</v>
      </c>
      <c r="I158" s="61">
        <v>26552.92</v>
      </c>
    </row>
    <row r="159" spans="2:9">
      <c r="B159" s="86">
        <v>45531</v>
      </c>
      <c r="C159" s="61">
        <v>37137.910000000003</v>
      </c>
      <c r="H159" s="86">
        <v>42313</v>
      </c>
      <c r="I159" s="61">
        <v>26304.2</v>
      </c>
    </row>
    <row r="160" spans="2:9">
      <c r="B160" s="86">
        <v>45530</v>
      </c>
      <c r="C160" s="61">
        <v>37127.300000000003</v>
      </c>
      <c r="H160" s="86">
        <v>42314</v>
      </c>
      <c r="I160" s="61">
        <v>26265.24</v>
      </c>
    </row>
    <row r="161" spans="2:9">
      <c r="B161" s="86">
        <v>45527</v>
      </c>
      <c r="C161" s="61">
        <v>36849.019999999997</v>
      </c>
      <c r="H161" s="86">
        <v>42317</v>
      </c>
      <c r="I161" s="61">
        <v>26121.4</v>
      </c>
    </row>
    <row r="162" spans="2:9">
      <c r="B162" s="86">
        <v>45526</v>
      </c>
      <c r="C162" s="61">
        <v>36828.5</v>
      </c>
      <c r="H162" s="86">
        <v>42318</v>
      </c>
      <c r="I162" s="61">
        <v>25743.26</v>
      </c>
    </row>
    <row r="163" spans="2:9">
      <c r="B163" s="86">
        <v>45525</v>
      </c>
      <c r="C163" s="61">
        <v>36767.19</v>
      </c>
      <c r="H163" s="86">
        <v>42319</v>
      </c>
      <c r="I163" s="61">
        <v>25866.95</v>
      </c>
    </row>
    <row r="164" spans="2:9">
      <c r="B164" s="86">
        <v>45524</v>
      </c>
      <c r="C164" s="61">
        <v>36661.24</v>
      </c>
      <c r="H164" s="86">
        <v>42321</v>
      </c>
      <c r="I164" s="61">
        <v>25610.53</v>
      </c>
    </row>
    <row r="165" spans="2:9">
      <c r="B165" s="86">
        <v>45523</v>
      </c>
      <c r="C165" s="61">
        <v>36473.949999999997</v>
      </c>
      <c r="H165" s="86">
        <v>42324</v>
      </c>
      <c r="I165" s="61">
        <v>25760.1</v>
      </c>
    </row>
    <row r="166" spans="2:9">
      <c r="B166" s="86">
        <v>45520</v>
      </c>
      <c r="C166" s="61">
        <v>36415.85</v>
      </c>
      <c r="H166" s="86">
        <v>42325</v>
      </c>
      <c r="I166" s="61">
        <v>25864.47</v>
      </c>
    </row>
    <row r="167" spans="2:9">
      <c r="B167" s="86">
        <v>45518</v>
      </c>
      <c r="C167" s="61">
        <v>35817.89</v>
      </c>
      <c r="H167" s="86">
        <v>42326</v>
      </c>
      <c r="I167" s="61">
        <v>25482.52</v>
      </c>
    </row>
    <row r="168" spans="2:9">
      <c r="B168" s="86">
        <v>45517</v>
      </c>
      <c r="C168" s="61">
        <v>35810.83</v>
      </c>
      <c r="H168" s="86">
        <v>42327</v>
      </c>
      <c r="I168" s="61">
        <v>25841.919999999998</v>
      </c>
    </row>
    <row r="169" spans="2:9">
      <c r="B169" s="86">
        <v>45516</v>
      </c>
      <c r="C169" s="61">
        <v>36119.449999999997</v>
      </c>
      <c r="H169" s="86">
        <v>42328</v>
      </c>
      <c r="I169" s="61">
        <v>25868.49</v>
      </c>
    </row>
    <row r="170" spans="2:9">
      <c r="B170" s="86">
        <v>45513</v>
      </c>
      <c r="C170" s="61">
        <v>36126.230000000003</v>
      </c>
      <c r="H170" s="86">
        <v>42331</v>
      </c>
      <c r="I170" s="61">
        <v>25819.34</v>
      </c>
    </row>
    <row r="171" spans="2:9">
      <c r="B171" s="86">
        <v>45512</v>
      </c>
      <c r="C171" s="61">
        <v>35753.120000000003</v>
      </c>
      <c r="H171" s="86">
        <v>42332</v>
      </c>
      <c r="I171" s="61">
        <v>25775.74</v>
      </c>
    </row>
    <row r="172" spans="2:9">
      <c r="B172" s="86">
        <v>45511</v>
      </c>
      <c r="C172" s="61">
        <v>36020.75</v>
      </c>
      <c r="H172" s="86">
        <v>42334</v>
      </c>
      <c r="I172" s="61">
        <v>25958.63</v>
      </c>
    </row>
    <row r="173" spans="2:9">
      <c r="B173" s="86">
        <v>45510</v>
      </c>
      <c r="C173" s="61">
        <v>35554.15</v>
      </c>
      <c r="H173" s="86">
        <v>42335</v>
      </c>
      <c r="I173" s="61">
        <v>26128.2</v>
      </c>
    </row>
    <row r="174" spans="2:9">
      <c r="B174" s="86">
        <v>45509</v>
      </c>
      <c r="C174" s="61">
        <v>35646.370000000003</v>
      </c>
      <c r="H174" s="86">
        <v>42338</v>
      </c>
      <c r="I174" s="61">
        <v>26145.67</v>
      </c>
    </row>
    <row r="175" spans="2:9">
      <c r="B175" s="86">
        <v>45506</v>
      </c>
      <c r="C175" s="61">
        <v>36624.49</v>
      </c>
      <c r="H175" s="86">
        <v>42339</v>
      </c>
      <c r="I175" s="61">
        <v>26169.41</v>
      </c>
    </row>
    <row r="176" spans="2:9">
      <c r="B176" s="86">
        <v>45505</v>
      </c>
      <c r="C176" s="61">
        <v>37049.699999999997</v>
      </c>
      <c r="H176" s="86">
        <v>42340</v>
      </c>
      <c r="I176" s="61">
        <v>26117.85</v>
      </c>
    </row>
    <row r="177" spans="2:9">
      <c r="B177" s="86">
        <v>45504</v>
      </c>
      <c r="C177" s="61">
        <v>36959.480000000003</v>
      </c>
      <c r="H177" s="86">
        <v>42341</v>
      </c>
      <c r="I177" s="61">
        <v>25886.62</v>
      </c>
    </row>
    <row r="178" spans="2:9">
      <c r="B178" s="86">
        <v>45503</v>
      </c>
      <c r="C178" s="61">
        <v>36820.47</v>
      </c>
      <c r="H178" s="86">
        <v>42342</v>
      </c>
      <c r="I178" s="61">
        <v>25638.11</v>
      </c>
    </row>
    <row r="179" spans="2:9">
      <c r="B179" s="86">
        <v>45502</v>
      </c>
      <c r="C179" s="61">
        <v>36786.300000000003</v>
      </c>
      <c r="H179" s="86">
        <v>42345</v>
      </c>
      <c r="I179" s="61">
        <v>25530.11</v>
      </c>
    </row>
    <row r="180" spans="2:9">
      <c r="B180" s="86">
        <v>45499</v>
      </c>
      <c r="C180" s="61">
        <v>36784.480000000003</v>
      </c>
      <c r="H180" s="86">
        <v>42346</v>
      </c>
      <c r="I180" s="61">
        <v>25310.33</v>
      </c>
    </row>
    <row r="181" spans="2:9">
      <c r="B181" s="86">
        <v>45498</v>
      </c>
      <c r="C181" s="61">
        <v>36149.4</v>
      </c>
      <c r="H181" s="86">
        <v>42347</v>
      </c>
      <c r="I181" s="61">
        <v>25036.05</v>
      </c>
    </row>
    <row r="182" spans="2:9">
      <c r="B182" s="86">
        <v>45497</v>
      </c>
      <c r="C182" s="61">
        <v>36160.36</v>
      </c>
      <c r="H182" s="86">
        <v>42348</v>
      </c>
      <c r="I182" s="61">
        <v>25252.32</v>
      </c>
    </row>
    <row r="183" spans="2:9">
      <c r="B183" s="86">
        <v>45496</v>
      </c>
      <c r="C183" s="61">
        <v>36257.51</v>
      </c>
      <c r="H183" s="86">
        <v>42349</v>
      </c>
      <c r="I183" s="61">
        <v>25044.43</v>
      </c>
    </row>
    <row r="184" spans="2:9">
      <c r="B184" s="86">
        <v>45495</v>
      </c>
      <c r="C184" s="61">
        <v>36296.550000000003</v>
      </c>
      <c r="H184" s="86">
        <v>42352</v>
      </c>
      <c r="I184" s="61">
        <v>25150.35</v>
      </c>
    </row>
    <row r="185" spans="2:9">
      <c r="B185" s="86">
        <v>45492</v>
      </c>
      <c r="C185" s="61">
        <v>36328.6</v>
      </c>
      <c r="H185" s="86">
        <v>42353</v>
      </c>
      <c r="I185" s="61">
        <v>25320.44</v>
      </c>
    </row>
    <row r="186" spans="2:9">
      <c r="B186" s="86">
        <v>45491</v>
      </c>
      <c r="C186" s="61">
        <v>36723.93</v>
      </c>
      <c r="H186" s="86">
        <v>42354</v>
      </c>
      <c r="I186" s="61">
        <v>25494.37</v>
      </c>
    </row>
    <row r="187" spans="2:9">
      <c r="B187" s="86">
        <v>45489</v>
      </c>
      <c r="C187" s="61">
        <v>36445.79</v>
      </c>
      <c r="H187" s="86">
        <v>42355</v>
      </c>
      <c r="I187" s="61">
        <v>25803.78</v>
      </c>
    </row>
    <row r="188" spans="2:9">
      <c r="B188" s="86">
        <v>45488</v>
      </c>
      <c r="C188" s="61">
        <v>36403.86</v>
      </c>
      <c r="H188" s="86">
        <v>42356</v>
      </c>
      <c r="I188" s="61">
        <v>25519.22</v>
      </c>
    </row>
    <row r="189" spans="2:9">
      <c r="B189" s="86">
        <v>45485</v>
      </c>
      <c r="C189" s="61">
        <v>36278.67</v>
      </c>
      <c r="H189" s="86">
        <v>42359</v>
      </c>
      <c r="I189" s="61">
        <v>25735.9</v>
      </c>
    </row>
    <row r="190" spans="2:9">
      <c r="B190" s="86">
        <v>45484</v>
      </c>
      <c r="C190" s="61">
        <v>36000.25</v>
      </c>
      <c r="H190" s="86">
        <v>42360</v>
      </c>
      <c r="I190" s="61">
        <v>25590.65</v>
      </c>
    </row>
    <row r="191" spans="2:9">
      <c r="B191" s="86">
        <v>45483</v>
      </c>
      <c r="C191" s="61">
        <v>36012.82</v>
      </c>
      <c r="H191" s="86">
        <v>42361</v>
      </c>
      <c r="I191" s="61">
        <v>25850.3</v>
      </c>
    </row>
    <row r="192" spans="2:9">
      <c r="B192" s="86">
        <v>45482</v>
      </c>
      <c r="C192" s="61">
        <v>36173.870000000003</v>
      </c>
      <c r="H192" s="86">
        <v>42362</v>
      </c>
      <c r="I192" s="61">
        <v>25838.71</v>
      </c>
    </row>
    <row r="193" spans="2:9">
      <c r="B193" s="86">
        <v>45481</v>
      </c>
      <c r="C193" s="61">
        <v>36004.74</v>
      </c>
      <c r="H193" s="86">
        <v>42366</v>
      </c>
      <c r="I193" s="61">
        <v>26034.13</v>
      </c>
    </row>
    <row r="194" spans="2:9">
      <c r="B194" s="86">
        <v>45478</v>
      </c>
      <c r="C194" s="61">
        <v>36009.61</v>
      </c>
      <c r="H194" s="86">
        <v>42367</v>
      </c>
      <c r="I194" s="61">
        <v>26079.48</v>
      </c>
    </row>
    <row r="195" spans="2:9">
      <c r="B195" s="86">
        <v>45477</v>
      </c>
      <c r="C195" s="61">
        <v>35970.639999999999</v>
      </c>
      <c r="H195" s="86">
        <v>42368</v>
      </c>
      <c r="I195" s="61">
        <v>25960.03</v>
      </c>
    </row>
    <row r="196" spans="2:9">
      <c r="B196" s="86">
        <v>45476</v>
      </c>
      <c r="C196" s="61">
        <v>35947.53</v>
      </c>
      <c r="H196" s="86">
        <v>42369</v>
      </c>
      <c r="I196" s="61">
        <v>26117.54</v>
      </c>
    </row>
    <row r="197" spans="2:9">
      <c r="B197" s="86">
        <v>45475</v>
      </c>
      <c r="C197" s="61">
        <v>35706.769999999997</v>
      </c>
      <c r="H197" s="86">
        <v>42370</v>
      </c>
      <c r="I197" s="61">
        <v>26160.9</v>
      </c>
    </row>
    <row r="198" spans="2:9">
      <c r="B198" s="86">
        <v>45474</v>
      </c>
      <c r="C198" s="61">
        <v>35733.58</v>
      </c>
      <c r="H198" s="86">
        <v>42373</v>
      </c>
      <c r="I198" s="61">
        <v>25623.35</v>
      </c>
    </row>
    <row r="199" spans="2:9">
      <c r="B199" s="86">
        <v>45471</v>
      </c>
      <c r="C199" s="61">
        <v>35539.160000000003</v>
      </c>
      <c r="H199" s="86">
        <v>42374</v>
      </c>
      <c r="I199" s="61">
        <v>25580.34</v>
      </c>
    </row>
    <row r="200" spans="2:9">
      <c r="B200" s="86">
        <v>45470</v>
      </c>
      <c r="C200" s="61">
        <v>35585.620000000003</v>
      </c>
      <c r="H200" s="86">
        <v>42375</v>
      </c>
      <c r="I200" s="61">
        <v>25406.33</v>
      </c>
    </row>
    <row r="201" spans="2:9">
      <c r="B201" s="86">
        <v>45469</v>
      </c>
      <c r="C201" s="61">
        <v>35324.11</v>
      </c>
      <c r="H201" s="86">
        <v>42376</v>
      </c>
      <c r="I201" s="61">
        <v>24851.83</v>
      </c>
    </row>
    <row r="202" spans="2:9">
      <c r="B202" s="86">
        <v>45468</v>
      </c>
      <c r="C202" s="61">
        <v>35105.79</v>
      </c>
      <c r="H202" s="86">
        <v>42377</v>
      </c>
      <c r="I202" s="61">
        <v>24934.33</v>
      </c>
    </row>
    <row r="203" spans="2:9">
      <c r="B203" s="86">
        <v>45467</v>
      </c>
      <c r="C203" s="61">
        <v>34834.33</v>
      </c>
      <c r="H203" s="86">
        <v>42380</v>
      </c>
      <c r="I203" s="61">
        <v>24825.040000000001</v>
      </c>
    </row>
    <row r="204" spans="2:9">
      <c r="B204" s="86">
        <v>45464</v>
      </c>
      <c r="C204" s="61">
        <v>34779.9</v>
      </c>
      <c r="H204" s="86">
        <v>42381</v>
      </c>
      <c r="I204" s="61">
        <v>24682.03</v>
      </c>
    </row>
    <row r="205" spans="2:9">
      <c r="B205" s="86">
        <v>45463</v>
      </c>
      <c r="C205" s="61">
        <v>34873.15</v>
      </c>
      <c r="H205" s="86">
        <v>42382</v>
      </c>
      <c r="I205" s="61">
        <v>24854.11</v>
      </c>
    </row>
    <row r="206" spans="2:9">
      <c r="B206" s="86">
        <v>45462</v>
      </c>
      <c r="C206" s="61">
        <v>34786.58</v>
      </c>
      <c r="H206" s="86">
        <v>42383</v>
      </c>
      <c r="I206" s="61">
        <v>24772.97</v>
      </c>
    </row>
    <row r="207" spans="2:9">
      <c r="B207" s="86">
        <v>45461</v>
      </c>
      <c r="C207" s="61">
        <v>34847.24</v>
      </c>
      <c r="H207" s="86">
        <v>42384</v>
      </c>
      <c r="I207" s="61">
        <v>24455.040000000001</v>
      </c>
    </row>
    <row r="208" spans="2:9">
      <c r="B208" s="86">
        <v>45457</v>
      </c>
      <c r="C208" s="61">
        <v>34710.67</v>
      </c>
      <c r="H208" s="86">
        <v>42387</v>
      </c>
      <c r="I208" s="61">
        <v>24188.37</v>
      </c>
    </row>
    <row r="209" spans="2:9">
      <c r="B209" s="86">
        <v>45456</v>
      </c>
      <c r="C209" s="61">
        <v>34600.19</v>
      </c>
      <c r="H209" s="86">
        <v>42388</v>
      </c>
      <c r="I209" s="61">
        <v>24479.84</v>
      </c>
    </row>
    <row r="210" spans="2:9">
      <c r="B210" s="86">
        <v>45455</v>
      </c>
      <c r="C210" s="61">
        <v>34487.879999999997</v>
      </c>
      <c r="H210" s="86">
        <v>42389</v>
      </c>
      <c r="I210" s="61">
        <v>24062.04</v>
      </c>
    </row>
    <row r="211" spans="2:9">
      <c r="B211" s="86">
        <v>45454</v>
      </c>
      <c r="C211" s="61">
        <v>34402</v>
      </c>
      <c r="H211" s="86">
        <v>42390</v>
      </c>
      <c r="I211" s="61">
        <v>23962.21</v>
      </c>
    </row>
    <row r="212" spans="2:9">
      <c r="B212" s="86">
        <v>45453</v>
      </c>
      <c r="C212" s="61">
        <v>34385.839999999997</v>
      </c>
      <c r="H212" s="86">
        <v>42391</v>
      </c>
      <c r="I212" s="61">
        <v>24435.66</v>
      </c>
    </row>
    <row r="213" spans="2:9">
      <c r="B213" s="86">
        <v>45450</v>
      </c>
      <c r="C213" s="61">
        <v>34431.61</v>
      </c>
      <c r="H213" s="86">
        <v>42394</v>
      </c>
      <c r="I213" s="61">
        <v>24485.95</v>
      </c>
    </row>
    <row r="214" spans="2:9">
      <c r="B214" s="86">
        <v>45449</v>
      </c>
      <c r="C214" s="61">
        <v>33738.58</v>
      </c>
      <c r="H214" s="86">
        <v>42396</v>
      </c>
      <c r="I214" s="61">
        <v>24492.39</v>
      </c>
    </row>
    <row r="215" spans="2:9">
      <c r="B215" s="86">
        <v>45448</v>
      </c>
      <c r="C215" s="61">
        <v>33441.4</v>
      </c>
      <c r="H215" s="86">
        <v>42397</v>
      </c>
      <c r="I215" s="61">
        <v>24469.57</v>
      </c>
    </row>
    <row r="216" spans="2:9">
      <c r="B216" s="86">
        <v>45447</v>
      </c>
      <c r="C216" s="61">
        <v>32353.5</v>
      </c>
      <c r="H216" s="86">
        <v>42398</v>
      </c>
      <c r="I216" s="61">
        <v>24870.69</v>
      </c>
    </row>
    <row r="217" spans="2:9">
      <c r="B217" s="86">
        <v>45446</v>
      </c>
      <c r="C217" s="61">
        <v>34369.129999999997</v>
      </c>
      <c r="H217" s="86">
        <v>42401</v>
      </c>
      <c r="I217" s="61">
        <v>24824.83</v>
      </c>
    </row>
    <row r="218" spans="2:9">
      <c r="B218" s="86">
        <v>45443</v>
      </c>
      <c r="C218" s="61">
        <v>33285.9</v>
      </c>
      <c r="H218" s="86">
        <v>42402</v>
      </c>
      <c r="I218" s="61">
        <v>24539</v>
      </c>
    </row>
    <row r="219" spans="2:9">
      <c r="B219" s="86">
        <v>45442</v>
      </c>
      <c r="C219" s="61">
        <v>33190.35</v>
      </c>
      <c r="H219" s="86">
        <v>42403</v>
      </c>
      <c r="I219" s="61">
        <v>24223.32</v>
      </c>
    </row>
    <row r="220" spans="2:9">
      <c r="B220" s="86">
        <v>45441</v>
      </c>
      <c r="C220" s="61">
        <v>33509.230000000003</v>
      </c>
      <c r="H220" s="86">
        <v>42404</v>
      </c>
      <c r="I220" s="61">
        <v>24338.43</v>
      </c>
    </row>
    <row r="221" spans="2:9">
      <c r="B221" s="86">
        <v>45440</v>
      </c>
      <c r="C221" s="61">
        <v>33780.01</v>
      </c>
      <c r="H221" s="86">
        <v>42405</v>
      </c>
      <c r="I221" s="61">
        <v>24616.97</v>
      </c>
    </row>
    <row r="222" spans="2:9">
      <c r="B222" s="86">
        <v>45439</v>
      </c>
      <c r="C222" s="61">
        <v>33845.39</v>
      </c>
      <c r="H222" s="86">
        <v>42408</v>
      </c>
      <c r="I222" s="61">
        <v>24287.42</v>
      </c>
    </row>
    <row r="223" spans="2:9">
      <c r="B223" s="86">
        <v>45436</v>
      </c>
      <c r="C223" s="61">
        <v>33881.75</v>
      </c>
      <c r="H223" s="86">
        <v>42409</v>
      </c>
      <c r="I223" s="61">
        <v>24020.98</v>
      </c>
    </row>
    <row r="224" spans="2:9">
      <c r="B224" s="86">
        <v>45435</v>
      </c>
      <c r="C224" s="61">
        <v>33895.660000000003</v>
      </c>
      <c r="H224" s="86">
        <v>42410</v>
      </c>
      <c r="I224" s="61">
        <v>23758.9</v>
      </c>
    </row>
    <row r="225" spans="2:9">
      <c r="B225" s="86">
        <v>45434</v>
      </c>
      <c r="C225" s="61">
        <v>33349.839999999997</v>
      </c>
      <c r="H225" s="86">
        <v>42411</v>
      </c>
      <c r="I225" s="61">
        <v>22951.83</v>
      </c>
    </row>
    <row r="226" spans="2:9">
      <c r="B226" s="86">
        <v>45433</v>
      </c>
      <c r="C226" s="61">
        <v>33230.839999999997</v>
      </c>
      <c r="H226" s="86">
        <v>42412</v>
      </c>
      <c r="I226" s="61">
        <v>22986.12</v>
      </c>
    </row>
    <row r="227" spans="2:9">
      <c r="B227" s="86">
        <v>45430</v>
      </c>
      <c r="C227" s="61">
        <v>33190.97</v>
      </c>
      <c r="H227" s="86">
        <v>42415</v>
      </c>
      <c r="I227" s="61">
        <v>23554.12</v>
      </c>
    </row>
    <row r="228" spans="2:9">
      <c r="B228" s="86">
        <v>45429</v>
      </c>
      <c r="C228" s="61">
        <v>33138.019999999997</v>
      </c>
      <c r="H228" s="86">
        <v>42416</v>
      </c>
      <c r="I228" s="61">
        <v>23191.97</v>
      </c>
    </row>
    <row r="229" spans="2:9">
      <c r="B229" s="86">
        <v>45428</v>
      </c>
      <c r="C229" s="61">
        <v>33046.160000000003</v>
      </c>
      <c r="H229" s="86">
        <v>42417</v>
      </c>
      <c r="I229" s="61">
        <v>23381.87</v>
      </c>
    </row>
    <row r="230" spans="2:9">
      <c r="B230" s="86">
        <v>45427</v>
      </c>
      <c r="C230" s="61">
        <v>32736.91</v>
      </c>
      <c r="H230" s="86">
        <v>42418</v>
      </c>
      <c r="I230" s="61">
        <v>23649.22</v>
      </c>
    </row>
    <row r="231" spans="2:9">
      <c r="B231" s="86">
        <v>45426</v>
      </c>
      <c r="C231" s="61">
        <v>32762.37</v>
      </c>
      <c r="H231" s="86">
        <v>42419</v>
      </c>
      <c r="I231" s="61">
        <v>23709.15</v>
      </c>
    </row>
    <row r="232" spans="2:9">
      <c r="B232" s="86">
        <v>45425</v>
      </c>
      <c r="C232" s="61">
        <v>32594.61</v>
      </c>
      <c r="H232" s="86">
        <v>42422</v>
      </c>
      <c r="I232" s="61">
        <v>23788.79</v>
      </c>
    </row>
    <row r="233" spans="2:9">
      <c r="B233" s="86">
        <v>45422</v>
      </c>
      <c r="C233" s="61">
        <v>32522.55</v>
      </c>
      <c r="H233" s="86">
        <v>42423</v>
      </c>
      <c r="I233" s="61">
        <v>23410.18</v>
      </c>
    </row>
    <row r="234" spans="2:9">
      <c r="B234" s="86">
        <v>45421</v>
      </c>
      <c r="C234" s="61">
        <v>32329.72</v>
      </c>
      <c r="H234" s="86">
        <v>42424</v>
      </c>
      <c r="I234" s="61">
        <v>23088.93</v>
      </c>
    </row>
    <row r="235" spans="2:9">
      <c r="B235" s="86">
        <v>45420</v>
      </c>
      <c r="C235" s="61">
        <v>32837.65</v>
      </c>
      <c r="H235" s="86">
        <v>42425</v>
      </c>
      <c r="I235" s="61">
        <v>22976</v>
      </c>
    </row>
    <row r="236" spans="2:9">
      <c r="B236" s="86">
        <v>45419</v>
      </c>
      <c r="C236" s="61">
        <v>32837.71</v>
      </c>
      <c r="H236" s="86">
        <v>42426</v>
      </c>
      <c r="I236" s="61">
        <v>23154.3</v>
      </c>
    </row>
    <row r="237" spans="2:9">
      <c r="B237" s="86">
        <v>45418</v>
      </c>
      <c r="C237" s="61">
        <v>33037.730000000003</v>
      </c>
      <c r="H237" s="86">
        <v>42429</v>
      </c>
      <c r="I237" s="61">
        <v>23002</v>
      </c>
    </row>
    <row r="238" spans="2:9">
      <c r="B238" s="86">
        <v>45415</v>
      </c>
      <c r="C238" s="61">
        <v>33086.51</v>
      </c>
      <c r="H238" s="86">
        <v>42430</v>
      </c>
      <c r="I238" s="61">
        <v>23779.35</v>
      </c>
    </row>
    <row r="239" spans="2:9">
      <c r="B239" s="86">
        <v>45414</v>
      </c>
      <c r="C239" s="61">
        <v>33340.199999999997</v>
      </c>
      <c r="H239" s="86">
        <v>42431</v>
      </c>
      <c r="I239" s="61">
        <v>24242.98</v>
      </c>
    </row>
    <row r="240" spans="2:9">
      <c r="B240" s="86">
        <v>45412</v>
      </c>
      <c r="C240" s="61">
        <v>33276.410000000003</v>
      </c>
      <c r="H240" s="86">
        <v>42432</v>
      </c>
      <c r="I240" s="61">
        <v>24606.99</v>
      </c>
    </row>
    <row r="241" spans="2:9">
      <c r="B241" s="86">
        <v>45411</v>
      </c>
      <c r="C241" s="61">
        <v>33333.120000000003</v>
      </c>
      <c r="H241" s="86">
        <v>42433</v>
      </c>
      <c r="I241" s="61">
        <v>24646.48</v>
      </c>
    </row>
    <row r="242" spans="2:9">
      <c r="B242" s="86">
        <v>45408</v>
      </c>
      <c r="C242" s="61">
        <v>33004.19</v>
      </c>
      <c r="H242" s="86">
        <v>42437</v>
      </c>
      <c r="I242" s="61">
        <v>24659.23</v>
      </c>
    </row>
    <row r="243" spans="2:9">
      <c r="B243" s="86">
        <v>45407</v>
      </c>
      <c r="C243" s="61">
        <v>33225.64</v>
      </c>
      <c r="H243" s="86">
        <v>42438</v>
      </c>
      <c r="I243" s="61">
        <v>24793.96</v>
      </c>
    </row>
    <row r="244" spans="2:9">
      <c r="B244" s="86">
        <v>45406</v>
      </c>
      <c r="C244" s="61">
        <v>32978.370000000003</v>
      </c>
      <c r="H244" s="86">
        <v>42439</v>
      </c>
      <c r="I244" s="61">
        <v>24623.34</v>
      </c>
    </row>
    <row r="245" spans="2:9">
      <c r="B245" s="86">
        <v>45405</v>
      </c>
      <c r="C245" s="61">
        <v>32927.730000000003</v>
      </c>
      <c r="H245" s="86">
        <v>42440</v>
      </c>
      <c r="I245" s="61">
        <v>24717.99</v>
      </c>
    </row>
    <row r="246" spans="2:9">
      <c r="B246" s="86">
        <v>45404</v>
      </c>
      <c r="C246" s="61">
        <v>32881.22</v>
      </c>
      <c r="H246" s="86">
        <v>42443</v>
      </c>
      <c r="I246" s="61">
        <v>24804.28</v>
      </c>
    </row>
    <row r="247" spans="2:9">
      <c r="B247" s="86">
        <v>45401</v>
      </c>
      <c r="C247" s="61">
        <v>32602.42</v>
      </c>
      <c r="H247" s="86">
        <v>42444</v>
      </c>
      <c r="I247" s="61">
        <v>24551.17</v>
      </c>
    </row>
    <row r="248" spans="2:9">
      <c r="B248" s="86">
        <v>45400</v>
      </c>
      <c r="C248" s="61">
        <v>32379.9</v>
      </c>
      <c r="H248" s="86">
        <v>42445</v>
      </c>
      <c r="I248" s="61">
        <v>24682.48</v>
      </c>
    </row>
    <row r="249" spans="2:9">
      <c r="B249" s="86">
        <v>45398</v>
      </c>
      <c r="C249" s="61">
        <v>32603.74</v>
      </c>
      <c r="H249" s="86">
        <v>42446</v>
      </c>
      <c r="I249" s="61">
        <v>24677.37</v>
      </c>
    </row>
    <row r="250" spans="2:9">
      <c r="B250" s="86">
        <v>45397</v>
      </c>
      <c r="C250" s="61">
        <v>32787.15</v>
      </c>
      <c r="H250" s="86">
        <v>42447</v>
      </c>
      <c r="I250" s="61">
        <v>24952.74</v>
      </c>
    </row>
    <row r="251" spans="2:9">
      <c r="B251" s="86">
        <v>45394</v>
      </c>
      <c r="C251" s="61">
        <v>33150.589999999997</v>
      </c>
      <c r="H251" s="86">
        <v>42450</v>
      </c>
      <c r="I251" s="61">
        <v>25285.37</v>
      </c>
    </row>
    <row r="252" spans="2:9">
      <c r="B252" s="86">
        <v>45392</v>
      </c>
      <c r="C252" s="61">
        <v>33495.65</v>
      </c>
      <c r="H252" s="86">
        <v>42451</v>
      </c>
      <c r="I252" s="61">
        <v>25330.49</v>
      </c>
    </row>
    <row r="253" spans="2:9">
      <c r="B253" s="86">
        <v>45391</v>
      </c>
      <c r="C253" s="61">
        <v>33332.19</v>
      </c>
      <c r="H253" s="86">
        <v>42452</v>
      </c>
      <c r="I253" s="61">
        <v>25337.56</v>
      </c>
    </row>
    <row r="254" spans="2:9">
      <c r="B254" s="86">
        <v>45390</v>
      </c>
      <c r="C254" s="61">
        <v>33366.870000000003</v>
      </c>
      <c r="H254" s="86">
        <v>42457</v>
      </c>
      <c r="I254" s="61">
        <v>24966.400000000001</v>
      </c>
    </row>
    <row r="255" spans="2:9">
      <c r="B255" s="86">
        <v>45387</v>
      </c>
      <c r="C255" s="61">
        <v>33142.19</v>
      </c>
      <c r="H255" s="86">
        <v>42458</v>
      </c>
      <c r="I255" s="61">
        <v>24900.46</v>
      </c>
    </row>
    <row r="256" spans="2:9">
      <c r="B256" s="86">
        <v>45386</v>
      </c>
      <c r="C256" s="61">
        <v>33143.589999999997</v>
      </c>
      <c r="H256" s="86">
        <v>42459</v>
      </c>
      <c r="I256" s="61">
        <v>25338.58</v>
      </c>
    </row>
    <row r="257" spans="2:9">
      <c r="B257" s="86">
        <v>45385</v>
      </c>
      <c r="C257" s="61">
        <v>33025.82</v>
      </c>
      <c r="H257" s="86">
        <v>42460</v>
      </c>
      <c r="I257" s="61">
        <v>25341.86</v>
      </c>
    </row>
    <row r="258" spans="2:9">
      <c r="B258" s="86">
        <v>45384</v>
      </c>
      <c r="C258" s="61">
        <v>33053.33</v>
      </c>
      <c r="H258" s="86">
        <v>42461</v>
      </c>
      <c r="I258" s="61">
        <v>25269.64</v>
      </c>
    </row>
    <row r="259" spans="2:9">
      <c r="B259" s="86">
        <v>45383</v>
      </c>
      <c r="C259" s="61">
        <v>33066.129999999997</v>
      </c>
      <c r="H259" s="86">
        <v>42464</v>
      </c>
      <c r="I259" s="61">
        <v>25399.65</v>
      </c>
    </row>
    <row r="260" spans="2:9">
      <c r="B260" s="86">
        <v>45379</v>
      </c>
      <c r="C260" s="61">
        <v>32867.230000000003</v>
      </c>
      <c r="H260" s="86">
        <v>42465</v>
      </c>
      <c r="I260" s="61">
        <v>24883.59</v>
      </c>
    </row>
    <row r="261" spans="2:9">
      <c r="B261" s="86">
        <v>45378</v>
      </c>
      <c r="C261" s="61">
        <v>32568.01</v>
      </c>
      <c r="H261" s="86">
        <v>42466</v>
      </c>
      <c r="I261" s="61">
        <v>24900.63</v>
      </c>
    </row>
    <row r="262" spans="2:9">
      <c r="B262" s="86">
        <v>45377</v>
      </c>
      <c r="C262" s="61">
        <v>32392.94</v>
      </c>
      <c r="H262" s="86">
        <v>42467</v>
      </c>
      <c r="I262" s="61">
        <v>24685.42</v>
      </c>
    </row>
    <row r="263" spans="2:9">
      <c r="B263" s="86">
        <v>45373</v>
      </c>
      <c r="C263" s="61">
        <v>32528.43</v>
      </c>
      <c r="H263" s="86">
        <v>42468</v>
      </c>
      <c r="I263" s="61">
        <v>24673.84</v>
      </c>
    </row>
    <row r="264" spans="2:9">
      <c r="B264" s="86">
        <v>45372</v>
      </c>
      <c r="C264" s="61">
        <v>32403.599999999999</v>
      </c>
      <c r="H264" s="86">
        <v>42471</v>
      </c>
      <c r="I264" s="61">
        <v>25022.16</v>
      </c>
    </row>
    <row r="265" spans="2:9">
      <c r="B265" s="86">
        <v>45371</v>
      </c>
      <c r="C265" s="61">
        <v>32149.17</v>
      </c>
      <c r="H265" s="86">
        <v>42472</v>
      </c>
      <c r="I265" s="61">
        <v>25145.59</v>
      </c>
    </row>
    <row r="266" spans="2:9">
      <c r="B266" s="86">
        <v>45370</v>
      </c>
      <c r="C266" s="61">
        <v>32117.3</v>
      </c>
      <c r="H266" s="86">
        <v>42473</v>
      </c>
      <c r="I266" s="61">
        <v>25626.75</v>
      </c>
    </row>
    <row r="267" spans="2:9">
      <c r="B267" s="86">
        <v>45369</v>
      </c>
      <c r="C267" s="61">
        <v>32468</v>
      </c>
      <c r="H267" s="86">
        <v>42478</v>
      </c>
      <c r="I267" s="61">
        <v>25816.36</v>
      </c>
    </row>
    <row r="268" spans="2:9">
      <c r="B268" s="86">
        <v>45366</v>
      </c>
      <c r="C268" s="61">
        <v>32420.41</v>
      </c>
      <c r="H268" s="86">
        <v>42480</v>
      </c>
      <c r="I268" s="61">
        <v>25844.18</v>
      </c>
    </row>
    <row r="269" spans="2:9">
      <c r="B269" s="86">
        <v>45365</v>
      </c>
      <c r="C269" s="61">
        <v>32601.49</v>
      </c>
      <c r="H269" s="86">
        <v>42481</v>
      </c>
      <c r="I269" s="61">
        <v>25880.38</v>
      </c>
    </row>
    <row r="270" spans="2:9">
      <c r="B270" s="86">
        <v>45364</v>
      </c>
      <c r="C270" s="61">
        <v>32382.22</v>
      </c>
      <c r="H270" s="86">
        <v>42482</v>
      </c>
      <c r="I270" s="61">
        <v>25838.14</v>
      </c>
    </row>
    <row r="271" spans="2:9">
      <c r="B271" s="86">
        <v>45363</v>
      </c>
      <c r="C271" s="61">
        <v>32879.74</v>
      </c>
      <c r="H271" s="86">
        <v>42485</v>
      </c>
      <c r="I271" s="61">
        <v>25678.93</v>
      </c>
    </row>
    <row r="272" spans="2:9">
      <c r="B272" s="86">
        <v>45362</v>
      </c>
      <c r="C272" s="61">
        <v>32875.25</v>
      </c>
      <c r="H272" s="86">
        <v>42486</v>
      </c>
      <c r="I272" s="61">
        <v>26007.3</v>
      </c>
    </row>
    <row r="273" spans="2:9">
      <c r="B273" s="86">
        <v>45358</v>
      </c>
      <c r="C273" s="61">
        <v>33112.15</v>
      </c>
      <c r="H273" s="86">
        <v>42487</v>
      </c>
      <c r="I273" s="61">
        <v>26064.12</v>
      </c>
    </row>
    <row r="274" spans="2:9">
      <c r="B274" s="86">
        <v>45357</v>
      </c>
      <c r="C274" s="61">
        <v>33083.42</v>
      </c>
      <c r="H274" s="86">
        <v>42488</v>
      </c>
      <c r="I274" s="61">
        <v>25603.1</v>
      </c>
    </row>
    <row r="275" spans="2:9">
      <c r="B275" s="86">
        <v>45356</v>
      </c>
      <c r="C275" s="61">
        <v>32910.07</v>
      </c>
      <c r="H275" s="86">
        <v>42489</v>
      </c>
      <c r="I275" s="61">
        <v>25606.62</v>
      </c>
    </row>
    <row r="276" spans="2:9">
      <c r="B276" s="86">
        <v>45355</v>
      </c>
      <c r="C276" s="61">
        <v>32982.68</v>
      </c>
      <c r="H276" s="86">
        <v>42492</v>
      </c>
      <c r="I276" s="61">
        <v>25436.97</v>
      </c>
    </row>
    <row r="277" spans="2:9">
      <c r="B277" s="86">
        <v>45353</v>
      </c>
      <c r="C277" s="61">
        <v>32942.629999999997</v>
      </c>
      <c r="H277" s="86">
        <v>42493</v>
      </c>
      <c r="I277" s="61">
        <v>25229.7</v>
      </c>
    </row>
    <row r="278" spans="2:9">
      <c r="B278" s="86">
        <v>45352</v>
      </c>
      <c r="C278" s="61">
        <v>32884.29</v>
      </c>
      <c r="H278" s="86">
        <v>42494</v>
      </c>
      <c r="I278" s="61">
        <v>25101.73</v>
      </c>
    </row>
    <row r="279" spans="2:9">
      <c r="B279" s="86">
        <v>45351</v>
      </c>
      <c r="C279" s="61">
        <v>32360.25</v>
      </c>
      <c r="H279" s="86">
        <v>42495</v>
      </c>
      <c r="I279" s="61">
        <v>25262.21</v>
      </c>
    </row>
    <row r="280" spans="2:9">
      <c r="B280" s="86">
        <v>45350</v>
      </c>
      <c r="C280" s="61">
        <v>32313.7</v>
      </c>
      <c r="H280" s="86">
        <v>42496</v>
      </c>
      <c r="I280" s="61">
        <v>25228.5</v>
      </c>
    </row>
    <row r="281" spans="2:9">
      <c r="B281" s="86">
        <v>45349</v>
      </c>
      <c r="C281" s="61">
        <v>32677.61</v>
      </c>
      <c r="H281" s="86">
        <v>42499</v>
      </c>
      <c r="I281" s="61">
        <v>25688.86</v>
      </c>
    </row>
    <row r="282" spans="2:9">
      <c r="B282" s="86">
        <v>45348</v>
      </c>
      <c r="C282" s="61">
        <v>32565.29</v>
      </c>
      <c r="H282" s="86">
        <v>42500</v>
      </c>
      <c r="I282" s="61">
        <v>25772.53</v>
      </c>
    </row>
    <row r="283" spans="2:9">
      <c r="B283" s="86">
        <v>45345</v>
      </c>
      <c r="C283" s="61">
        <v>32698.69</v>
      </c>
      <c r="H283" s="86">
        <v>42501</v>
      </c>
      <c r="I283" s="61">
        <v>25597.02</v>
      </c>
    </row>
    <row r="284" spans="2:9">
      <c r="B284" s="86">
        <v>45344</v>
      </c>
      <c r="C284" s="61">
        <v>32705.7</v>
      </c>
      <c r="H284" s="86">
        <v>42502</v>
      </c>
      <c r="I284" s="61">
        <v>25790.22</v>
      </c>
    </row>
    <row r="285" spans="2:9">
      <c r="B285" s="86">
        <v>45343</v>
      </c>
      <c r="C285" s="61">
        <v>32466.65</v>
      </c>
      <c r="H285" s="86">
        <v>42503</v>
      </c>
      <c r="I285" s="61">
        <v>25489.57</v>
      </c>
    </row>
    <row r="286" spans="2:9">
      <c r="B286" s="86">
        <v>45342</v>
      </c>
      <c r="C286" s="61">
        <v>32675.53</v>
      </c>
      <c r="H286" s="86">
        <v>42506</v>
      </c>
      <c r="I286" s="61">
        <v>25653.23</v>
      </c>
    </row>
    <row r="287" spans="2:9">
      <c r="B287" s="86">
        <v>45341</v>
      </c>
      <c r="C287" s="61">
        <v>32561.34</v>
      </c>
      <c r="H287" s="86">
        <v>42507</v>
      </c>
      <c r="I287" s="61">
        <v>25773.61</v>
      </c>
    </row>
    <row r="288" spans="2:9">
      <c r="B288" s="86">
        <v>45338</v>
      </c>
      <c r="C288" s="61">
        <v>32441.32</v>
      </c>
      <c r="H288" s="86">
        <v>42508</v>
      </c>
      <c r="I288" s="61">
        <v>25704.61</v>
      </c>
    </row>
    <row r="289" spans="2:9">
      <c r="B289" s="86">
        <v>45337</v>
      </c>
      <c r="C289" s="61">
        <v>32244.79</v>
      </c>
      <c r="H289" s="86">
        <v>42509</v>
      </c>
      <c r="I289" s="61">
        <v>25399.72</v>
      </c>
    </row>
    <row r="290" spans="2:9">
      <c r="B290" s="86">
        <v>45336</v>
      </c>
      <c r="C290" s="61">
        <v>32133.040000000001</v>
      </c>
      <c r="H290" s="86">
        <v>42510</v>
      </c>
      <c r="I290" s="61">
        <v>25301.9</v>
      </c>
    </row>
    <row r="291" spans="2:9">
      <c r="B291" s="86">
        <v>45335</v>
      </c>
      <c r="C291" s="61">
        <v>31990.61</v>
      </c>
      <c r="H291" s="86">
        <v>42513</v>
      </c>
      <c r="I291" s="61">
        <v>25230.36</v>
      </c>
    </row>
    <row r="292" spans="2:9">
      <c r="B292" s="86">
        <v>45334</v>
      </c>
      <c r="C292" s="61">
        <v>31803.52</v>
      </c>
      <c r="H292" s="86">
        <v>42514</v>
      </c>
      <c r="I292" s="61">
        <v>25305.47</v>
      </c>
    </row>
    <row r="293" spans="2:9">
      <c r="B293" s="86">
        <v>45331</v>
      </c>
      <c r="C293" s="61">
        <v>32048.38</v>
      </c>
      <c r="H293" s="86">
        <v>42515</v>
      </c>
      <c r="I293" s="61">
        <v>25881.17</v>
      </c>
    </row>
    <row r="294" spans="2:9">
      <c r="B294" s="86">
        <v>45330</v>
      </c>
      <c r="C294" s="61">
        <v>31950.32</v>
      </c>
      <c r="H294" s="86">
        <v>42516</v>
      </c>
      <c r="I294" s="61">
        <v>26366.68</v>
      </c>
    </row>
    <row r="295" spans="2:9">
      <c r="B295" s="86">
        <v>45329</v>
      </c>
      <c r="C295" s="61">
        <v>32244.22</v>
      </c>
      <c r="H295" s="86">
        <v>42517</v>
      </c>
      <c r="I295" s="61">
        <v>26653.599999999999</v>
      </c>
    </row>
    <row r="296" spans="2:9">
      <c r="B296" s="86">
        <v>45328</v>
      </c>
      <c r="C296" s="61">
        <v>32242.59</v>
      </c>
      <c r="H296" s="86">
        <v>42520</v>
      </c>
      <c r="I296" s="61">
        <v>26725.599999999999</v>
      </c>
    </row>
    <row r="297" spans="2:9">
      <c r="B297" s="86">
        <v>45327</v>
      </c>
      <c r="C297" s="61">
        <v>32007.18</v>
      </c>
      <c r="H297" s="86">
        <v>42521</v>
      </c>
      <c r="I297" s="61">
        <v>26667.96</v>
      </c>
    </row>
    <row r="298" spans="2:9">
      <c r="B298" s="86">
        <v>45324</v>
      </c>
      <c r="C298" s="61">
        <v>32127.9</v>
      </c>
      <c r="H298" s="86">
        <v>42522</v>
      </c>
      <c r="I298" s="61">
        <v>26713.93</v>
      </c>
    </row>
    <row r="299" spans="2:9">
      <c r="B299" s="86">
        <v>45323</v>
      </c>
      <c r="C299" s="61">
        <v>31898.06</v>
      </c>
      <c r="H299" s="86">
        <v>42523</v>
      </c>
      <c r="I299" s="61">
        <v>26843.14</v>
      </c>
    </row>
    <row r="300" spans="2:9">
      <c r="B300" s="86">
        <v>45322</v>
      </c>
      <c r="C300" s="61">
        <v>31939.59</v>
      </c>
      <c r="H300" s="86">
        <v>42524</v>
      </c>
      <c r="I300" s="61">
        <v>26843.03</v>
      </c>
    </row>
    <row r="301" spans="2:9">
      <c r="B301" s="86">
        <v>45321</v>
      </c>
      <c r="C301" s="61">
        <v>31640.240000000002</v>
      </c>
      <c r="H301" s="86">
        <v>42527</v>
      </c>
      <c r="I301" s="61">
        <v>26777.45</v>
      </c>
    </row>
    <row r="302" spans="2:9">
      <c r="B302" s="86">
        <v>45320</v>
      </c>
      <c r="C302" s="61">
        <v>31957.05</v>
      </c>
      <c r="H302" s="86">
        <v>42528</v>
      </c>
      <c r="I302" s="61">
        <v>27009.67</v>
      </c>
    </row>
    <row r="303" spans="2:9">
      <c r="B303" s="86">
        <v>45316</v>
      </c>
      <c r="C303" s="61">
        <v>31391.07</v>
      </c>
      <c r="H303" s="86">
        <v>42529</v>
      </c>
      <c r="I303" s="61">
        <v>27020.66</v>
      </c>
    </row>
    <row r="304" spans="2:9">
      <c r="B304" s="86">
        <v>45315</v>
      </c>
      <c r="C304" s="61">
        <v>31540.07</v>
      </c>
      <c r="H304" s="86">
        <v>42530</v>
      </c>
      <c r="I304" s="61">
        <v>26763.46</v>
      </c>
    </row>
    <row r="305" spans="2:9">
      <c r="B305" s="86">
        <v>45314</v>
      </c>
      <c r="C305" s="61">
        <v>31223.3</v>
      </c>
      <c r="H305" s="86">
        <v>42531</v>
      </c>
      <c r="I305" s="61">
        <v>26635.75</v>
      </c>
    </row>
    <row r="306" spans="2:9">
      <c r="B306" s="86">
        <v>45311</v>
      </c>
      <c r="C306" s="61">
        <v>31712.86</v>
      </c>
      <c r="H306" s="86">
        <v>42534</v>
      </c>
      <c r="I306" s="61">
        <v>26396.77</v>
      </c>
    </row>
    <row r="307" spans="2:9">
      <c r="B307" s="86">
        <v>45310</v>
      </c>
      <c r="C307" s="61">
        <v>31787.24</v>
      </c>
      <c r="H307" s="86">
        <v>42535</v>
      </c>
      <c r="I307" s="61">
        <v>26395.71</v>
      </c>
    </row>
    <row r="308" spans="2:9">
      <c r="B308" s="86">
        <v>45309</v>
      </c>
      <c r="C308" s="61">
        <v>31538.400000000001</v>
      </c>
      <c r="H308" s="86">
        <v>42536</v>
      </c>
      <c r="I308" s="61">
        <v>26726.34</v>
      </c>
    </row>
    <row r="309" spans="2:9">
      <c r="B309" s="86">
        <v>45308</v>
      </c>
      <c r="C309" s="61">
        <v>31699.64</v>
      </c>
      <c r="H309" s="86">
        <v>42537</v>
      </c>
      <c r="I309" s="61">
        <v>26525.46</v>
      </c>
    </row>
    <row r="310" spans="2:9">
      <c r="B310" s="86">
        <v>45307</v>
      </c>
      <c r="C310" s="61">
        <v>32376.1</v>
      </c>
      <c r="H310" s="86">
        <v>42538</v>
      </c>
      <c r="I310" s="61">
        <v>26625.91</v>
      </c>
    </row>
    <row r="311" spans="2:9">
      <c r="B311" s="86">
        <v>45306</v>
      </c>
      <c r="C311" s="61">
        <v>32471.8</v>
      </c>
      <c r="H311" s="86">
        <v>42541</v>
      </c>
      <c r="I311" s="61">
        <v>26866.92</v>
      </c>
    </row>
    <row r="312" spans="2:9">
      <c r="B312" s="86">
        <v>45303</v>
      </c>
      <c r="C312" s="61">
        <v>32173.66</v>
      </c>
      <c r="H312" s="86">
        <v>42542</v>
      </c>
      <c r="I312" s="61">
        <v>26812.78</v>
      </c>
    </row>
    <row r="313" spans="2:9">
      <c r="B313" s="86">
        <v>45302</v>
      </c>
      <c r="C313" s="61">
        <v>31810.18</v>
      </c>
      <c r="H313" s="86">
        <v>42543</v>
      </c>
      <c r="I313" s="61">
        <v>26765.65</v>
      </c>
    </row>
    <row r="314" spans="2:9">
      <c r="B314" s="86">
        <v>45301</v>
      </c>
      <c r="C314" s="61">
        <v>31768.3</v>
      </c>
      <c r="H314" s="86">
        <v>42544</v>
      </c>
      <c r="I314" s="61">
        <v>27002.22</v>
      </c>
    </row>
    <row r="315" spans="2:9">
      <c r="B315" s="86">
        <v>45300</v>
      </c>
      <c r="C315" s="61">
        <v>31659.81</v>
      </c>
      <c r="H315" s="86">
        <v>42545</v>
      </c>
      <c r="I315" s="61">
        <v>26397.71</v>
      </c>
    </row>
    <row r="316" spans="2:9">
      <c r="B316" s="86">
        <v>45299</v>
      </c>
      <c r="C316" s="61">
        <v>31613.01</v>
      </c>
      <c r="H316" s="86">
        <v>42548</v>
      </c>
      <c r="I316" s="61">
        <v>26402.959999999999</v>
      </c>
    </row>
    <row r="317" spans="2:9">
      <c r="B317" s="86">
        <v>45296</v>
      </c>
      <c r="C317" s="61">
        <v>31903.69</v>
      </c>
      <c r="H317" s="86">
        <v>42549</v>
      </c>
      <c r="I317" s="61">
        <v>26524.55</v>
      </c>
    </row>
    <row r="318" spans="2:9">
      <c r="B318" s="86">
        <v>45295</v>
      </c>
      <c r="C318" s="61">
        <v>31826.97</v>
      </c>
      <c r="H318" s="86">
        <v>42550</v>
      </c>
      <c r="I318" s="61">
        <v>26740.39</v>
      </c>
    </row>
    <row r="319" spans="2:9">
      <c r="B319" s="86">
        <v>45294</v>
      </c>
      <c r="C319" s="61">
        <v>31619.360000000001</v>
      </c>
      <c r="H319" s="86">
        <v>42551</v>
      </c>
      <c r="I319" s="61">
        <v>26999.72</v>
      </c>
    </row>
    <row r="320" spans="2:9">
      <c r="B320" s="86">
        <v>45293</v>
      </c>
      <c r="C320" s="61">
        <v>31837.56</v>
      </c>
      <c r="H320" s="86">
        <v>42552</v>
      </c>
      <c r="I320" s="61">
        <v>27144.91</v>
      </c>
    </row>
    <row r="321" spans="2:9">
      <c r="B321" s="86">
        <v>45292</v>
      </c>
      <c r="C321" s="61">
        <v>31949.360000000001</v>
      </c>
      <c r="H321" s="86">
        <v>42555</v>
      </c>
      <c r="I321" s="61">
        <v>27278.76</v>
      </c>
    </row>
    <row r="322" spans="2:9">
      <c r="B322" s="86">
        <v>45289</v>
      </c>
      <c r="C322" s="61">
        <v>31933.93</v>
      </c>
      <c r="H322" s="86">
        <v>42556</v>
      </c>
      <c r="I322" s="61">
        <v>27166.87</v>
      </c>
    </row>
    <row r="323" spans="2:9">
      <c r="B323" s="86">
        <v>45288</v>
      </c>
      <c r="C323" s="61">
        <v>32003.47</v>
      </c>
      <c r="H323" s="86">
        <v>42558</v>
      </c>
      <c r="I323" s="61">
        <v>27201.49</v>
      </c>
    </row>
    <row r="324" spans="2:9">
      <c r="B324" s="86">
        <v>45287</v>
      </c>
      <c r="C324" s="61">
        <v>31821.31</v>
      </c>
      <c r="H324" s="86">
        <v>42559</v>
      </c>
      <c r="I324" s="61">
        <v>27126.9</v>
      </c>
    </row>
    <row r="325" spans="2:9">
      <c r="B325" s="86">
        <v>45286</v>
      </c>
      <c r="C325" s="61">
        <v>31507.69</v>
      </c>
      <c r="H325" s="86">
        <v>42562</v>
      </c>
      <c r="I325" s="61">
        <v>27626.69</v>
      </c>
    </row>
    <row r="326" spans="2:9">
      <c r="B326" s="86">
        <v>45282</v>
      </c>
      <c r="C326" s="61">
        <v>31372.6</v>
      </c>
      <c r="H326" s="86">
        <v>42563</v>
      </c>
      <c r="I326" s="61">
        <v>27808.14</v>
      </c>
    </row>
    <row r="327" spans="2:9">
      <c r="B327" s="86">
        <v>45281</v>
      </c>
      <c r="C327" s="61">
        <v>31233.93</v>
      </c>
      <c r="H327" s="86">
        <v>42564</v>
      </c>
      <c r="I327" s="61">
        <v>27815.18</v>
      </c>
    </row>
    <row r="328" spans="2:9">
      <c r="B328" s="86">
        <v>45280</v>
      </c>
      <c r="C328" s="61">
        <v>31079.759999999998</v>
      </c>
      <c r="H328" s="86">
        <v>42565</v>
      </c>
      <c r="I328" s="61">
        <v>27942.11</v>
      </c>
    </row>
    <row r="329" spans="2:9">
      <c r="B329" s="86">
        <v>45279</v>
      </c>
      <c r="C329" s="61">
        <v>31525</v>
      </c>
      <c r="H329" s="86">
        <v>42566</v>
      </c>
      <c r="I329" s="61">
        <v>27836.5</v>
      </c>
    </row>
    <row r="330" spans="2:9">
      <c r="B330" s="86">
        <v>45278</v>
      </c>
      <c r="C330" s="61">
        <v>31474.35</v>
      </c>
      <c r="H330" s="86">
        <v>42569</v>
      </c>
      <c r="I330" s="61">
        <v>27746.66</v>
      </c>
    </row>
    <row r="331" spans="2:9">
      <c r="B331" s="86">
        <v>45275</v>
      </c>
      <c r="C331" s="61">
        <v>31530.19</v>
      </c>
      <c r="H331" s="86">
        <v>42570</v>
      </c>
      <c r="I331" s="61">
        <v>27787.62</v>
      </c>
    </row>
    <row r="332" spans="2:9">
      <c r="B332" s="86">
        <v>45274</v>
      </c>
      <c r="C332" s="61">
        <v>31127.599999999999</v>
      </c>
      <c r="H332" s="86">
        <v>42571</v>
      </c>
      <c r="I332" s="61">
        <v>27915.89</v>
      </c>
    </row>
    <row r="333" spans="2:9">
      <c r="B333" s="86">
        <v>45273</v>
      </c>
      <c r="C333" s="61">
        <v>30750.95</v>
      </c>
      <c r="H333" s="86">
        <v>42572</v>
      </c>
      <c r="I333" s="61">
        <v>27710.52</v>
      </c>
    </row>
    <row r="334" spans="2:9">
      <c r="B334" s="86">
        <v>45272</v>
      </c>
      <c r="C334" s="61">
        <v>30721.59</v>
      </c>
      <c r="H334" s="86">
        <v>42573</v>
      </c>
      <c r="I334" s="61">
        <v>27803.24</v>
      </c>
    </row>
    <row r="335" spans="2:9">
      <c r="B335" s="86">
        <v>45271</v>
      </c>
      <c r="C335" s="61">
        <v>30854.9</v>
      </c>
      <c r="H335" s="86">
        <v>42576</v>
      </c>
      <c r="I335" s="61">
        <v>28095.34</v>
      </c>
    </row>
    <row r="336" spans="2:9">
      <c r="B336" s="86">
        <v>45268</v>
      </c>
      <c r="C336" s="61">
        <v>30814.15</v>
      </c>
      <c r="H336" s="86">
        <v>42577</v>
      </c>
      <c r="I336" s="61">
        <v>27976.52</v>
      </c>
    </row>
    <row r="337" spans="2:9">
      <c r="B337" s="86">
        <v>45267</v>
      </c>
      <c r="C337" s="61">
        <v>30713.86</v>
      </c>
      <c r="H337" s="86">
        <v>42578</v>
      </c>
      <c r="I337" s="61">
        <v>28024.33</v>
      </c>
    </row>
    <row r="338" spans="2:9">
      <c r="B338" s="86">
        <v>45266</v>
      </c>
      <c r="C338" s="61">
        <v>30767.599999999999</v>
      </c>
      <c r="H338" s="86">
        <v>42579</v>
      </c>
      <c r="I338" s="61">
        <v>28208.62</v>
      </c>
    </row>
    <row r="339" spans="2:9">
      <c r="B339" s="86">
        <v>45265</v>
      </c>
      <c r="C339" s="61">
        <v>30646.19</v>
      </c>
      <c r="H339" s="86">
        <v>42580</v>
      </c>
      <c r="I339" s="61">
        <v>28051.86</v>
      </c>
    </row>
    <row r="340" spans="2:9">
      <c r="B340" s="86">
        <v>45264</v>
      </c>
      <c r="C340" s="61">
        <v>30398.91</v>
      </c>
      <c r="H340" s="86">
        <v>42583</v>
      </c>
      <c r="I340" s="61">
        <v>28003.119999999999</v>
      </c>
    </row>
    <row r="341" spans="2:9">
      <c r="B341" s="86">
        <v>45261</v>
      </c>
      <c r="C341" s="61">
        <v>29783.34</v>
      </c>
      <c r="H341" s="86">
        <v>42584</v>
      </c>
      <c r="I341" s="61">
        <v>27981.71</v>
      </c>
    </row>
    <row r="342" spans="2:9">
      <c r="B342" s="86">
        <v>45260</v>
      </c>
      <c r="C342" s="61">
        <v>29585.360000000001</v>
      </c>
      <c r="H342" s="86">
        <v>42585</v>
      </c>
      <c r="I342" s="61">
        <v>27697.51</v>
      </c>
    </row>
    <row r="343" spans="2:9">
      <c r="B343" s="86">
        <v>45259</v>
      </c>
      <c r="C343" s="61">
        <v>29531.63</v>
      </c>
      <c r="H343" s="86">
        <v>42586</v>
      </c>
      <c r="I343" s="61">
        <v>27714.37</v>
      </c>
    </row>
    <row r="344" spans="2:9">
      <c r="B344" s="86">
        <v>45258</v>
      </c>
      <c r="C344" s="61">
        <v>29227.61</v>
      </c>
      <c r="H344" s="86">
        <v>42587</v>
      </c>
      <c r="I344" s="61">
        <v>28078.35</v>
      </c>
    </row>
    <row r="345" spans="2:9">
      <c r="B345" s="86">
        <v>45254</v>
      </c>
      <c r="C345" s="61">
        <v>29087.95</v>
      </c>
      <c r="H345" s="86">
        <v>42590</v>
      </c>
      <c r="I345" s="61">
        <v>28182.57</v>
      </c>
    </row>
    <row r="346" spans="2:9">
      <c r="B346" s="86">
        <v>45253</v>
      </c>
      <c r="C346" s="61">
        <v>29098.74</v>
      </c>
      <c r="H346" s="86">
        <v>42591</v>
      </c>
      <c r="I346" s="61">
        <v>28085.16</v>
      </c>
    </row>
    <row r="347" spans="2:9">
      <c r="B347" s="86">
        <v>45252</v>
      </c>
      <c r="C347" s="61">
        <v>29113.18</v>
      </c>
      <c r="H347" s="86">
        <v>42592</v>
      </c>
      <c r="I347" s="61">
        <v>27774.880000000001</v>
      </c>
    </row>
    <row r="348" spans="2:9">
      <c r="B348" s="86">
        <v>45251</v>
      </c>
      <c r="C348" s="61">
        <v>29071.360000000001</v>
      </c>
      <c r="H348" s="86">
        <v>42593</v>
      </c>
      <c r="I348" s="61">
        <v>27859.599999999999</v>
      </c>
    </row>
    <row r="349" spans="2:9">
      <c r="B349" s="86">
        <v>45250</v>
      </c>
      <c r="C349" s="61">
        <v>28939.98</v>
      </c>
      <c r="H349" s="86">
        <v>42594</v>
      </c>
      <c r="I349" s="61">
        <v>28152.400000000001</v>
      </c>
    </row>
    <row r="350" spans="2:9">
      <c r="B350" s="86">
        <v>45247</v>
      </c>
      <c r="C350" s="61">
        <v>28995.52</v>
      </c>
      <c r="H350" s="86">
        <v>42598</v>
      </c>
      <c r="I350" s="61">
        <v>28064.61</v>
      </c>
    </row>
    <row r="351" spans="2:9">
      <c r="B351" s="86">
        <v>45246</v>
      </c>
      <c r="C351" s="61">
        <v>29044.66</v>
      </c>
      <c r="H351" s="86">
        <v>42599</v>
      </c>
      <c r="I351" s="61">
        <v>28005.37</v>
      </c>
    </row>
    <row r="352" spans="2:9">
      <c r="B352" s="86">
        <v>45245</v>
      </c>
      <c r="C352" s="61">
        <v>28906.7</v>
      </c>
      <c r="H352" s="86">
        <v>42600</v>
      </c>
      <c r="I352" s="61">
        <v>28123.439999999999</v>
      </c>
    </row>
    <row r="353" spans="2:9">
      <c r="B353" s="86">
        <v>45243</v>
      </c>
      <c r="C353" s="61">
        <v>28565.95</v>
      </c>
      <c r="H353" s="86">
        <v>42601</v>
      </c>
      <c r="I353" s="61">
        <v>28077</v>
      </c>
    </row>
    <row r="354" spans="2:9">
      <c r="B354" s="86">
        <v>45242</v>
      </c>
      <c r="C354" s="61">
        <v>28686.47</v>
      </c>
      <c r="H354" s="86">
        <v>42604</v>
      </c>
      <c r="I354" s="61">
        <v>27985.54</v>
      </c>
    </row>
    <row r="355" spans="2:9">
      <c r="B355" s="86">
        <v>45240</v>
      </c>
      <c r="C355" s="61">
        <v>28539.24</v>
      </c>
      <c r="H355" s="86">
        <v>42605</v>
      </c>
      <c r="I355" s="61">
        <v>27990.21</v>
      </c>
    </row>
    <row r="356" spans="2:9">
      <c r="B356" s="86">
        <v>45239</v>
      </c>
      <c r="C356" s="61">
        <v>28495.08</v>
      </c>
      <c r="H356" s="86">
        <v>42606</v>
      </c>
      <c r="I356" s="61">
        <v>28059.94</v>
      </c>
    </row>
    <row r="357" spans="2:9">
      <c r="B357" s="86">
        <v>45238</v>
      </c>
      <c r="C357" s="61">
        <v>28565.86</v>
      </c>
      <c r="H357" s="86">
        <v>42607</v>
      </c>
      <c r="I357" s="61">
        <v>27835.91</v>
      </c>
    </row>
    <row r="358" spans="2:9">
      <c r="B358" s="86">
        <v>45237</v>
      </c>
      <c r="C358" s="61">
        <v>28511.81</v>
      </c>
      <c r="H358" s="86">
        <v>42608</v>
      </c>
      <c r="I358" s="61">
        <v>27782.25</v>
      </c>
    </row>
    <row r="359" spans="2:9">
      <c r="B359" s="86">
        <v>45236</v>
      </c>
      <c r="C359" s="61">
        <v>28519.25</v>
      </c>
      <c r="H359" s="86">
        <v>42611</v>
      </c>
      <c r="I359" s="61">
        <v>27902.66</v>
      </c>
    </row>
    <row r="360" spans="2:9">
      <c r="B360" s="86">
        <v>45233</v>
      </c>
      <c r="C360" s="61">
        <v>28253.09</v>
      </c>
      <c r="H360" s="86">
        <v>42612</v>
      </c>
      <c r="I360" s="61">
        <v>28343.01</v>
      </c>
    </row>
    <row r="361" spans="2:9">
      <c r="B361" s="86">
        <v>45232</v>
      </c>
      <c r="C361" s="61">
        <v>28105.75</v>
      </c>
      <c r="H361" s="86">
        <v>42613</v>
      </c>
      <c r="I361" s="61">
        <v>28452.17</v>
      </c>
    </row>
    <row r="362" spans="2:9">
      <c r="B362" s="86">
        <v>45231</v>
      </c>
      <c r="C362" s="61">
        <v>27886.240000000002</v>
      </c>
      <c r="H362" s="86">
        <v>42614</v>
      </c>
      <c r="I362" s="61">
        <v>28423.48</v>
      </c>
    </row>
    <row r="363" spans="2:9">
      <c r="B363" s="86">
        <v>45230</v>
      </c>
      <c r="C363" s="61">
        <v>28017.360000000001</v>
      </c>
      <c r="H363" s="86">
        <v>42615</v>
      </c>
      <c r="I363" s="61">
        <v>28532.11</v>
      </c>
    </row>
    <row r="364" spans="2:9">
      <c r="B364" s="86">
        <v>45229</v>
      </c>
      <c r="C364" s="61">
        <v>28107.42</v>
      </c>
      <c r="H364" s="86">
        <v>42619</v>
      </c>
      <c r="I364" s="61">
        <v>28978.02</v>
      </c>
    </row>
    <row r="365" spans="2:9">
      <c r="B365" s="86">
        <v>45226</v>
      </c>
      <c r="C365" s="61">
        <v>27969.919999999998</v>
      </c>
      <c r="H365" s="86">
        <v>42620</v>
      </c>
      <c r="I365" s="61">
        <v>28926.36</v>
      </c>
    </row>
    <row r="366" spans="2:9">
      <c r="B366" s="86">
        <v>45225</v>
      </c>
      <c r="C366" s="61">
        <v>27690.29</v>
      </c>
      <c r="H366" s="86">
        <v>42621</v>
      </c>
      <c r="I366" s="61">
        <v>29045.279999999999</v>
      </c>
    </row>
    <row r="367" spans="2:9">
      <c r="B367" s="86">
        <v>45224</v>
      </c>
      <c r="C367" s="61">
        <v>28079.26</v>
      </c>
      <c r="H367" s="86">
        <v>42622</v>
      </c>
      <c r="I367" s="61">
        <v>28797.25</v>
      </c>
    </row>
    <row r="368" spans="2:9">
      <c r="B368" s="86">
        <v>45222</v>
      </c>
      <c r="C368" s="61">
        <v>28291.96</v>
      </c>
      <c r="H368" s="86">
        <v>42625</v>
      </c>
      <c r="I368" s="61">
        <v>28353.54</v>
      </c>
    </row>
    <row r="369" spans="2:9">
      <c r="B369" s="86">
        <v>45219</v>
      </c>
      <c r="C369" s="61">
        <v>28674.78</v>
      </c>
      <c r="H369" s="86">
        <v>42627</v>
      </c>
      <c r="I369" s="61">
        <v>28372.23</v>
      </c>
    </row>
    <row r="370" spans="2:9">
      <c r="B370" s="86">
        <v>45218</v>
      </c>
      <c r="C370" s="61">
        <v>28790.880000000001</v>
      </c>
      <c r="H370" s="86">
        <v>42628</v>
      </c>
      <c r="I370" s="61">
        <v>28412.89</v>
      </c>
    </row>
    <row r="371" spans="2:9">
      <c r="B371" s="86">
        <v>45217</v>
      </c>
      <c r="C371" s="61">
        <v>28855.87</v>
      </c>
      <c r="H371" s="86">
        <v>42629</v>
      </c>
      <c r="I371" s="61">
        <v>28599.03</v>
      </c>
    </row>
    <row r="372" spans="2:9">
      <c r="B372" s="86">
        <v>45216</v>
      </c>
      <c r="C372" s="61">
        <v>29061.8</v>
      </c>
      <c r="H372" s="86">
        <v>42632</v>
      </c>
      <c r="I372" s="61">
        <v>28634.5</v>
      </c>
    </row>
    <row r="373" spans="2:9">
      <c r="B373" s="86">
        <v>45215</v>
      </c>
      <c r="C373" s="61">
        <v>28944.87</v>
      </c>
      <c r="H373" s="86">
        <v>42633</v>
      </c>
      <c r="I373" s="61">
        <v>28523.200000000001</v>
      </c>
    </row>
    <row r="374" spans="2:9">
      <c r="B374" s="86">
        <v>45212</v>
      </c>
      <c r="C374" s="61">
        <v>28973.14</v>
      </c>
      <c r="H374" s="86">
        <v>42634</v>
      </c>
      <c r="I374" s="61">
        <v>28507.42</v>
      </c>
    </row>
    <row r="375" spans="2:9">
      <c r="B375" s="86">
        <v>45211</v>
      </c>
      <c r="C375" s="61">
        <v>29036.17</v>
      </c>
      <c r="H375" s="86">
        <v>42635</v>
      </c>
      <c r="I375" s="61">
        <v>28773.13</v>
      </c>
    </row>
    <row r="376" spans="2:9">
      <c r="B376" s="86">
        <v>45210</v>
      </c>
      <c r="C376" s="61">
        <v>29061.61</v>
      </c>
      <c r="H376" s="86">
        <v>42636</v>
      </c>
      <c r="I376" s="61">
        <v>28668.22</v>
      </c>
    </row>
    <row r="377" spans="2:9">
      <c r="B377" s="86">
        <v>45209</v>
      </c>
      <c r="C377" s="61">
        <v>28883.35</v>
      </c>
      <c r="H377" s="86">
        <v>42639</v>
      </c>
      <c r="I377" s="61">
        <v>28294.28</v>
      </c>
    </row>
    <row r="378" spans="2:9">
      <c r="B378" s="86">
        <v>45208</v>
      </c>
      <c r="C378" s="61">
        <v>28622.98</v>
      </c>
      <c r="H378" s="86">
        <v>42640</v>
      </c>
      <c r="I378" s="61">
        <v>28223.7</v>
      </c>
    </row>
    <row r="379" spans="2:9">
      <c r="B379" s="86">
        <v>45205</v>
      </c>
      <c r="C379" s="61">
        <v>28830.080000000002</v>
      </c>
      <c r="H379" s="86">
        <v>42641</v>
      </c>
      <c r="I379" s="61">
        <v>28292.81</v>
      </c>
    </row>
    <row r="380" spans="2:9">
      <c r="B380" s="86">
        <v>45204</v>
      </c>
      <c r="C380" s="61">
        <v>28671.97</v>
      </c>
      <c r="H380" s="86">
        <v>42642</v>
      </c>
      <c r="I380" s="61">
        <v>27827.53</v>
      </c>
    </row>
    <row r="381" spans="2:9">
      <c r="B381" s="86">
        <v>45203</v>
      </c>
      <c r="C381" s="61">
        <v>28511.13</v>
      </c>
      <c r="H381" s="86">
        <v>42643</v>
      </c>
      <c r="I381" s="61">
        <v>27865.96</v>
      </c>
    </row>
    <row r="382" spans="2:9">
      <c r="B382" s="86">
        <v>45202</v>
      </c>
      <c r="C382" s="61">
        <v>28647.040000000001</v>
      </c>
      <c r="H382" s="86">
        <v>42646</v>
      </c>
      <c r="I382" s="61">
        <v>28243.29</v>
      </c>
    </row>
    <row r="383" spans="2:9">
      <c r="B383" s="86">
        <v>45198</v>
      </c>
      <c r="C383" s="61">
        <v>28807.77</v>
      </c>
      <c r="H383" s="86">
        <v>42647</v>
      </c>
      <c r="I383" s="61">
        <v>28334.55</v>
      </c>
    </row>
    <row r="384" spans="2:9">
      <c r="B384" s="86">
        <v>45197</v>
      </c>
      <c r="C384" s="61">
        <v>28639.439999999999</v>
      </c>
      <c r="H384" s="86">
        <v>42648</v>
      </c>
      <c r="I384" s="61">
        <v>28220.98</v>
      </c>
    </row>
    <row r="385" spans="2:9">
      <c r="B385" s="86">
        <v>45196</v>
      </c>
      <c r="C385" s="61">
        <v>28922.43</v>
      </c>
      <c r="H385" s="86">
        <v>42649</v>
      </c>
      <c r="I385" s="61">
        <v>28106.21</v>
      </c>
    </row>
    <row r="386" spans="2:9">
      <c r="B386" s="86">
        <v>45195</v>
      </c>
      <c r="C386" s="61">
        <v>28846.47</v>
      </c>
      <c r="H386" s="86">
        <v>42650</v>
      </c>
      <c r="I386" s="61">
        <v>28061.14</v>
      </c>
    </row>
    <row r="387" spans="2:9">
      <c r="B387" s="86">
        <v>45194</v>
      </c>
      <c r="C387" s="61">
        <v>28860.9</v>
      </c>
      <c r="H387" s="86">
        <v>42653</v>
      </c>
      <c r="I387" s="61">
        <v>28082.34</v>
      </c>
    </row>
    <row r="388" spans="2:9">
      <c r="B388" s="86">
        <v>45191</v>
      </c>
      <c r="C388" s="61">
        <v>28860.46</v>
      </c>
      <c r="H388" s="86">
        <v>42656</v>
      </c>
      <c r="I388" s="61">
        <v>27643.11</v>
      </c>
    </row>
    <row r="389" spans="2:9">
      <c r="B389" s="86">
        <v>45190</v>
      </c>
      <c r="C389" s="61">
        <v>28960.36</v>
      </c>
      <c r="H389" s="86">
        <v>42657</v>
      </c>
      <c r="I389" s="61">
        <v>27673.599999999999</v>
      </c>
    </row>
    <row r="390" spans="2:9">
      <c r="B390" s="86">
        <v>45189</v>
      </c>
      <c r="C390" s="61">
        <v>29193.69</v>
      </c>
      <c r="H390" s="86">
        <v>42660</v>
      </c>
      <c r="I390" s="61">
        <v>27529.97</v>
      </c>
    </row>
    <row r="391" spans="2:9">
      <c r="B391" s="86">
        <v>45187</v>
      </c>
      <c r="C391" s="61">
        <v>29533.91</v>
      </c>
      <c r="H391" s="86">
        <v>42661</v>
      </c>
      <c r="I391" s="61">
        <v>28050.880000000001</v>
      </c>
    </row>
    <row r="392" spans="2:9">
      <c r="B392" s="86">
        <v>45184</v>
      </c>
      <c r="C392" s="61">
        <v>29620.53</v>
      </c>
      <c r="H392" s="86">
        <v>42662</v>
      </c>
      <c r="I392" s="61">
        <v>27984.37</v>
      </c>
    </row>
    <row r="393" spans="2:9">
      <c r="B393" s="86">
        <v>45183</v>
      </c>
      <c r="C393" s="61">
        <v>29489.61</v>
      </c>
      <c r="H393" s="86">
        <v>42663</v>
      </c>
      <c r="I393" s="61">
        <v>28129.84</v>
      </c>
    </row>
    <row r="394" spans="2:9">
      <c r="B394" s="86">
        <v>45182</v>
      </c>
      <c r="C394" s="61">
        <v>29441.040000000001</v>
      </c>
      <c r="H394" s="86">
        <v>42664</v>
      </c>
      <c r="I394" s="61">
        <v>28077.18</v>
      </c>
    </row>
    <row r="395" spans="2:9">
      <c r="B395" s="86">
        <v>45181</v>
      </c>
      <c r="C395" s="61">
        <v>29328.37</v>
      </c>
      <c r="H395" s="86">
        <v>42667</v>
      </c>
      <c r="I395" s="61">
        <v>28179.08</v>
      </c>
    </row>
    <row r="396" spans="2:9">
      <c r="B396" s="86">
        <v>45180</v>
      </c>
      <c r="C396" s="61">
        <v>29333</v>
      </c>
      <c r="H396" s="86">
        <v>42668</v>
      </c>
      <c r="I396" s="61">
        <v>28091.42</v>
      </c>
    </row>
    <row r="397" spans="2:9">
      <c r="B397" s="86">
        <v>45177</v>
      </c>
      <c r="C397" s="61">
        <v>29074.22</v>
      </c>
      <c r="H397" s="86">
        <v>42669</v>
      </c>
      <c r="I397" s="61">
        <v>27836.51</v>
      </c>
    </row>
    <row r="398" spans="2:9">
      <c r="B398" s="86">
        <v>45176</v>
      </c>
      <c r="C398" s="61">
        <v>28937.96</v>
      </c>
      <c r="H398" s="86">
        <v>42670</v>
      </c>
      <c r="I398" s="61">
        <v>27915.9</v>
      </c>
    </row>
    <row r="399" spans="2:9">
      <c r="B399" s="86">
        <v>45175</v>
      </c>
      <c r="C399" s="61">
        <v>28767.78</v>
      </c>
      <c r="H399" s="86">
        <v>42671</v>
      </c>
      <c r="I399" s="61">
        <v>27941.51</v>
      </c>
    </row>
    <row r="400" spans="2:9">
      <c r="B400" s="86">
        <v>45174</v>
      </c>
      <c r="C400" s="61">
        <v>28714.78</v>
      </c>
      <c r="H400" s="86">
        <v>42673</v>
      </c>
      <c r="I400" s="61">
        <v>27930.21</v>
      </c>
    </row>
    <row r="401" spans="2:9">
      <c r="B401" s="86">
        <v>45173</v>
      </c>
      <c r="C401" s="61">
        <v>28647.16</v>
      </c>
      <c r="H401" s="86">
        <v>42675</v>
      </c>
      <c r="I401" s="61">
        <v>27876.61</v>
      </c>
    </row>
    <row r="402" spans="2:9">
      <c r="B402" s="86">
        <v>45170</v>
      </c>
      <c r="C402" s="61">
        <v>28509.94</v>
      </c>
      <c r="H402" s="86">
        <v>42676</v>
      </c>
      <c r="I402" s="61">
        <v>27527.22</v>
      </c>
    </row>
    <row r="403" spans="2:9">
      <c r="B403" s="86">
        <v>45169</v>
      </c>
      <c r="C403" s="61">
        <v>28243.74</v>
      </c>
      <c r="H403" s="86">
        <v>42677</v>
      </c>
      <c r="I403" s="61">
        <v>27430.28</v>
      </c>
    </row>
    <row r="404" spans="2:9">
      <c r="B404" s="86">
        <v>45168</v>
      </c>
      <c r="C404" s="61">
        <v>28381.13</v>
      </c>
      <c r="H404" s="86">
        <v>42678</v>
      </c>
      <c r="I404" s="61">
        <v>27274.15</v>
      </c>
    </row>
    <row r="405" spans="2:9">
      <c r="B405" s="86">
        <v>45167</v>
      </c>
      <c r="C405" s="61">
        <v>28374.03</v>
      </c>
      <c r="H405" s="86">
        <v>42681</v>
      </c>
      <c r="I405" s="61">
        <v>27458.99</v>
      </c>
    </row>
    <row r="406" spans="2:9">
      <c r="B406" s="86">
        <v>45166</v>
      </c>
      <c r="C406" s="61">
        <v>28320.400000000001</v>
      </c>
      <c r="H406" s="86">
        <v>42682</v>
      </c>
      <c r="I406" s="61">
        <v>27591.14</v>
      </c>
    </row>
    <row r="407" spans="2:9">
      <c r="B407" s="86">
        <v>45163</v>
      </c>
      <c r="C407" s="61">
        <v>28261.32</v>
      </c>
      <c r="H407" s="86">
        <v>42683</v>
      </c>
      <c r="I407" s="61">
        <v>27252.53</v>
      </c>
    </row>
    <row r="408" spans="2:9">
      <c r="B408" s="86">
        <v>45162</v>
      </c>
      <c r="C408" s="61">
        <v>28438.68</v>
      </c>
      <c r="H408" s="86">
        <v>42684</v>
      </c>
      <c r="I408" s="61">
        <v>27517.68</v>
      </c>
    </row>
    <row r="409" spans="2:9">
      <c r="B409" s="86">
        <v>45161</v>
      </c>
      <c r="C409" s="61">
        <v>28522.76</v>
      </c>
      <c r="H409" s="86">
        <v>42685</v>
      </c>
      <c r="I409" s="61">
        <v>26818.82</v>
      </c>
    </row>
    <row r="410" spans="2:9">
      <c r="B410" s="86">
        <v>45160</v>
      </c>
      <c r="C410" s="61">
        <v>28453.01</v>
      </c>
      <c r="H410" s="86">
        <v>42689</v>
      </c>
      <c r="I410" s="61">
        <v>26304.63</v>
      </c>
    </row>
    <row r="411" spans="2:9">
      <c r="B411" s="86">
        <v>45159</v>
      </c>
      <c r="C411" s="61">
        <v>28448.83</v>
      </c>
      <c r="H411" s="86">
        <v>42690</v>
      </c>
      <c r="I411" s="61">
        <v>26298.69</v>
      </c>
    </row>
    <row r="412" spans="2:9">
      <c r="B412" s="86">
        <v>45156</v>
      </c>
      <c r="C412" s="61">
        <v>28316.31</v>
      </c>
      <c r="H412" s="86">
        <v>42691</v>
      </c>
      <c r="I412" s="61">
        <v>26227.62</v>
      </c>
    </row>
    <row r="413" spans="2:9">
      <c r="B413" s="86">
        <v>45155</v>
      </c>
      <c r="C413" s="61">
        <v>28393.16</v>
      </c>
      <c r="H413" s="86">
        <v>42692</v>
      </c>
      <c r="I413" s="61">
        <v>26150.240000000002</v>
      </c>
    </row>
    <row r="414" spans="2:9">
      <c r="B414" s="86">
        <v>45154</v>
      </c>
      <c r="C414" s="61">
        <v>28539.38</v>
      </c>
      <c r="H414" s="86">
        <v>42695</v>
      </c>
      <c r="I414" s="61">
        <v>25765.14</v>
      </c>
    </row>
    <row r="415" spans="2:9">
      <c r="B415" s="86">
        <v>45152</v>
      </c>
      <c r="C415" s="61">
        <v>28494.78</v>
      </c>
      <c r="H415" s="86">
        <v>42696</v>
      </c>
      <c r="I415" s="61">
        <v>25960.78</v>
      </c>
    </row>
    <row r="416" spans="2:9">
      <c r="B416" s="86">
        <v>45149</v>
      </c>
      <c r="C416" s="61">
        <v>28482.45</v>
      </c>
      <c r="H416" s="86">
        <v>42697</v>
      </c>
      <c r="I416" s="61">
        <v>26051.81</v>
      </c>
    </row>
    <row r="417" spans="2:9">
      <c r="B417" s="86">
        <v>45148</v>
      </c>
      <c r="C417" s="61">
        <v>28638.92</v>
      </c>
      <c r="H417" s="86">
        <v>42698</v>
      </c>
      <c r="I417" s="61">
        <v>25860.17</v>
      </c>
    </row>
    <row r="418" spans="2:9">
      <c r="B418" s="86">
        <v>45147</v>
      </c>
      <c r="C418" s="61">
        <v>28769.97</v>
      </c>
      <c r="H418" s="86">
        <v>42699</v>
      </c>
      <c r="I418" s="61">
        <v>26316.34</v>
      </c>
    </row>
    <row r="419" spans="2:9">
      <c r="B419" s="86">
        <v>45146</v>
      </c>
      <c r="C419" s="61">
        <v>28661.08</v>
      </c>
      <c r="H419" s="86">
        <v>42702</v>
      </c>
      <c r="I419" s="61">
        <v>26350.17</v>
      </c>
    </row>
    <row r="420" spans="2:9">
      <c r="B420" s="86">
        <v>45145</v>
      </c>
      <c r="C420" s="61">
        <v>28699.8</v>
      </c>
      <c r="H420" s="86">
        <v>42703</v>
      </c>
      <c r="I420" s="61">
        <v>26394.01</v>
      </c>
    </row>
    <row r="421" spans="2:9">
      <c r="B421" s="86">
        <v>45142</v>
      </c>
      <c r="C421" s="61">
        <v>28582.25</v>
      </c>
      <c r="H421" s="86">
        <v>42704</v>
      </c>
      <c r="I421" s="61">
        <v>26652.81</v>
      </c>
    </row>
    <row r="422" spans="2:9">
      <c r="B422" s="86">
        <v>45141</v>
      </c>
      <c r="C422" s="61">
        <v>28383.279999999999</v>
      </c>
      <c r="H422" s="86">
        <v>42705</v>
      </c>
      <c r="I422" s="61">
        <v>26559.919999999998</v>
      </c>
    </row>
    <row r="423" spans="2:9">
      <c r="B423" s="86">
        <v>45140</v>
      </c>
      <c r="C423" s="61">
        <v>28589.81</v>
      </c>
      <c r="H423" s="86">
        <v>42706</v>
      </c>
      <c r="I423" s="61">
        <v>26230.66</v>
      </c>
    </row>
    <row r="424" spans="2:9">
      <c r="B424" s="86">
        <v>45139</v>
      </c>
      <c r="C424" s="61">
        <v>28880.78</v>
      </c>
      <c r="H424" s="86">
        <v>42709</v>
      </c>
      <c r="I424" s="61">
        <v>26349.1</v>
      </c>
    </row>
    <row r="425" spans="2:9">
      <c r="B425" s="86">
        <v>45138</v>
      </c>
      <c r="C425" s="61">
        <v>28910.43</v>
      </c>
      <c r="H425" s="86">
        <v>42710</v>
      </c>
      <c r="I425" s="61">
        <v>26392.76</v>
      </c>
    </row>
    <row r="426" spans="2:9">
      <c r="B426" s="86">
        <v>45135</v>
      </c>
      <c r="C426" s="61">
        <v>28752.69</v>
      </c>
      <c r="H426" s="86">
        <v>42711</v>
      </c>
      <c r="I426" s="61">
        <v>26236.87</v>
      </c>
    </row>
    <row r="427" spans="2:9">
      <c r="B427" s="86">
        <v>45134</v>
      </c>
      <c r="C427" s="61">
        <v>28769.02</v>
      </c>
      <c r="H427" s="86">
        <v>42712</v>
      </c>
      <c r="I427" s="61">
        <v>26694.28</v>
      </c>
    </row>
    <row r="428" spans="2:9">
      <c r="B428" s="86">
        <v>45133</v>
      </c>
      <c r="C428" s="61">
        <v>28939.3</v>
      </c>
      <c r="H428" s="86">
        <v>42713</v>
      </c>
      <c r="I428" s="61">
        <v>26747.18</v>
      </c>
    </row>
    <row r="429" spans="2:9">
      <c r="B429" s="86">
        <v>45132</v>
      </c>
      <c r="C429" s="61">
        <v>28796.35</v>
      </c>
      <c r="H429" s="86">
        <v>42716</v>
      </c>
      <c r="I429" s="61">
        <v>26515.24</v>
      </c>
    </row>
    <row r="430" spans="2:9">
      <c r="B430" s="86">
        <v>45131</v>
      </c>
      <c r="C430" s="61">
        <v>28784.26</v>
      </c>
      <c r="H430" s="86">
        <v>42717</v>
      </c>
      <c r="I430" s="61">
        <v>26697.82</v>
      </c>
    </row>
    <row r="431" spans="2:9">
      <c r="B431" s="86">
        <v>45128</v>
      </c>
      <c r="C431" s="61">
        <v>28890.53</v>
      </c>
      <c r="H431" s="86">
        <v>42718</v>
      </c>
      <c r="I431" s="61">
        <v>26602.84</v>
      </c>
    </row>
    <row r="432" spans="2:9">
      <c r="B432" s="86">
        <v>45127</v>
      </c>
      <c r="C432" s="61">
        <v>29231.71</v>
      </c>
      <c r="H432" s="86">
        <v>42719</v>
      </c>
      <c r="I432" s="61">
        <v>26519.07</v>
      </c>
    </row>
    <row r="433" spans="2:9">
      <c r="B433" s="86">
        <v>45126</v>
      </c>
      <c r="C433" s="61">
        <v>29011.55</v>
      </c>
      <c r="H433" s="86">
        <v>42720</v>
      </c>
      <c r="I433" s="61">
        <v>26489.56</v>
      </c>
    </row>
    <row r="434" spans="2:9">
      <c r="B434" s="86">
        <v>45125</v>
      </c>
      <c r="C434" s="61">
        <v>28888.85</v>
      </c>
      <c r="H434" s="86">
        <v>42723</v>
      </c>
      <c r="I434" s="61">
        <v>26374.7</v>
      </c>
    </row>
    <row r="435" spans="2:9">
      <c r="B435" s="86">
        <v>45124</v>
      </c>
      <c r="C435" s="61">
        <v>28833.54</v>
      </c>
      <c r="H435" s="86">
        <v>42724</v>
      </c>
      <c r="I435" s="61">
        <v>26307.98</v>
      </c>
    </row>
    <row r="436" spans="2:9">
      <c r="B436" s="86">
        <v>45121</v>
      </c>
      <c r="C436" s="61">
        <v>28618.6</v>
      </c>
      <c r="H436" s="86">
        <v>42725</v>
      </c>
      <c r="I436" s="61">
        <v>26242.38</v>
      </c>
    </row>
    <row r="437" spans="2:9">
      <c r="B437" s="86">
        <v>45120</v>
      </c>
      <c r="C437" s="61">
        <v>28393.32</v>
      </c>
      <c r="H437" s="86">
        <v>42726</v>
      </c>
      <c r="I437" s="61">
        <v>25979.599999999999</v>
      </c>
    </row>
    <row r="438" spans="2:9">
      <c r="B438" s="86">
        <v>45119</v>
      </c>
      <c r="C438" s="61">
        <v>28348.880000000001</v>
      </c>
      <c r="H438" s="86">
        <v>42727</v>
      </c>
      <c r="I438" s="61">
        <v>26040.7</v>
      </c>
    </row>
    <row r="439" spans="2:9">
      <c r="B439" s="86">
        <v>45118</v>
      </c>
      <c r="C439" s="61">
        <v>28429.42</v>
      </c>
      <c r="H439" s="86">
        <v>42730</v>
      </c>
      <c r="I439" s="61">
        <v>25807.1</v>
      </c>
    </row>
    <row r="440" spans="2:9">
      <c r="B440" s="86">
        <v>45117</v>
      </c>
      <c r="C440" s="61">
        <v>28304.66</v>
      </c>
      <c r="H440" s="86">
        <v>42731</v>
      </c>
      <c r="I440" s="61">
        <v>26213.439999999999</v>
      </c>
    </row>
    <row r="441" spans="2:9">
      <c r="B441" s="86">
        <v>45114</v>
      </c>
      <c r="C441" s="61">
        <v>28269.43</v>
      </c>
      <c r="H441" s="86">
        <v>42732</v>
      </c>
      <c r="I441" s="61">
        <v>26210.68</v>
      </c>
    </row>
    <row r="442" spans="2:9">
      <c r="B442" s="86">
        <v>45113</v>
      </c>
      <c r="C442" s="61">
        <v>28510.39</v>
      </c>
      <c r="H442" s="86">
        <v>42733</v>
      </c>
      <c r="I442" s="61">
        <v>26366.15</v>
      </c>
    </row>
    <row r="443" spans="2:9">
      <c r="B443" s="86">
        <v>45112</v>
      </c>
      <c r="C443" s="61">
        <v>28365.96</v>
      </c>
      <c r="H443" s="86">
        <v>42734</v>
      </c>
      <c r="I443" s="61">
        <v>26626.46</v>
      </c>
    </row>
    <row r="444" spans="2:9">
      <c r="B444" s="86">
        <v>45111</v>
      </c>
      <c r="C444" s="61">
        <v>28352.01</v>
      </c>
      <c r="H444" s="86">
        <v>42737</v>
      </c>
      <c r="I444" s="61">
        <v>26595.45</v>
      </c>
    </row>
    <row r="445" spans="2:9">
      <c r="B445" s="86">
        <v>45110</v>
      </c>
      <c r="C445" s="61">
        <v>28254.9</v>
      </c>
      <c r="H445" s="86">
        <v>42738</v>
      </c>
      <c r="I445" s="61">
        <v>26643.24</v>
      </c>
    </row>
    <row r="446" spans="2:9">
      <c r="B446" s="86">
        <v>45107</v>
      </c>
      <c r="C446" s="61">
        <v>28059.65</v>
      </c>
      <c r="H446" s="86">
        <v>42739</v>
      </c>
      <c r="I446" s="61">
        <v>26633.13</v>
      </c>
    </row>
    <row r="447" spans="2:9">
      <c r="B447" s="86">
        <v>45105</v>
      </c>
      <c r="C447" s="61">
        <v>27739.64</v>
      </c>
      <c r="H447" s="86">
        <v>42740</v>
      </c>
      <c r="I447" s="61">
        <v>26878.240000000002</v>
      </c>
    </row>
    <row r="448" spans="2:9">
      <c r="B448" s="86">
        <v>45104</v>
      </c>
      <c r="C448" s="61">
        <v>27513.45</v>
      </c>
      <c r="H448" s="86">
        <v>42741</v>
      </c>
      <c r="I448" s="61">
        <v>26759.23</v>
      </c>
    </row>
    <row r="449" spans="2:9">
      <c r="B449" s="86">
        <v>45103</v>
      </c>
      <c r="C449" s="61">
        <v>27328.91</v>
      </c>
      <c r="H449" s="86">
        <v>42744</v>
      </c>
      <c r="I449" s="61">
        <v>26726.55</v>
      </c>
    </row>
    <row r="450" spans="2:9">
      <c r="B450" s="86">
        <v>45100</v>
      </c>
      <c r="C450" s="61">
        <v>27291.39</v>
      </c>
      <c r="H450" s="86">
        <v>42745</v>
      </c>
      <c r="I450" s="61">
        <v>26899.56</v>
      </c>
    </row>
    <row r="451" spans="2:9">
      <c r="B451" s="86">
        <v>45099</v>
      </c>
      <c r="C451" s="61">
        <v>27445.97</v>
      </c>
      <c r="H451" s="86">
        <v>42746</v>
      </c>
      <c r="I451" s="61">
        <v>27140.41</v>
      </c>
    </row>
    <row r="452" spans="2:9">
      <c r="B452" s="86">
        <v>45098</v>
      </c>
      <c r="C452" s="61">
        <v>27571.14</v>
      </c>
      <c r="H452" s="86">
        <v>42747</v>
      </c>
      <c r="I452" s="61">
        <v>27247.16</v>
      </c>
    </row>
    <row r="453" spans="2:9">
      <c r="B453" s="86">
        <v>45097</v>
      </c>
      <c r="C453" s="61">
        <v>27512.41</v>
      </c>
      <c r="H453" s="86">
        <v>42748</v>
      </c>
      <c r="I453" s="61">
        <v>27238.06</v>
      </c>
    </row>
    <row r="454" spans="2:9">
      <c r="B454" s="86">
        <v>45096</v>
      </c>
      <c r="C454" s="61">
        <v>27422.87</v>
      </c>
      <c r="H454" s="86">
        <v>42751</v>
      </c>
      <c r="I454" s="61">
        <v>27288.17</v>
      </c>
    </row>
    <row r="455" spans="2:9">
      <c r="B455" s="86">
        <v>45093</v>
      </c>
      <c r="C455" s="61">
        <v>27519.439999999999</v>
      </c>
      <c r="H455" s="86">
        <v>42752</v>
      </c>
      <c r="I455" s="61">
        <v>27235.66</v>
      </c>
    </row>
    <row r="456" spans="2:9">
      <c r="B456" s="86">
        <v>45092</v>
      </c>
      <c r="C456" s="61">
        <v>27317.25</v>
      </c>
      <c r="H456" s="86">
        <v>42753</v>
      </c>
      <c r="I456" s="61">
        <v>27257.64</v>
      </c>
    </row>
    <row r="457" spans="2:9">
      <c r="B457" s="86">
        <v>45091</v>
      </c>
      <c r="C457" s="61">
        <v>27408.12</v>
      </c>
      <c r="H457" s="86">
        <v>42754</v>
      </c>
      <c r="I457" s="61">
        <v>27308.6</v>
      </c>
    </row>
    <row r="458" spans="2:9">
      <c r="B458" s="86">
        <v>45090</v>
      </c>
      <c r="C458" s="61">
        <v>27350.09</v>
      </c>
      <c r="H458" s="86">
        <v>42755</v>
      </c>
      <c r="I458" s="61">
        <v>27034.5</v>
      </c>
    </row>
    <row r="459" spans="2:9">
      <c r="B459" s="86">
        <v>45089</v>
      </c>
      <c r="C459" s="61">
        <v>27182.55</v>
      </c>
      <c r="H459" s="86">
        <v>42758</v>
      </c>
      <c r="I459" s="61">
        <v>27117.34</v>
      </c>
    </row>
    <row r="460" spans="2:9">
      <c r="B460" s="86">
        <v>45086</v>
      </c>
      <c r="C460" s="61">
        <v>27126.86</v>
      </c>
      <c r="H460" s="86">
        <v>42759</v>
      </c>
      <c r="I460" s="61">
        <v>27375.58</v>
      </c>
    </row>
    <row r="461" spans="2:9">
      <c r="B461" s="86">
        <v>45085</v>
      </c>
      <c r="C461" s="61">
        <v>27227.59</v>
      </c>
      <c r="H461" s="86">
        <v>42760</v>
      </c>
      <c r="I461" s="61">
        <v>27708.14</v>
      </c>
    </row>
    <row r="462" spans="2:9">
      <c r="B462" s="86">
        <v>45084</v>
      </c>
      <c r="C462" s="61">
        <v>27361.85</v>
      </c>
      <c r="H462" s="86">
        <v>42762</v>
      </c>
      <c r="I462" s="61">
        <v>27882.46</v>
      </c>
    </row>
    <row r="463" spans="2:9">
      <c r="B463" s="86">
        <v>45083</v>
      </c>
      <c r="C463" s="61">
        <v>27175.7</v>
      </c>
      <c r="H463" s="86">
        <v>42765</v>
      </c>
      <c r="I463" s="61">
        <v>27849.56</v>
      </c>
    </row>
    <row r="464" spans="2:9">
      <c r="B464" s="86">
        <v>45082</v>
      </c>
      <c r="C464" s="61">
        <v>27168.13</v>
      </c>
      <c r="H464" s="86">
        <v>42766</v>
      </c>
      <c r="I464" s="61">
        <v>27655.96</v>
      </c>
    </row>
    <row r="465" spans="2:9">
      <c r="B465" s="86">
        <v>45079</v>
      </c>
      <c r="C465" s="61">
        <v>27080.87</v>
      </c>
      <c r="H465" s="86">
        <v>42767</v>
      </c>
      <c r="I465" s="61">
        <v>28141.64</v>
      </c>
    </row>
    <row r="466" spans="2:9">
      <c r="B466" s="86">
        <v>45078</v>
      </c>
      <c r="C466" s="61">
        <v>26989.35</v>
      </c>
      <c r="H466" s="86">
        <v>42768</v>
      </c>
      <c r="I466" s="61">
        <v>28226.61</v>
      </c>
    </row>
    <row r="467" spans="2:9">
      <c r="B467" s="86">
        <v>45077</v>
      </c>
      <c r="C467" s="61">
        <v>27057.439999999999</v>
      </c>
      <c r="H467" s="86">
        <v>42769</v>
      </c>
      <c r="I467" s="61">
        <v>28240.52</v>
      </c>
    </row>
    <row r="468" spans="2:9">
      <c r="B468" s="86">
        <v>45076</v>
      </c>
      <c r="C468" s="61">
        <v>27188.18</v>
      </c>
      <c r="H468" s="86">
        <v>42772</v>
      </c>
      <c r="I468" s="61">
        <v>28439.279999999999</v>
      </c>
    </row>
    <row r="469" spans="2:9">
      <c r="B469" s="86">
        <v>45075</v>
      </c>
      <c r="C469" s="61">
        <v>27136.82</v>
      </c>
      <c r="H469" s="86">
        <v>42773</v>
      </c>
      <c r="I469" s="61">
        <v>28335.16</v>
      </c>
    </row>
    <row r="470" spans="2:9">
      <c r="B470" s="86">
        <v>45072</v>
      </c>
      <c r="C470" s="61">
        <v>26991.87</v>
      </c>
      <c r="H470" s="86">
        <v>42774</v>
      </c>
      <c r="I470" s="61">
        <v>28289.919999999998</v>
      </c>
    </row>
    <row r="471" spans="2:9">
      <c r="B471" s="86">
        <v>45071</v>
      </c>
      <c r="C471" s="61">
        <v>26731.86</v>
      </c>
      <c r="H471" s="86">
        <v>42775</v>
      </c>
      <c r="I471" s="61">
        <v>28329.7</v>
      </c>
    </row>
    <row r="472" spans="2:9">
      <c r="B472" s="86">
        <v>45070</v>
      </c>
      <c r="C472" s="61">
        <v>26679.72</v>
      </c>
      <c r="H472" s="86">
        <v>42776</v>
      </c>
      <c r="I472" s="61">
        <v>28334.25</v>
      </c>
    </row>
    <row r="473" spans="2:9">
      <c r="B473" s="86">
        <v>45069</v>
      </c>
      <c r="C473" s="61">
        <v>26771.1</v>
      </c>
      <c r="H473" s="86">
        <v>42779</v>
      </c>
      <c r="I473" s="61">
        <v>28351.62</v>
      </c>
    </row>
    <row r="474" spans="2:9">
      <c r="B474" s="86">
        <v>45068</v>
      </c>
      <c r="C474" s="61">
        <v>26722.03</v>
      </c>
      <c r="H474" s="86">
        <v>42780</v>
      </c>
      <c r="I474" s="61">
        <v>28339.31</v>
      </c>
    </row>
    <row r="475" spans="2:9">
      <c r="B475" s="86">
        <v>45065</v>
      </c>
      <c r="C475" s="61">
        <v>26560.1</v>
      </c>
      <c r="H475" s="86">
        <v>42781</v>
      </c>
      <c r="I475" s="61">
        <v>28155.56</v>
      </c>
    </row>
    <row r="476" spans="2:9">
      <c r="B476" s="86">
        <v>45064</v>
      </c>
      <c r="C476" s="61">
        <v>26451.26</v>
      </c>
      <c r="H476" s="86">
        <v>42782</v>
      </c>
      <c r="I476" s="61">
        <v>28301.27</v>
      </c>
    </row>
    <row r="477" spans="2:9">
      <c r="B477" s="86">
        <v>45063</v>
      </c>
      <c r="C477" s="61">
        <v>26526.82</v>
      </c>
      <c r="H477" s="86">
        <v>42783</v>
      </c>
      <c r="I477" s="61">
        <v>28468.75</v>
      </c>
    </row>
    <row r="478" spans="2:9">
      <c r="B478" s="86">
        <v>45062</v>
      </c>
      <c r="C478" s="61">
        <v>26679.67</v>
      </c>
      <c r="H478" s="86">
        <v>42786</v>
      </c>
      <c r="I478" s="61">
        <v>28661.58</v>
      </c>
    </row>
    <row r="479" spans="2:9">
      <c r="B479" s="86">
        <v>45061</v>
      </c>
      <c r="C479" s="61">
        <v>26789.02</v>
      </c>
      <c r="H479" s="86">
        <v>42787</v>
      </c>
      <c r="I479" s="61">
        <v>28761.59</v>
      </c>
    </row>
    <row r="480" spans="2:9">
      <c r="B480" s="86">
        <v>45058</v>
      </c>
      <c r="C480" s="61">
        <v>26666.67</v>
      </c>
      <c r="H480" s="86">
        <v>42788</v>
      </c>
      <c r="I480" s="61">
        <v>28864.71</v>
      </c>
    </row>
    <row r="481" spans="2:9">
      <c r="B481" s="86">
        <v>45057</v>
      </c>
      <c r="C481" s="61">
        <v>26640.77</v>
      </c>
      <c r="H481" s="86">
        <v>42789</v>
      </c>
      <c r="I481" s="61">
        <v>28892.97</v>
      </c>
    </row>
    <row r="482" spans="2:9">
      <c r="B482" s="86">
        <v>45056</v>
      </c>
      <c r="C482" s="61">
        <v>26667.11</v>
      </c>
      <c r="H482" s="86">
        <v>42793</v>
      </c>
      <c r="I482" s="61">
        <v>28812.880000000001</v>
      </c>
    </row>
    <row r="483" spans="2:9">
      <c r="B483" s="86">
        <v>45055</v>
      </c>
      <c r="C483" s="61">
        <v>26595.52</v>
      </c>
      <c r="H483" s="86">
        <v>42794</v>
      </c>
      <c r="I483" s="61">
        <v>28743.32</v>
      </c>
    </row>
    <row r="484" spans="2:9">
      <c r="B484" s="86">
        <v>45054</v>
      </c>
      <c r="C484" s="61">
        <v>26593.29</v>
      </c>
      <c r="H484" s="86">
        <v>42795</v>
      </c>
      <c r="I484" s="61">
        <v>28984.49</v>
      </c>
    </row>
    <row r="485" spans="2:9">
      <c r="B485" s="86">
        <v>45051</v>
      </c>
      <c r="C485" s="61">
        <v>26308.78</v>
      </c>
      <c r="H485" s="86">
        <v>42796</v>
      </c>
      <c r="I485" s="61">
        <v>28839.79</v>
      </c>
    </row>
    <row r="486" spans="2:9">
      <c r="B486" s="86">
        <v>45050</v>
      </c>
      <c r="C486" s="61">
        <v>26580.77</v>
      </c>
      <c r="H486" s="86">
        <v>42797</v>
      </c>
      <c r="I486" s="61">
        <v>28832.45</v>
      </c>
    </row>
    <row r="487" spans="2:9">
      <c r="B487" s="86">
        <v>45049</v>
      </c>
      <c r="C487" s="61">
        <v>26339.14</v>
      </c>
      <c r="H487" s="86">
        <v>42800</v>
      </c>
      <c r="I487" s="61">
        <v>29048.19</v>
      </c>
    </row>
    <row r="488" spans="2:9">
      <c r="B488" s="86">
        <v>45048</v>
      </c>
      <c r="C488" s="61">
        <v>26423.3</v>
      </c>
      <c r="H488" s="86">
        <v>42801</v>
      </c>
      <c r="I488" s="61">
        <v>28999.56</v>
      </c>
    </row>
    <row r="489" spans="2:9">
      <c r="B489" s="86">
        <v>45044</v>
      </c>
      <c r="C489" s="61">
        <v>26302.92</v>
      </c>
      <c r="H489" s="86">
        <v>42802</v>
      </c>
      <c r="I489" s="61">
        <v>28901.94</v>
      </c>
    </row>
    <row r="490" spans="2:9">
      <c r="B490" s="86">
        <v>45043</v>
      </c>
      <c r="C490" s="61">
        <v>26078.38</v>
      </c>
      <c r="H490" s="86">
        <v>42803</v>
      </c>
      <c r="I490" s="61">
        <v>28929.13</v>
      </c>
    </row>
    <row r="491" spans="2:9">
      <c r="B491" s="86">
        <v>45042</v>
      </c>
      <c r="C491" s="61">
        <v>25930.7</v>
      </c>
      <c r="H491" s="86">
        <v>42804</v>
      </c>
      <c r="I491" s="61">
        <v>28946.23</v>
      </c>
    </row>
    <row r="492" spans="2:9">
      <c r="B492" s="86">
        <v>45041</v>
      </c>
      <c r="C492" s="61">
        <v>25866.09</v>
      </c>
      <c r="H492" s="86">
        <v>42808</v>
      </c>
      <c r="I492" s="61">
        <v>29442.63</v>
      </c>
    </row>
    <row r="493" spans="2:9">
      <c r="B493" s="86">
        <v>45040</v>
      </c>
      <c r="C493" s="61">
        <v>25828.46</v>
      </c>
      <c r="H493" s="86">
        <v>42809</v>
      </c>
      <c r="I493" s="61">
        <v>29398.11</v>
      </c>
    </row>
    <row r="494" spans="2:9">
      <c r="B494" s="86">
        <v>45037</v>
      </c>
      <c r="C494" s="61">
        <v>25654.78</v>
      </c>
      <c r="H494" s="86">
        <v>42810</v>
      </c>
      <c r="I494" s="61">
        <v>29585.85</v>
      </c>
    </row>
    <row r="495" spans="2:9">
      <c r="B495" s="86">
        <v>45036</v>
      </c>
      <c r="C495" s="61">
        <v>25654.16</v>
      </c>
      <c r="H495" s="86">
        <v>42811</v>
      </c>
      <c r="I495" s="61">
        <v>29648.99</v>
      </c>
    </row>
    <row r="496" spans="2:9">
      <c r="B496" s="86">
        <v>45035</v>
      </c>
      <c r="C496" s="61">
        <v>25645.82</v>
      </c>
      <c r="H496" s="86">
        <v>42814</v>
      </c>
      <c r="I496" s="61">
        <v>29518.74</v>
      </c>
    </row>
    <row r="497" spans="2:9">
      <c r="B497" s="86">
        <v>45034</v>
      </c>
      <c r="C497" s="61">
        <v>25706.09</v>
      </c>
      <c r="H497" s="86">
        <v>42815</v>
      </c>
      <c r="I497" s="61">
        <v>29485.45</v>
      </c>
    </row>
    <row r="498" spans="2:9">
      <c r="B498" s="86">
        <v>45033</v>
      </c>
      <c r="C498" s="61">
        <v>25774.07</v>
      </c>
      <c r="H498" s="86">
        <v>42816</v>
      </c>
      <c r="I498" s="61">
        <v>29167.68</v>
      </c>
    </row>
    <row r="499" spans="2:9">
      <c r="B499" s="86">
        <v>45029</v>
      </c>
      <c r="C499" s="61">
        <v>25950.39</v>
      </c>
      <c r="H499" s="86">
        <v>42817</v>
      </c>
      <c r="I499" s="61">
        <v>29332.16</v>
      </c>
    </row>
    <row r="500" spans="2:9">
      <c r="B500" s="86">
        <v>45028</v>
      </c>
      <c r="C500" s="61">
        <v>25924.89</v>
      </c>
      <c r="H500" s="86">
        <v>42818</v>
      </c>
      <c r="I500" s="61">
        <v>29421.4</v>
      </c>
    </row>
    <row r="501" spans="2:9">
      <c r="B501" s="86">
        <v>45027</v>
      </c>
      <c r="C501" s="61">
        <v>25793.77</v>
      </c>
      <c r="H501" s="86">
        <v>42821</v>
      </c>
      <c r="I501" s="61">
        <v>29237.15</v>
      </c>
    </row>
    <row r="502" spans="2:9">
      <c r="B502" s="86">
        <v>45026</v>
      </c>
      <c r="C502" s="61">
        <v>25650.73</v>
      </c>
      <c r="H502" s="86">
        <v>42822</v>
      </c>
      <c r="I502" s="61">
        <v>29409.52</v>
      </c>
    </row>
    <row r="503" spans="2:9">
      <c r="B503" s="86">
        <v>45022</v>
      </c>
      <c r="C503" s="61">
        <v>25614.55</v>
      </c>
      <c r="H503" s="86">
        <v>42823</v>
      </c>
      <c r="I503" s="61">
        <v>29531.43</v>
      </c>
    </row>
    <row r="504" spans="2:9">
      <c r="B504" s="86">
        <v>45021</v>
      </c>
      <c r="C504" s="61">
        <v>25553.279999999999</v>
      </c>
      <c r="H504" s="86">
        <v>42824</v>
      </c>
      <c r="I504" s="61">
        <v>29647.42</v>
      </c>
    </row>
    <row r="505" spans="2:9">
      <c r="B505" s="86">
        <v>45019</v>
      </c>
      <c r="C505" s="61">
        <v>25321.85</v>
      </c>
      <c r="H505" s="86">
        <v>42825</v>
      </c>
      <c r="I505" s="61">
        <v>29620.5</v>
      </c>
    </row>
    <row r="506" spans="2:9">
      <c r="B506" s="86">
        <v>45016</v>
      </c>
      <c r="C506" s="61">
        <v>25266.06</v>
      </c>
      <c r="H506" s="86">
        <v>42828</v>
      </c>
      <c r="I506" s="61">
        <v>29910.22</v>
      </c>
    </row>
    <row r="507" spans="2:9">
      <c r="B507" s="86">
        <v>45014</v>
      </c>
      <c r="C507" s="61">
        <v>24859.93</v>
      </c>
      <c r="H507" s="86">
        <v>42830</v>
      </c>
      <c r="I507" s="61">
        <v>29974.240000000002</v>
      </c>
    </row>
    <row r="508" spans="2:9">
      <c r="B508" s="86">
        <v>45013</v>
      </c>
      <c r="C508" s="61">
        <v>24672.17</v>
      </c>
      <c r="H508" s="86">
        <v>42831</v>
      </c>
      <c r="I508" s="61">
        <v>29927.34</v>
      </c>
    </row>
    <row r="509" spans="2:9">
      <c r="B509" s="86">
        <v>45012</v>
      </c>
      <c r="C509" s="61">
        <v>24721.71</v>
      </c>
      <c r="H509" s="86">
        <v>42832</v>
      </c>
      <c r="I509" s="61">
        <v>29706.61</v>
      </c>
    </row>
    <row r="510" spans="2:9">
      <c r="B510" s="86">
        <v>45009</v>
      </c>
      <c r="C510" s="61">
        <v>24662.53</v>
      </c>
      <c r="H510" s="86">
        <v>42835</v>
      </c>
      <c r="I510" s="61">
        <v>29575.74</v>
      </c>
    </row>
    <row r="511" spans="2:9">
      <c r="B511" s="86">
        <v>45008</v>
      </c>
      <c r="C511" s="61">
        <v>24854.39</v>
      </c>
      <c r="H511" s="86">
        <v>42836</v>
      </c>
      <c r="I511" s="61">
        <v>29788.35</v>
      </c>
    </row>
    <row r="512" spans="2:9">
      <c r="B512" s="86">
        <v>45007</v>
      </c>
      <c r="C512" s="61">
        <v>24963.55</v>
      </c>
      <c r="H512" s="86">
        <v>42837</v>
      </c>
      <c r="I512" s="61">
        <v>29643.48</v>
      </c>
    </row>
    <row r="513" spans="2:9">
      <c r="B513" s="86">
        <v>45006</v>
      </c>
      <c r="C513" s="61">
        <v>24898.97</v>
      </c>
      <c r="H513" s="86">
        <v>42838</v>
      </c>
      <c r="I513" s="61">
        <v>29461.45</v>
      </c>
    </row>
    <row r="514" spans="2:9">
      <c r="B514" s="86">
        <v>45005</v>
      </c>
      <c r="C514" s="61">
        <v>24725.599999999999</v>
      </c>
      <c r="H514" s="86">
        <v>42842</v>
      </c>
      <c r="I514" s="61">
        <v>29413.66</v>
      </c>
    </row>
    <row r="515" spans="2:9">
      <c r="B515" s="86">
        <v>45002</v>
      </c>
      <c r="C515" s="61">
        <v>24888.1</v>
      </c>
      <c r="H515" s="86">
        <v>42843</v>
      </c>
      <c r="I515" s="61">
        <v>29319.1</v>
      </c>
    </row>
    <row r="516" spans="2:9">
      <c r="B516" s="86">
        <v>45001</v>
      </c>
      <c r="C516" s="61">
        <v>24721.52</v>
      </c>
      <c r="H516" s="86">
        <v>42844</v>
      </c>
      <c r="I516" s="61">
        <v>29336.57</v>
      </c>
    </row>
    <row r="517" spans="2:9">
      <c r="B517" s="86">
        <v>45000</v>
      </c>
      <c r="C517" s="61">
        <v>24701.599999999999</v>
      </c>
      <c r="H517" s="86">
        <v>42845</v>
      </c>
      <c r="I517" s="61">
        <v>29422.39</v>
      </c>
    </row>
    <row r="518" spans="2:9">
      <c r="B518" s="86">
        <v>44999</v>
      </c>
      <c r="C518" s="61">
        <v>24805.11</v>
      </c>
      <c r="H518" s="86">
        <v>42846</v>
      </c>
      <c r="I518" s="61">
        <v>29365.3</v>
      </c>
    </row>
    <row r="519" spans="2:9">
      <c r="B519" s="86">
        <v>44998</v>
      </c>
      <c r="C519" s="61">
        <v>24966.68</v>
      </c>
      <c r="H519" s="86">
        <v>42849</v>
      </c>
      <c r="I519" s="61">
        <v>29655.84</v>
      </c>
    </row>
    <row r="520" spans="2:9">
      <c r="B520" s="86">
        <v>44995</v>
      </c>
      <c r="C520" s="61">
        <v>25343.09</v>
      </c>
      <c r="H520" s="86">
        <v>42850</v>
      </c>
      <c r="I520" s="61">
        <v>29943.24</v>
      </c>
    </row>
    <row r="521" spans="2:9">
      <c r="B521" s="86">
        <v>44994</v>
      </c>
      <c r="C521" s="61">
        <v>25600.240000000002</v>
      </c>
      <c r="H521" s="86">
        <v>42851</v>
      </c>
      <c r="I521" s="61">
        <v>30133.35</v>
      </c>
    </row>
    <row r="522" spans="2:9">
      <c r="B522" s="86">
        <v>44993</v>
      </c>
      <c r="C522" s="61">
        <v>25840.12</v>
      </c>
      <c r="H522" s="86">
        <v>42852</v>
      </c>
      <c r="I522" s="61">
        <v>30029.74</v>
      </c>
    </row>
    <row r="523" spans="2:9">
      <c r="B523" s="86">
        <v>44991</v>
      </c>
      <c r="C523" s="61">
        <v>25777.599999999999</v>
      </c>
      <c r="H523" s="86">
        <v>42853</v>
      </c>
      <c r="I523" s="61">
        <v>29918.400000000001</v>
      </c>
    </row>
    <row r="524" spans="2:9">
      <c r="B524" s="86">
        <v>44988</v>
      </c>
      <c r="C524" s="61">
        <v>25607.14</v>
      </c>
      <c r="H524" s="86">
        <v>42857</v>
      </c>
      <c r="I524" s="61">
        <v>29921.18</v>
      </c>
    </row>
    <row r="525" spans="2:9">
      <c r="B525" s="86">
        <v>44987</v>
      </c>
      <c r="C525" s="61">
        <v>25210.65</v>
      </c>
      <c r="H525" s="86">
        <v>42858</v>
      </c>
      <c r="I525" s="61">
        <v>29894.799999999999</v>
      </c>
    </row>
    <row r="526" spans="2:9">
      <c r="B526" s="86">
        <v>44986</v>
      </c>
      <c r="C526" s="61">
        <v>25398.400000000001</v>
      </c>
      <c r="H526" s="86">
        <v>42859</v>
      </c>
      <c r="I526" s="61">
        <v>30126.21</v>
      </c>
    </row>
    <row r="527" spans="2:9">
      <c r="B527" s="86">
        <v>44985</v>
      </c>
      <c r="C527" s="61">
        <v>25184.47</v>
      </c>
      <c r="H527" s="86">
        <v>42860</v>
      </c>
      <c r="I527" s="61">
        <v>29858.799999999999</v>
      </c>
    </row>
    <row r="528" spans="2:9">
      <c r="B528" s="86">
        <v>44984</v>
      </c>
      <c r="C528" s="61">
        <v>25313.7</v>
      </c>
      <c r="H528" s="86">
        <v>42863</v>
      </c>
      <c r="I528" s="61">
        <v>29926.15</v>
      </c>
    </row>
    <row r="529" spans="2:9">
      <c r="B529" s="86">
        <v>44981</v>
      </c>
      <c r="C529" s="61">
        <v>25420.07</v>
      </c>
      <c r="H529" s="86">
        <v>42864</v>
      </c>
      <c r="I529" s="61">
        <v>29933.25</v>
      </c>
    </row>
    <row r="530" spans="2:9">
      <c r="B530" s="86">
        <v>44980</v>
      </c>
      <c r="C530" s="61">
        <v>25485.97</v>
      </c>
      <c r="H530" s="86">
        <v>42865</v>
      </c>
      <c r="I530" s="61">
        <v>30248.17</v>
      </c>
    </row>
    <row r="531" spans="2:9">
      <c r="B531" s="86">
        <v>44979</v>
      </c>
      <c r="C531" s="61">
        <v>25548.67</v>
      </c>
      <c r="H531" s="86">
        <v>42866</v>
      </c>
      <c r="I531" s="61">
        <v>30250.98</v>
      </c>
    </row>
    <row r="532" spans="2:9">
      <c r="B532" s="86">
        <v>44978</v>
      </c>
      <c r="C532" s="61">
        <v>25945.08</v>
      </c>
      <c r="H532" s="86">
        <v>42867</v>
      </c>
      <c r="I532" s="61">
        <v>30188.15</v>
      </c>
    </row>
    <row r="533" spans="2:9">
      <c r="B533" s="86">
        <v>44977</v>
      </c>
      <c r="C533" s="61">
        <v>25971.19</v>
      </c>
      <c r="H533" s="86">
        <v>42870</v>
      </c>
      <c r="I533" s="61">
        <v>30322.12</v>
      </c>
    </row>
    <row r="534" spans="2:9">
      <c r="B534" s="86">
        <v>44974</v>
      </c>
      <c r="C534" s="61">
        <v>26116.12</v>
      </c>
      <c r="H534" s="86">
        <v>42871</v>
      </c>
      <c r="I534" s="61">
        <v>30582.6</v>
      </c>
    </row>
    <row r="535" spans="2:9">
      <c r="B535" s="86">
        <v>44973</v>
      </c>
      <c r="C535" s="61">
        <v>26249.52</v>
      </c>
      <c r="H535" s="86">
        <v>42872</v>
      </c>
      <c r="I535" s="61">
        <v>30658.77</v>
      </c>
    </row>
    <row r="536" spans="2:9">
      <c r="B536" s="86">
        <v>44972</v>
      </c>
      <c r="C536" s="61">
        <v>26220.43</v>
      </c>
      <c r="H536" s="86">
        <v>42873</v>
      </c>
      <c r="I536" s="61">
        <v>30434.79</v>
      </c>
    </row>
    <row r="537" spans="2:9">
      <c r="B537" s="86">
        <v>44971</v>
      </c>
      <c r="C537" s="61">
        <v>26077.93</v>
      </c>
      <c r="H537" s="86">
        <v>42874</v>
      </c>
      <c r="I537" s="61">
        <v>30464.92</v>
      </c>
    </row>
    <row r="538" spans="2:9">
      <c r="B538" s="86">
        <v>44970</v>
      </c>
      <c r="C538" s="61">
        <v>25846.7</v>
      </c>
      <c r="H538" s="86">
        <v>42877</v>
      </c>
      <c r="I538" s="61">
        <v>30570.97</v>
      </c>
    </row>
    <row r="539" spans="2:9">
      <c r="B539" s="86">
        <v>44967</v>
      </c>
      <c r="C539" s="61">
        <v>25971.23</v>
      </c>
      <c r="H539" s="86">
        <v>42878</v>
      </c>
      <c r="I539" s="61">
        <v>30365.25</v>
      </c>
    </row>
    <row r="540" spans="2:9">
      <c r="B540" s="86">
        <v>44966</v>
      </c>
      <c r="C540" s="61">
        <v>26024.94</v>
      </c>
      <c r="H540" s="86">
        <v>42879</v>
      </c>
      <c r="I540" s="61">
        <v>30301.64</v>
      </c>
    </row>
    <row r="541" spans="2:9">
      <c r="B541" s="86">
        <v>44965</v>
      </c>
      <c r="C541" s="61">
        <v>25993.34</v>
      </c>
      <c r="H541" s="86">
        <v>42880</v>
      </c>
      <c r="I541" s="61">
        <v>30750.03</v>
      </c>
    </row>
    <row r="542" spans="2:9">
      <c r="B542" s="86">
        <v>44964</v>
      </c>
      <c r="C542" s="61">
        <v>25772.19</v>
      </c>
      <c r="H542" s="86">
        <v>42881</v>
      </c>
      <c r="I542" s="61">
        <v>31028.21</v>
      </c>
    </row>
    <row r="543" spans="2:9">
      <c r="B543" s="86">
        <v>44963</v>
      </c>
      <c r="C543" s="61">
        <v>25834.87</v>
      </c>
      <c r="H543" s="86">
        <v>42884</v>
      </c>
      <c r="I543" s="61">
        <v>31109.279999999999</v>
      </c>
    </row>
    <row r="544" spans="2:9">
      <c r="B544" s="86">
        <v>44960</v>
      </c>
      <c r="C544" s="61">
        <v>25965</v>
      </c>
      <c r="H544" s="86">
        <v>42885</v>
      </c>
      <c r="I544" s="61">
        <v>31159.4</v>
      </c>
    </row>
    <row r="545" spans="2:9">
      <c r="B545" s="86">
        <v>44959</v>
      </c>
      <c r="C545" s="61">
        <v>25610.65</v>
      </c>
      <c r="H545" s="86">
        <v>42886</v>
      </c>
      <c r="I545" s="61">
        <v>31145.8</v>
      </c>
    </row>
    <row r="546" spans="2:9">
      <c r="B546" s="86">
        <v>44958</v>
      </c>
      <c r="C546" s="61">
        <v>25619.24</v>
      </c>
      <c r="H546" s="86">
        <v>42887</v>
      </c>
      <c r="I546" s="61">
        <v>31137.59</v>
      </c>
    </row>
    <row r="547" spans="2:9">
      <c r="B547" s="86">
        <v>44957</v>
      </c>
      <c r="C547" s="61">
        <v>25685.94</v>
      </c>
      <c r="H547" s="86">
        <v>42888</v>
      </c>
      <c r="I547" s="61">
        <v>31273.29</v>
      </c>
    </row>
    <row r="548" spans="2:9">
      <c r="B548" s="86">
        <v>44956</v>
      </c>
      <c r="C548" s="61">
        <v>25666.69</v>
      </c>
      <c r="H548" s="86">
        <v>42891</v>
      </c>
      <c r="I548" s="61">
        <v>31309.49</v>
      </c>
    </row>
    <row r="549" spans="2:9">
      <c r="B549" s="86">
        <v>44953</v>
      </c>
      <c r="C549" s="61">
        <v>25601.88</v>
      </c>
      <c r="H549" s="86">
        <v>42892</v>
      </c>
      <c r="I549" s="61">
        <v>31190.560000000001</v>
      </c>
    </row>
    <row r="550" spans="2:9">
      <c r="B550" s="86">
        <v>44951</v>
      </c>
      <c r="C550" s="61">
        <v>26020.13</v>
      </c>
      <c r="H550" s="86">
        <v>42893</v>
      </c>
      <c r="I550" s="61">
        <v>31271.279999999999</v>
      </c>
    </row>
    <row r="551" spans="2:9">
      <c r="B551" s="86">
        <v>44950</v>
      </c>
      <c r="C551" s="61">
        <v>26349.279999999999</v>
      </c>
      <c r="H551" s="86">
        <v>42894</v>
      </c>
      <c r="I551" s="61">
        <v>31213.360000000001</v>
      </c>
    </row>
    <row r="552" spans="2:9">
      <c r="B552" s="86">
        <v>44949</v>
      </c>
      <c r="C552" s="61">
        <v>26349.14</v>
      </c>
      <c r="H552" s="86">
        <v>42895</v>
      </c>
      <c r="I552" s="61">
        <v>31262.06</v>
      </c>
    </row>
    <row r="553" spans="2:9">
      <c r="B553" s="86">
        <v>44946</v>
      </c>
      <c r="C553" s="61">
        <v>26216.94</v>
      </c>
      <c r="H553" s="86">
        <v>42898</v>
      </c>
      <c r="I553" s="61">
        <v>31095.7</v>
      </c>
    </row>
    <row r="554" spans="2:9">
      <c r="B554" s="86">
        <v>44945</v>
      </c>
      <c r="C554" s="61">
        <v>26333.57</v>
      </c>
      <c r="H554" s="86">
        <v>42899</v>
      </c>
      <c r="I554" s="61">
        <v>31103.49</v>
      </c>
    </row>
    <row r="555" spans="2:9">
      <c r="B555" s="86">
        <v>44944</v>
      </c>
      <c r="C555" s="61">
        <v>26413.71</v>
      </c>
      <c r="H555" s="86">
        <v>42900</v>
      </c>
      <c r="I555" s="61">
        <v>31155.91</v>
      </c>
    </row>
    <row r="556" spans="2:9">
      <c r="B556" s="86">
        <v>44943</v>
      </c>
      <c r="C556" s="61">
        <v>26250.81</v>
      </c>
      <c r="H556" s="86">
        <v>42901</v>
      </c>
      <c r="I556" s="61">
        <v>31075.73</v>
      </c>
    </row>
    <row r="557" spans="2:9">
      <c r="B557" s="86">
        <v>44942</v>
      </c>
      <c r="C557" s="61">
        <v>26020.39</v>
      </c>
      <c r="H557" s="86">
        <v>42902</v>
      </c>
      <c r="I557" s="61">
        <v>31056.400000000001</v>
      </c>
    </row>
    <row r="558" spans="2:9">
      <c r="B558" s="86">
        <v>44939</v>
      </c>
      <c r="C558" s="61">
        <v>26110.2</v>
      </c>
      <c r="H558" s="86">
        <v>42905</v>
      </c>
      <c r="I558" s="61">
        <v>31311.57</v>
      </c>
    </row>
    <row r="559" spans="2:9">
      <c r="B559" s="86">
        <v>44938</v>
      </c>
      <c r="C559" s="61">
        <v>25967.07</v>
      </c>
      <c r="H559" s="86">
        <v>42906</v>
      </c>
      <c r="I559" s="61">
        <v>31297.53</v>
      </c>
    </row>
    <row r="560" spans="2:9">
      <c r="B560" s="86">
        <v>44937</v>
      </c>
      <c r="C560" s="61">
        <v>26021.599999999999</v>
      </c>
      <c r="H560" s="86">
        <v>42907</v>
      </c>
      <c r="I560" s="61">
        <v>31283.64</v>
      </c>
    </row>
    <row r="561" spans="2:9">
      <c r="B561" s="86">
        <v>44936</v>
      </c>
      <c r="C561" s="61">
        <v>26048.47</v>
      </c>
      <c r="H561" s="86">
        <v>42908</v>
      </c>
      <c r="I561" s="61">
        <v>31290.74</v>
      </c>
    </row>
    <row r="562" spans="2:9">
      <c r="B562" s="86">
        <v>44935</v>
      </c>
      <c r="C562" s="61">
        <v>26320.41</v>
      </c>
      <c r="H562" s="86">
        <v>42909</v>
      </c>
      <c r="I562" s="61">
        <v>31138.21</v>
      </c>
    </row>
    <row r="563" spans="2:9">
      <c r="B563" s="86">
        <v>44932</v>
      </c>
      <c r="C563" s="61">
        <v>25968.95</v>
      </c>
      <c r="H563" s="86">
        <v>42913</v>
      </c>
      <c r="I563" s="61">
        <v>30958.25</v>
      </c>
    </row>
    <row r="564" spans="2:9">
      <c r="B564" s="86">
        <v>44931</v>
      </c>
      <c r="C564" s="61">
        <v>26161.85</v>
      </c>
      <c r="H564" s="86">
        <v>42914</v>
      </c>
      <c r="I564" s="61">
        <v>30834.32</v>
      </c>
    </row>
    <row r="565" spans="2:9">
      <c r="B565" s="86">
        <v>44930</v>
      </c>
      <c r="C565" s="61">
        <v>26235.73</v>
      </c>
      <c r="H565" s="86">
        <v>42915</v>
      </c>
      <c r="I565" s="61">
        <v>30857.52</v>
      </c>
    </row>
    <row r="566" spans="2:9">
      <c r="B566" s="86">
        <v>44929</v>
      </c>
      <c r="C566" s="61">
        <v>26511.45</v>
      </c>
      <c r="H566" s="86">
        <v>42916</v>
      </c>
      <c r="I566" s="61">
        <v>30921.61</v>
      </c>
    </row>
    <row r="567" spans="2:9">
      <c r="B567" s="86">
        <v>44928</v>
      </c>
      <c r="C567" s="61">
        <v>26460.41</v>
      </c>
      <c r="H567" s="86">
        <v>42919</v>
      </c>
      <c r="I567" s="61">
        <v>31221.62</v>
      </c>
    </row>
    <row r="568" spans="2:9">
      <c r="B568" s="86">
        <v>44925</v>
      </c>
      <c r="C568" s="61">
        <v>26326.37</v>
      </c>
      <c r="H568" s="86">
        <v>42920</v>
      </c>
      <c r="I568" s="61">
        <v>31209.79</v>
      </c>
    </row>
    <row r="569" spans="2:9">
      <c r="B569" s="86">
        <v>44924</v>
      </c>
      <c r="C569" s="61">
        <v>26451.02</v>
      </c>
      <c r="H569" s="86">
        <v>42921</v>
      </c>
      <c r="I569" s="61">
        <v>31245.56</v>
      </c>
    </row>
    <row r="570" spans="2:9">
      <c r="B570" s="86">
        <v>44923</v>
      </c>
      <c r="C570" s="61">
        <v>26351.4</v>
      </c>
      <c r="H570" s="86">
        <v>42922</v>
      </c>
      <c r="I570" s="61">
        <v>31369.34</v>
      </c>
    </row>
    <row r="571" spans="2:9">
      <c r="B571" s="86">
        <v>44922</v>
      </c>
      <c r="C571" s="61">
        <v>26365.65</v>
      </c>
      <c r="H571" s="86">
        <v>42923</v>
      </c>
      <c r="I571" s="61">
        <v>31360.63</v>
      </c>
    </row>
    <row r="572" spans="2:9">
      <c r="B572" s="86">
        <v>44921</v>
      </c>
      <c r="C572" s="61">
        <v>26194.52</v>
      </c>
      <c r="H572" s="86">
        <v>42926</v>
      </c>
      <c r="I572" s="61">
        <v>31715.64</v>
      </c>
    </row>
    <row r="573" spans="2:9">
      <c r="B573" s="86">
        <v>44918</v>
      </c>
      <c r="C573" s="61">
        <v>25892.35</v>
      </c>
      <c r="H573" s="86">
        <v>42927</v>
      </c>
      <c r="I573" s="61">
        <v>31747.09</v>
      </c>
    </row>
    <row r="574" spans="2:9">
      <c r="B574" s="86">
        <v>44917</v>
      </c>
      <c r="C574" s="61">
        <v>26358.44</v>
      </c>
      <c r="H574" s="86">
        <v>42928</v>
      </c>
      <c r="I574" s="61">
        <v>31804.82</v>
      </c>
    </row>
    <row r="575" spans="2:9">
      <c r="B575" s="86">
        <v>44916</v>
      </c>
      <c r="C575" s="61">
        <v>26462.77</v>
      </c>
      <c r="H575" s="86">
        <v>42929</v>
      </c>
      <c r="I575" s="61">
        <v>32037.38</v>
      </c>
    </row>
    <row r="576" spans="2:9">
      <c r="B576" s="86">
        <v>44915</v>
      </c>
      <c r="C576" s="61">
        <v>26733.51</v>
      </c>
      <c r="H576" s="86">
        <v>42930</v>
      </c>
      <c r="I576" s="61">
        <v>32020.75</v>
      </c>
    </row>
    <row r="577" spans="2:9">
      <c r="B577" s="86">
        <v>44914</v>
      </c>
      <c r="C577" s="61">
        <v>26784.68</v>
      </c>
      <c r="H577" s="86">
        <v>42933</v>
      </c>
      <c r="I577" s="61">
        <v>32074.78</v>
      </c>
    </row>
    <row r="578" spans="2:9">
      <c r="B578" s="86">
        <v>44911</v>
      </c>
      <c r="C578" s="61">
        <v>26564.46</v>
      </c>
      <c r="H578" s="86">
        <v>42934</v>
      </c>
      <c r="I578" s="61">
        <v>31710.99</v>
      </c>
    </row>
    <row r="579" spans="2:9">
      <c r="B579" s="86">
        <v>44910</v>
      </c>
      <c r="C579" s="61">
        <v>26776.560000000001</v>
      </c>
      <c r="H579" s="86">
        <v>42935</v>
      </c>
      <c r="I579" s="61">
        <v>31955.35</v>
      </c>
    </row>
    <row r="580" spans="2:9">
      <c r="B580" s="86">
        <v>44909</v>
      </c>
      <c r="C580" s="61">
        <v>27133.4</v>
      </c>
      <c r="H580" s="86">
        <v>42936</v>
      </c>
      <c r="I580" s="61">
        <v>31904.400000000001</v>
      </c>
    </row>
    <row r="581" spans="2:9">
      <c r="B581" s="86">
        <v>44908</v>
      </c>
      <c r="C581" s="61">
        <v>27057.35</v>
      </c>
      <c r="H581" s="86">
        <v>42937</v>
      </c>
      <c r="I581" s="61">
        <v>32028.89</v>
      </c>
    </row>
    <row r="582" spans="2:9">
      <c r="B582" s="86">
        <v>44907</v>
      </c>
      <c r="C582" s="61">
        <v>26896.21</v>
      </c>
      <c r="H582" s="86">
        <v>42940</v>
      </c>
      <c r="I582" s="61">
        <v>32245.87</v>
      </c>
    </row>
    <row r="583" spans="2:9">
      <c r="B583" s="86">
        <v>44904</v>
      </c>
      <c r="C583" s="61">
        <v>26895.35</v>
      </c>
      <c r="H583" s="86">
        <v>42941</v>
      </c>
      <c r="I583" s="61">
        <v>32228.27</v>
      </c>
    </row>
    <row r="584" spans="2:9">
      <c r="B584" s="86">
        <v>44903</v>
      </c>
      <c r="C584" s="61">
        <v>27059.31</v>
      </c>
      <c r="H584" s="86">
        <v>42942</v>
      </c>
      <c r="I584" s="61">
        <v>32382.46</v>
      </c>
    </row>
    <row r="585" spans="2:9">
      <c r="B585" s="86">
        <v>44902</v>
      </c>
      <c r="C585" s="61">
        <v>26988.31</v>
      </c>
      <c r="H585" s="86">
        <v>42943</v>
      </c>
      <c r="I585" s="61">
        <v>32383.3</v>
      </c>
    </row>
    <row r="586" spans="2:9">
      <c r="B586" s="86">
        <v>44901</v>
      </c>
      <c r="C586" s="61">
        <v>27107.87</v>
      </c>
      <c r="H586" s="86">
        <v>42944</v>
      </c>
      <c r="I586" s="61">
        <v>32309.88</v>
      </c>
    </row>
    <row r="587" spans="2:9">
      <c r="B587" s="86">
        <v>44900</v>
      </c>
      <c r="C587" s="61">
        <v>27192.639999999999</v>
      </c>
      <c r="H587" s="86">
        <v>42947</v>
      </c>
      <c r="I587" s="61">
        <v>32514.94</v>
      </c>
    </row>
    <row r="588" spans="2:9">
      <c r="B588" s="86">
        <v>44897</v>
      </c>
      <c r="C588" s="61">
        <v>27185.439999999999</v>
      </c>
      <c r="H588" s="86">
        <v>42948</v>
      </c>
      <c r="I588" s="61">
        <v>32575.17</v>
      </c>
    </row>
    <row r="589" spans="2:9">
      <c r="B589" s="86">
        <v>44896</v>
      </c>
      <c r="C589" s="61">
        <v>27354.74</v>
      </c>
      <c r="H589" s="86">
        <v>42949</v>
      </c>
      <c r="I589" s="61">
        <v>32476.74</v>
      </c>
    </row>
    <row r="590" spans="2:9">
      <c r="B590" s="86">
        <v>44895</v>
      </c>
      <c r="C590" s="61">
        <v>27276.01</v>
      </c>
      <c r="H590" s="86">
        <v>42950</v>
      </c>
      <c r="I590" s="61">
        <v>32237.88</v>
      </c>
    </row>
    <row r="591" spans="2:9">
      <c r="B591" s="86">
        <v>44894</v>
      </c>
      <c r="C591" s="61">
        <v>27071.98</v>
      </c>
      <c r="H591" s="86">
        <v>42951</v>
      </c>
      <c r="I591" s="61">
        <v>32325.41</v>
      </c>
    </row>
    <row r="592" spans="2:9">
      <c r="B592" s="86">
        <v>44893</v>
      </c>
      <c r="C592" s="61">
        <v>26991.599999999999</v>
      </c>
      <c r="H592" s="86">
        <v>42954</v>
      </c>
      <c r="I592" s="61">
        <v>32273.67</v>
      </c>
    </row>
    <row r="593" spans="2:9">
      <c r="B593" s="86">
        <v>44890</v>
      </c>
      <c r="C593" s="61">
        <v>26918.89</v>
      </c>
      <c r="H593" s="86">
        <v>42955</v>
      </c>
      <c r="I593" s="61">
        <v>32014.19</v>
      </c>
    </row>
    <row r="594" spans="2:9">
      <c r="B594" s="86">
        <v>44889</v>
      </c>
      <c r="C594" s="61">
        <v>26877.24</v>
      </c>
      <c r="H594" s="86">
        <v>42956</v>
      </c>
      <c r="I594" s="61">
        <v>31797.84</v>
      </c>
    </row>
    <row r="595" spans="2:9">
      <c r="B595" s="86">
        <v>44888</v>
      </c>
      <c r="C595" s="61">
        <v>26561.89</v>
      </c>
      <c r="H595" s="86">
        <v>42957</v>
      </c>
      <c r="I595" s="61">
        <v>31531.33</v>
      </c>
    </row>
    <row r="596" spans="2:9">
      <c r="B596" s="86">
        <v>44887</v>
      </c>
      <c r="C596" s="61">
        <v>26528.400000000001</v>
      </c>
      <c r="H596" s="86">
        <v>42958</v>
      </c>
      <c r="I596" s="61">
        <v>31213.59</v>
      </c>
    </row>
    <row r="597" spans="2:9">
      <c r="B597" s="86">
        <v>44886</v>
      </c>
      <c r="C597" s="61">
        <v>26405.9</v>
      </c>
      <c r="H597" s="86">
        <v>42961</v>
      </c>
      <c r="I597" s="61">
        <v>31449.03</v>
      </c>
    </row>
    <row r="598" spans="2:9">
      <c r="B598" s="86">
        <v>44883</v>
      </c>
      <c r="C598" s="61">
        <v>26620.61</v>
      </c>
      <c r="H598" s="86">
        <v>42963</v>
      </c>
      <c r="I598" s="61">
        <v>31770.89</v>
      </c>
    </row>
    <row r="599" spans="2:9">
      <c r="B599" s="86">
        <v>44882</v>
      </c>
      <c r="C599" s="61">
        <v>26673.32</v>
      </c>
      <c r="H599" s="86">
        <v>42964</v>
      </c>
      <c r="I599" s="61">
        <v>31795.46</v>
      </c>
    </row>
    <row r="600" spans="2:9">
      <c r="B600" s="86">
        <v>44881</v>
      </c>
      <c r="C600" s="61">
        <v>26768.95</v>
      </c>
      <c r="H600" s="86">
        <v>42965</v>
      </c>
      <c r="I600" s="61">
        <v>31524.68</v>
      </c>
    </row>
    <row r="601" spans="2:9">
      <c r="B601" s="86">
        <v>44880</v>
      </c>
      <c r="C601" s="61">
        <v>26759.85</v>
      </c>
      <c r="H601" s="86">
        <v>42968</v>
      </c>
      <c r="I601" s="61">
        <v>31258.85</v>
      </c>
    </row>
    <row r="602" spans="2:9">
      <c r="B602" s="86">
        <v>44879</v>
      </c>
      <c r="C602" s="61">
        <v>26651.93</v>
      </c>
      <c r="H602" s="86">
        <v>42969</v>
      </c>
      <c r="I602" s="61">
        <v>31291.85</v>
      </c>
    </row>
    <row r="603" spans="2:9">
      <c r="B603" s="86">
        <v>44876</v>
      </c>
      <c r="C603" s="61">
        <v>26681.759999999998</v>
      </c>
      <c r="H603" s="86">
        <v>42970</v>
      </c>
      <c r="I603" s="61">
        <v>31568.01</v>
      </c>
    </row>
    <row r="604" spans="2:9">
      <c r="B604" s="86">
        <v>44875</v>
      </c>
      <c r="C604" s="61">
        <v>26214.31</v>
      </c>
      <c r="H604" s="86">
        <v>42971</v>
      </c>
      <c r="I604" s="61">
        <v>31596.06</v>
      </c>
    </row>
    <row r="605" spans="2:9">
      <c r="B605" s="86">
        <v>44874</v>
      </c>
      <c r="C605" s="61">
        <v>26401.58</v>
      </c>
      <c r="H605" s="86">
        <v>42975</v>
      </c>
      <c r="I605" s="61">
        <v>31750.82</v>
      </c>
    </row>
    <row r="606" spans="2:9">
      <c r="B606" s="86">
        <v>44872</v>
      </c>
      <c r="C606" s="61">
        <v>26464.44</v>
      </c>
      <c r="H606" s="86">
        <v>42976</v>
      </c>
      <c r="I606" s="61">
        <v>31388.39</v>
      </c>
    </row>
    <row r="607" spans="2:9">
      <c r="B607" s="86">
        <v>44869</v>
      </c>
      <c r="C607" s="61">
        <v>26339.9</v>
      </c>
      <c r="H607" s="86">
        <v>42977</v>
      </c>
      <c r="I607" s="61">
        <v>31646.46</v>
      </c>
    </row>
    <row r="608" spans="2:9">
      <c r="B608" s="86">
        <v>44868</v>
      </c>
      <c r="C608" s="61">
        <v>26246.23</v>
      </c>
      <c r="H608" s="86">
        <v>42978</v>
      </c>
      <c r="I608" s="61">
        <v>31730.49</v>
      </c>
    </row>
    <row r="609" spans="2:9">
      <c r="B609" s="86">
        <v>44867</v>
      </c>
      <c r="C609" s="61">
        <v>26290.01</v>
      </c>
      <c r="H609" s="86">
        <v>42979</v>
      </c>
      <c r="I609" s="61">
        <v>31892.23</v>
      </c>
    </row>
    <row r="610" spans="2:9">
      <c r="B610" s="86">
        <v>44866</v>
      </c>
      <c r="C610" s="61">
        <v>26380.97</v>
      </c>
      <c r="H610" s="86">
        <v>42982</v>
      </c>
      <c r="I610" s="61">
        <v>31702.25</v>
      </c>
    </row>
    <row r="611" spans="2:9">
      <c r="B611" s="86">
        <v>44865</v>
      </c>
      <c r="C611" s="61">
        <v>26182.36</v>
      </c>
      <c r="H611" s="86">
        <v>42983</v>
      </c>
      <c r="I611" s="61">
        <v>31809.55</v>
      </c>
    </row>
    <row r="612" spans="2:9">
      <c r="B612" s="86">
        <v>44862</v>
      </c>
      <c r="C612" s="61">
        <v>25852.720000000001</v>
      </c>
      <c r="H612" s="86">
        <v>42984</v>
      </c>
      <c r="I612" s="61">
        <v>31661.97</v>
      </c>
    </row>
    <row r="613" spans="2:9">
      <c r="B613" s="86">
        <v>44861</v>
      </c>
      <c r="C613" s="61">
        <v>25780.23</v>
      </c>
      <c r="H613" s="86">
        <v>42985</v>
      </c>
      <c r="I613" s="61">
        <v>31662.74</v>
      </c>
    </row>
    <row r="614" spans="2:9">
      <c r="B614" s="86">
        <v>44859</v>
      </c>
      <c r="C614" s="61">
        <v>25643.34</v>
      </c>
      <c r="H614" s="86">
        <v>42986</v>
      </c>
      <c r="I614" s="61">
        <v>31687.52</v>
      </c>
    </row>
    <row r="615" spans="2:9">
      <c r="B615" s="86">
        <v>44858</v>
      </c>
      <c r="C615" s="61">
        <v>25751.45</v>
      </c>
      <c r="H615" s="86">
        <v>42989</v>
      </c>
      <c r="I615" s="61">
        <v>31882.16</v>
      </c>
    </row>
    <row r="616" spans="2:9">
      <c r="B616" s="86">
        <v>44855</v>
      </c>
      <c r="C616" s="61">
        <v>25527.09</v>
      </c>
      <c r="H616" s="86">
        <v>42990</v>
      </c>
      <c r="I616" s="61">
        <v>32158.66</v>
      </c>
    </row>
    <row r="617" spans="2:9">
      <c r="B617" s="86">
        <v>44854</v>
      </c>
      <c r="C617" s="61">
        <v>25509.14</v>
      </c>
      <c r="H617" s="86">
        <v>42991</v>
      </c>
      <c r="I617" s="61">
        <v>32186.41</v>
      </c>
    </row>
    <row r="618" spans="2:9">
      <c r="B618" s="86">
        <v>44853</v>
      </c>
      <c r="C618" s="61">
        <v>25434.1</v>
      </c>
      <c r="H618" s="86">
        <v>42992</v>
      </c>
      <c r="I618" s="61">
        <v>32241.93</v>
      </c>
    </row>
    <row r="619" spans="2:9">
      <c r="B619" s="86">
        <v>44852</v>
      </c>
      <c r="C619" s="61">
        <v>25393.89</v>
      </c>
      <c r="H619" s="86">
        <v>42993</v>
      </c>
      <c r="I619" s="61">
        <v>32272.61</v>
      </c>
    </row>
    <row r="620" spans="2:9">
      <c r="B620" s="86">
        <v>44851</v>
      </c>
      <c r="C620" s="61">
        <v>25139.55</v>
      </c>
      <c r="H620" s="86">
        <v>42996</v>
      </c>
      <c r="I620" s="61">
        <v>32423.759999999998</v>
      </c>
    </row>
    <row r="621" spans="2:9">
      <c r="B621" s="86">
        <v>44848</v>
      </c>
      <c r="C621" s="61">
        <v>24953.75</v>
      </c>
      <c r="H621" s="86">
        <v>42997</v>
      </c>
      <c r="I621" s="61">
        <v>32402.37</v>
      </c>
    </row>
    <row r="622" spans="2:9">
      <c r="B622" s="86">
        <v>44847</v>
      </c>
      <c r="C622" s="61">
        <v>24704.95</v>
      </c>
      <c r="H622" s="86">
        <v>42998</v>
      </c>
      <c r="I622" s="61">
        <v>32400.51</v>
      </c>
    </row>
    <row r="623" spans="2:9">
      <c r="B623" s="86">
        <v>44846</v>
      </c>
      <c r="C623" s="61">
        <v>24863.58</v>
      </c>
      <c r="H623" s="86">
        <v>42999</v>
      </c>
      <c r="I623" s="61">
        <v>32370.04</v>
      </c>
    </row>
    <row r="624" spans="2:9">
      <c r="B624" s="86">
        <v>44845</v>
      </c>
      <c r="C624" s="61">
        <v>24660.2</v>
      </c>
      <c r="H624" s="86">
        <v>43000</v>
      </c>
      <c r="I624" s="61">
        <v>31922.44</v>
      </c>
    </row>
    <row r="625" spans="2:9">
      <c r="B625" s="86">
        <v>44844</v>
      </c>
      <c r="C625" s="61">
        <v>25034.02</v>
      </c>
      <c r="H625" s="86">
        <v>43003</v>
      </c>
      <c r="I625" s="61">
        <v>31626.63</v>
      </c>
    </row>
    <row r="626" spans="2:9">
      <c r="B626" s="86">
        <v>44841</v>
      </c>
      <c r="C626" s="61">
        <v>25140.99</v>
      </c>
      <c r="H626" s="86">
        <v>43004</v>
      </c>
      <c r="I626" s="61">
        <v>31599.759999999998</v>
      </c>
    </row>
    <row r="627" spans="2:9">
      <c r="B627" s="86">
        <v>44840</v>
      </c>
      <c r="C627" s="61">
        <v>25165.85</v>
      </c>
      <c r="H627" s="86">
        <v>43005</v>
      </c>
      <c r="I627" s="61">
        <v>31159.81</v>
      </c>
    </row>
    <row r="628" spans="2:9">
      <c r="B628" s="86">
        <v>44838</v>
      </c>
      <c r="C628" s="61">
        <v>25082.39</v>
      </c>
      <c r="H628" s="86">
        <v>43006</v>
      </c>
      <c r="I628" s="61">
        <v>31282.48</v>
      </c>
    </row>
    <row r="629" spans="2:9">
      <c r="B629" s="86">
        <v>44837</v>
      </c>
      <c r="C629" s="61">
        <v>24520.52</v>
      </c>
      <c r="H629" s="86">
        <v>43007</v>
      </c>
      <c r="I629" s="61">
        <v>31283.72</v>
      </c>
    </row>
    <row r="630" spans="2:9">
      <c r="B630" s="86">
        <v>44834</v>
      </c>
      <c r="C630" s="61">
        <v>24821.08</v>
      </c>
      <c r="H630" s="86">
        <v>43011</v>
      </c>
      <c r="I630" s="61">
        <v>31497.38</v>
      </c>
    </row>
    <row r="631" spans="2:9">
      <c r="B631" s="86">
        <v>44833</v>
      </c>
      <c r="C631" s="61">
        <v>24419.98</v>
      </c>
      <c r="H631" s="86">
        <v>43012</v>
      </c>
      <c r="I631" s="61">
        <v>31671.71</v>
      </c>
    </row>
    <row r="632" spans="2:9">
      <c r="B632" s="86">
        <v>44832</v>
      </c>
      <c r="C632" s="61">
        <v>24478.82</v>
      </c>
      <c r="H632" s="86">
        <v>43013</v>
      </c>
      <c r="I632" s="61">
        <v>31592.03</v>
      </c>
    </row>
    <row r="633" spans="2:9">
      <c r="B633" s="86">
        <v>44831</v>
      </c>
      <c r="C633" s="61">
        <v>24694.83</v>
      </c>
      <c r="H633" s="86">
        <v>43014</v>
      </c>
      <c r="I633" s="61">
        <v>31814.22</v>
      </c>
    </row>
    <row r="634" spans="2:9">
      <c r="B634" s="86">
        <v>44830</v>
      </c>
      <c r="C634" s="61">
        <v>24707.77</v>
      </c>
      <c r="H634" s="86">
        <v>43017</v>
      </c>
      <c r="I634" s="61">
        <v>31846.89</v>
      </c>
    </row>
    <row r="635" spans="2:9">
      <c r="B635" s="86">
        <v>44827</v>
      </c>
      <c r="C635" s="61">
        <v>25159.42</v>
      </c>
      <c r="H635" s="86">
        <v>43018</v>
      </c>
      <c r="I635" s="61">
        <v>31924.41</v>
      </c>
    </row>
    <row r="636" spans="2:9">
      <c r="B636" s="86">
        <v>44826</v>
      </c>
      <c r="C636" s="61">
        <v>25598.6</v>
      </c>
      <c r="H636" s="86">
        <v>43019</v>
      </c>
      <c r="I636" s="61">
        <v>31833.99</v>
      </c>
    </row>
    <row r="637" spans="2:9">
      <c r="B637" s="86">
        <v>44825</v>
      </c>
      <c r="C637" s="61">
        <v>25727.13</v>
      </c>
      <c r="H637" s="86">
        <v>43020</v>
      </c>
      <c r="I637" s="61">
        <v>32182.22</v>
      </c>
    </row>
    <row r="638" spans="2:9">
      <c r="B638" s="86">
        <v>44824</v>
      </c>
      <c r="C638" s="61">
        <v>25869.27</v>
      </c>
      <c r="H638" s="86">
        <v>43021</v>
      </c>
      <c r="I638" s="61">
        <v>32432.69</v>
      </c>
    </row>
    <row r="639" spans="2:9">
      <c r="B639" s="86">
        <v>44823</v>
      </c>
      <c r="C639" s="61">
        <v>25587.63</v>
      </c>
      <c r="H639" s="86">
        <v>43024</v>
      </c>
      <c r="I639" s="61">
        <v>32633.64</v>
      </c>
    </row>
    <row r="640" spans="2:9">
      <c r="B640" s="86">
        <v>44820</v>
      </c>
      <c r="C640" s="61">
        <v>25454.93</v>
      </c>
      <c r="H640" s="86">
        <v>43025</v>
      </c>
      <c r="I640" s="61">
        <v>32609.16</v>
      </c>
    </row>
    <row r="641" spans="2:9">
      <c r="B641" s="86">
        <v>44819</v>
      </c>
      <c r="C641" s="61">
        <v>25958.06</v>
      </c>
      <c r="H641" s="86">
        <v>43026</v>
      </c>
      <c r="I641" s="61">
        <v>32584.35</v>
      </c>
    </row>
    <row r="642" spans="2:9">
      <c r="B642" s="86">
        <v>44818</v>
      </c>
      <c r="C642" s="61">
        <v>26141.52</v>
      </c>
      <c r="H642" s="86">
        <v>43027</v>
      </c>
      <c r="I642" s="61">
        <v>32389.96</v>
      </c>
    </row>
    <row r="643" spans="2:9">
      <c r="B643" s="86">
        <v>44817</v>
      </c>
      <c r="C643" s="61">
        <v>26237.81</v>
      </c>
      <c r="H643" s="86">
        <v>43031</v>
      </c>
      <c r="I643" s="61">
        <v>32506.720000000001</v>
      </c>
    </row>
    <row r="644" spans="2:9">
      <c r="B644" s="86">
        <v>44816</v>
      </c>
      <c r="C644" s="61">
        <v>26043.69</v>
      </c>
      <c r="H644" s="86">
        <v>43032</v>
      </c>
      <c r="I644" s="61">
        <v>32607.34</v>
      </c>
    </row>
    <row r="645" spans="2:9">
      <c r="B645" s="86">
        <v>44813</v>
      </c>
      <c r="C645" s="61">
        <v>25894.12</v>
      </c>
      <c r="H645" s="86">
        <v>43033</v>
      </c>
      <c r="I645" s="61">
        <v>33042.5</v>
      </c>
    </row>
    <row r="646" spans="2:9">
      <c r="B646" s="86">
        <v>44812</v>
      </c>
      <c r="C646" s="61">
        <v>25843.86</v>
      </c>
      <c r="H646" s="86">
        <v>43034</v>
      </c>
      <c r="I646" s="61">
        <v>33147.129999999997</v>
      </c>
    </row>
    <row r="647" spans="2:9">
      <c r="B647" s="86">
        <v>44811</v>
      </c>
      <c r="C647" s="61">
        <v>25590.73</v>
      </c>
      <c r="H647" s="86">
        <v>43035</v>
      </c>
      <c r="I647" s="61">
        <v>33157.22</v>
      </c>
    </row>
    <row r="648" spans="2:9">
      <c r="B648" s="86">
        <v>44810</v>
      </c>
      <c r="C648" s="61">
        <v>25636.01</v>
      </c>
      <c r="H648" s="86">
        <v>43038</v>
      </c>
      <c r="I648" s="61">
        <v>33266.160000000003</v>
      </c>
    </row>
    <row r="649" spans="2:9">
      <c r="B649" s="86">
        <v>44809</v>
      </c>
      <c r="C649" s="61">
        <v>25650.83</v>
      </c>
      <c r="H649" s="86">
        <v>43039</v>
      </c>
      <c r="I649" s="61">
        <v>33213.129999999997</v>
      </c>
    </row>
    <row r="650" spans="2:9">
      <c r="B650" s="86">
        <v>44806</v>
      </c>
      <c r="C650" s="61">
        <v>25467.41</v>
      </c>
      <c r="H650" s="86">
        <v>43040</v>
      </c>
      <c r="I650" s="61">
        <v>33600.269999999997</v>
      </c>
    </row>
    <row r="651" spans="2:9">
      <c r="B651" s="86">
        <v>44805</v>
      </c>
      <c r="C651" s="61">
        <v>25472.240000000002</v>
      </c>
      <c r="H651" s="86">
        <v>43041</v>
      </c>
      <c r="I651" s="61">
        <v>33573.22</v>
      </c>
    </row>
    <row r="652" spans="2:9">
      <c r="B652" s="86">
        <v>44803</v>
      </c>
      <c r="C652" s="61">
        <v>25786.59</v>
      </c>
      <c r="H652" s="86">
        <v>43042</v>
      </c>
      <c r="I652" s="61">
        <v>33685.56</v>
      </c>
    </row>
    <row r="653" spans="2:9">
      <c r="B653" s="86">
        <v>44802</v>
      </c>
      <c r="C653" s="61">
        <v>25138.400000000001</v>
      </c>
      <c r="H653" s="86">
        <v>43045</v>
      </c>
      <c r="I653" s="61">
        <v>33731.19</v>
      </c>
    </row>
    <row r="654" spans="2:9">
      <c r="B654" s="86">
        <v>44799</v>
      </c>
      <c r="C654" s="61">
        <v>25495.64</v>
      </c>
      <c r="H654" s="86">
        <v>43046</v>
      </c>
      <c r="I654" s="61">
        <v>33370.76</v>
      </c>
    </row>
    <row r="655" spans="2:9">
      <c r="B655" s="86">
        <v>44798</v>
      </c>
      <c r="C655" s="61">
        <v>25442.67</v>
      </c>
      <c r="H655" s="86">
        <v>43047</v>
      </c>
      <c r="I655" s="61">
        <v>33218.81</v>
      </c>
    </row>
    <row r="656" spans="2:9">
      <c r="B656" s="86">
        <v>44797</v>
      </c>
      <c r="C656" s="61">
        <v>25562.51</v>
      </c>
      <c r="H656" s="86">
        <v>43048</v>
      </c>
      <c r="I656" s="61">
        <v>33250.93</v>
      </c>
    </row>
    <row r="657" spans="2:9">
      <c r="B657" s="86">
        <v>44796</v>
      </c>
      <c r="C657" s="61">
        <v>25522.62</v>
      </c>
      <c r="H657" s="86">
        <v>43049</v>
      </c>
      <c r="I657" s="61">
        <v>33314.559999999998</v>
      </c>
    </row>
    <row r="658" spans="2:9">
      <c r="B658" s="86">
        <v>44795</v>
      </c>
      <c r="C658" s="61">
        <v>25396.57</v>
      </c>
      <c r="H658" s="86">
        <v>43052</v>
      </c>
      <c r="I658" s="61">
        <v>33033.56</v>
      </c>
    </row>
    <row r="659" spans="2:9">
      <c r="B659" s="86">
        <v>44792</v>
      </c>
      <c r="C659" s="61">
        <v>25785.4</v>
      </c>
      <c r="H659" s="86">
        <v>43053</v>
      </c>
      <c r="I659" s="61">
        <v>32941.870000000003</v>
      </c>
    </row>
    <row r="660" spans="2:9">
      <c r="B660" s="86">
        <v>44791</v>
      </c>
      <c r="C660" s="61">
        <v>26067.35</v>
      </c>
      <c r="H660" s="86">
        <v>43054</v>
      </c>
      <c r="I660" s="61">
        <v>32760.44</v>
      </c>
    </row>
    <row r="661" spans="2:9">
      <c r="B661" s="86">
        <v>44790</v>
      </c>
      <c r="C661" s="61">
        <v>26035.87</v>
      </c>
      <c r="H661" s="86">
        <v>43055</v>
      </c>
      <c r="I661" s="61">
        <v>33106.82</v>
      </c>
    </row>
    <row r="662" spans="2:9">
      <c r="B662" s="86">
        <v>44789</v>
      </c>
      <c r="C662" s="61">
        <v>25863.24</v>
      </c>
      <c r="H662" s="86">
        <v>43056</v>
      </c>
      <c r="I662" s="61">
        <v>33342.800000000003</v>
      </c>
    </row>
    <row r="663" spans="2:9">
      <c r="B663" s="86">
        <v>44785</v>
      </c>
      <c r="C663" s="61">
        <v>25678.83</v>
      </c>
      <c r="H663" s="86">
        <v>43059</v>
      </c>
      <c r="I663" s="61">
        <v>33359.9</v>
      </c>
    </row>
    <row r="664" spans="2:9">
      <c r="B664" s="86">
        <v>44784</v>
      </c>
      <c r="C664" s="61">
        <v>25621.06</v>
      </c>
      <c r="H664" s="86">
        <v>43060</v>
      </c>
      <c r="I664" s="61">
        <v>33478.35</v>
      </c>
    </row>
    <row r="665" spans="2:9">
      <c r="B665" s="86">
        <v>44783</v>
      </c>
      <c r="C665" s="61">
        <v>25431.919999999998</v>
      </c>
      <c r="H665" s="86">
        <v>43061</v>
      </c>
      <c r="I665" s="61">
        <v>33561.550000000003</v>
      </c>
    </row>
    <row r="666" spans="2:9">
      <c r="B666" s="86">
        <v>44781</v>
      </c>
      <c r="C666" s="61">
        <v>25413.25</v>
      </c>
      <c r="H666" s="86">
        <v>43062</v>
      </c>
      <c r="I666" s="61">
        <v>33588.080000000002</v>
      </c>
    </row>
    <row r="667" spans="2:9">
      <c r="B667" s="86">
        <v>44778</v>
      </c>
      <c r="C667" s="61">
        <v>25215.93</v>
      </c>
      <c r="H667" s="86">
        <v>43063</v>
      </c>
      <c r="I667" s="61">
        <v>33679.24</v>
      </c>
    </row>
    <row r="668" spans="2:9">
      <c r="B668" s="86">
        <v>44777</v>
      </c>
      <c r="C668" s="61">
        <v>25193.41</v>
      </c>
      <c r="H668" s="86">
        <v>43066</v>
      </c>
      <c r="I668" s="61">
        <v>33724.44</v>
      </c>
    </row>
    <row r="669" spans="2:9">
      <c r="B669" s="86">
        <v>44776</v>
      </c>
      <c r="C669" s="61">
        <v>25202.38</v>
      </c>
      <c r="H669" s="86">
        <v>43067</v>
      </c>
      <c r="I669" s="61">
        <v>33618.589999999997</v>
      </c>
    </row>
    <row r="670" spans="2:9">
      <c r="B670" s="86">
        <v>44775</v>
      </c>
      <c r="C670" s="61">
        <v>25137.82</v>
      </c>
      <c r="H670" s="86">
        <v>43068</v>
      </c>
      <c r="I670" s="61">
        <v>33602.76</v>
      </c>
    </row>
    <row r="671" spans="2:9">
      <c r="B671" s="86">
        <v>44774</v>
      </c>
      <c r="C671" s="61">
        <v>25128.57</v>
      </c>
      <c r="H671" s="86">
        <v>43069</v>
      </c>
      <c r="I671" s="61">
        <v>33149.35</v>
      </c>
    </row>
    <row r="672" spans="2:9">
      <c r="B672" s="86">
        <v>44771</v>
      </c>
      <c r="C672" s="61">
        <v>24862.7</v>
      </c>
      <c r="H672" s="86">
        <v>43070</v>
      </c>
      <c r="I672" s="61">
        <v>32832.94</v>
      </c>
    </row>
    <row r="673" spans="2:9">
      <c r="B673" s="86">
        <v>44770</v>
      </c>
      <c r="C673" s="61">
        <v>24531.38</v>
      </c>
      <c r="H673" s="86">
        <v>43073</v>
      </c>
      <c r="I673" s="61">
        <v>32869.72</v>
      </c>
    </row>
    <row r="674" spans="2:9">
      <c r="B674" s="86">
        <v>44769</v>
      </c>
      <c r="C674" s="61">
        <v>24114.41</v>
      </c>
      <c r="H674" s="86">
        <v>43074</v>
      </c>
      <c r="I674" s="61">
        <v>32802.44</v>
      </c>
    </row>
    <row r="675" spans="2:9">
      <c r="B675" s="86">
        <v>44768</v>
      </c>
      <c r="C675" s="61">
        <v>23882.26</v>
      </c>
      <c r="H675" s="86">
        <v>43075</v>
      </c>
      <c r="I675" s="61">
        <v>32597.18</v>
      </c>
    </row>
    <row r="676" spans="2:9">
      <c r="B676" s="86">
        <v>44767</v>
      </c>
      <c r="C676" s="61">
        <v>24095.46</v>
      </c>
      <c r="H676" s="86">
        <v>43076</v>
      </c>
      <c r="I676" s="61">
        <v>32949.21</v>
      </c>
    </row>
    <row r="677" spans="2:9">
      <c r="B677" s="86">
        <v>44764</v>
      </c>
      <c r="C677" s="61">
        <v>24223.56</v>
      </c>
      <c r="H677" s="86">
        <v>43077</v>
      </c>
      <c r="I677" s="61">
        <v>33250.300000000003</v>
      </c>
    </row>
    <row r="678" spans="2:9">
      <c r="B678" s="86">
        <v>44763</v>
      </c>
      <c r="C678" s="61">
        <v>24058.17</v>
      </c>
      <c r="H678" s="86">
        <v>43080</v>
      </c>
      <c r="I678" s="61">
        <v>33455.79</v>
      </c>
    </row>
    <row r="679" spans="2:9">
      <c r="B679" s="86">
        <v>44762</v>
      </c>
      <c r="C679" s="61">
        <v>23920.880000000001</v>
      </c>
      <c r="H679" s="86">
        <v>43081</v>
      </c>
      <c r="I679" s="61">
        <v>33227.99</v>
      </c>
    </row>
    <row r="680" spans="2:9">
      <c r="B680" s="86">
        <v>44761</v>
      </c>
      <c r="C680" s="61">
        <v>23659.85</v>
      </c>
      <c r="H680" s="86">
        <v>43082</v>
      </c>
      <c r="I680" s="61">
        <v>33053.040000000001</v>
      </c>
    </row>
    <row r="681" spans="2:9">
      <c r="B681" s="86">
        <v>44760</v>
      </c>
      <c r="C681" s="61">
        <v>23566.52</v>
      </c>
      <c r="H681" s="86">
        <v>43083</v>
      </c>
      <c r="I681" s="61">
        <v>33246.699999999997</v>
      </c>
    </row>
    <row r="682" spans="2:9">
      <c r="B682" s="86">
        <v>44757</v>
      </c>
      <c r="C682" s="61">
        <v>23234.52</v>
      </c>
      <c r="H682" s="86">
        <v>43084</v>
      </c>
      <c r="I682" s="61">
        <v>33462.97</v>
      </c>
    </row>
    <row r="683" spans="2:9">
      <c r="B683" s="86">
        <v>44756</v>
      </c>
      <c r="C683" s="61">
        <v>23074.52</v>
      </c>
      <c r="H683" s="86">
        <v>43087</v>
      </c>
      <c r="I683" s="61">
        <v>33601.68</v>
      </c>
    </row>
    <row r="684" spans="2:9">
      <c r="B684" s="86">
        <v>44755</v>
      </c>
      <c r="C684" s="61">
        <v>23107.47</v>
      </c>
      <c r="H684" s="86">
        <v>43088</v>
      </c>
      <c r="I684" s="61">
        <v>33836.74</v>
      </c>
    </row>
    <row r="685" spans="2:9">
      <c r="B685" s="86">
        <v>44754</v>
      </c>
      <c r="C685" s="61">
        <v>23239.9</v>
      </c>
      <c r="H685" s="86">
        <v>43089</v>
      </c>
      <c r="I685" s="61">
        <v>33777.379999999997</v>
      </c>
    </row>
    <row r="686" spans="2:9">
      <c r="B686" s="86">
        <v>44753</v>
      </c>
      <c r="C686" s="61">
        <v>23468.14</v>
      </c>
      <c r="H686" s="86">
        <v>43090</v>
      </c>
      <c r="I686" s="61">
        <v>33756.28</v>
      </c>
    </row>
    <row r="687" spans="2:9">
      <c r="B687" s="86">
        <v>44750</v>
      </c>
      <c r="C687" s="61">
        <v>23473.61</v>
      </c>
      <c r="H687" s="86">
        <v>43091</v>
      </c>
      <c r="I687" s="61">
        <v>33940.300000000003</v>
      </c>
    </row>
    <row r="688" spans="2:9">
      <c r="B688" s="86">
        <v>44749</v>
      </c>
      <c r="C688" s="61">
        <v>23345.61</v>
      </c>
      <c r="H688" s="86">
        <v>43095</v>
      </c>
      <c r="I688" s="61">
        <v>34010.61</v>
      </c>
    </row>
    <row r="689" spans="2:9">
      <c r="B689" s="86">
        <v>44748</v>
      </c>
      <c r="C689" s="61">
        <v>23137.7</v>
      </c>
      <c r="H689" s="86">
        <v>43096</v>
      </c>
      <c r="I689" s="61">
        <v>33911.81</v>
      </c>
    </row>
    <row r="690" spans="2:9">
      <c r="B690" s="86">
        <v>44747</v>
      </c>
      <c r="C690" s="61">
        <v>22878.720000000001</v>
      </c>
      <c r="H690" s="86">
        <v>43097</v>
      </c>
      <c r="I690" s="61">
        <v>33848.03</v>
      </c>
    </row>
    <row r="691" spans="2:9">
      <c r="B691" s="86">
        <v>44746</v>
      </c>
      <c r="C691" s="61">
        <v>22914.2</v>
      </c>
      <c r="H691" s="86">
        <v>43098</v>
      </c>
      <c r="I691" s="61">
        <v>34056.83</v>
      </c>
    </row>
    <row r="692" spans="2:9">
      <c r="B692" s="86">
        <v>44743</v>
      </c>
      <c r="C692" s="61">
        <v>22788.18</v>
      </c>
      <c r="H692" s="86">
        <v>43101</v>
      </c>
      <c r="I692" s="61">
        <v>33812.75</v>
      </c>
    </row>
    <row r="693" spans="2:9">
      <c r="B693" s="86">
        <v>44742</v>
      </c>
      <c r="C693" s="61">
        <v>22828.93</v>
      </c>
      <c r="H693" s="86">
        <v>43102</v>
      </c>
      <c r="I693" s="61">
        <v>33812.26</v>
      </c>
    </row>
    <row r="694" spans="2:9">
      <c r="B694" s="86">
        <v>44741</v>
      </c>
      <c r="C694" s="61">
        <v>22848.35</v>
      </c>
      <c r="H694" s="86">
        <v>43103</v>
      </c>
      <c r="I694" s="61">
        <v>33793.379999999997</v>
      </c>
    </row>
    <row r="695" spans="2:9">
      <c r="B695" s="86">
        <v>44740</v>
      </c>
      <c r="C695" s="61">
        <v>22922.240000000002</v>
      </c>
      <c r="H695" s="86">
        <v>43104</v>
      </c>
      <c r="I695" s="61">
        <v>33969.64</v>
      </c>
    </row>
    <row r="696" spans="2:9">
      <c r="B696" s="86">
        <v>44739</v>
      </c>
      <c r="C696" s="61">
        <v>22896.02</v>
      </c>
      <c r="H696" s="86">
        <v>43105</v>
      </c>
      <c r="I696" s="61">
        <v>34153.85</v>
      </c>
    </row>
    <row r="697" spans="2:9">
      <c r="B697" s="86">
        <v>44736</v>
      </c>
      <c r="C697" s="61">
        <v>22703.95</v>
      </c>
      <c r="H697" s="86">
        <v>43108</v>
      </c>
      <c r="I697" s="61">
        <v>34352.79</v>
      </c>
    </row>
    <row r="698" spans="2:9">
      <c r="B698" s="86">
        <v>44735</v>
      </c>
      <c r="C698" s="61">
        <v>22497.71</v>
      </c>
      <c r="H698" s="86">
        <v>43109</v>
      </c>
      <c r="I698" s="61">
        <v>34443.19</v>
      </c>
    </row>
    <row r="699" spans="2:9">
      <c r="B699" s="86">
        <v>44734</v>
      </c>
      <c r="C699" s="61">
        <v>22290.46</v>
      </c>
      <c r="H699" s="86">
        <v>43110</v>
      </c>
      <c r="I699" s="61">
        <v>34433.07</v>
      </c>
    </row>
    <row r="700" spans="2:9">
      <c r="B700" s="86">
        <v>44733</v>
      </c>
      <c r="C700" s="61">
        <v>22616.52</v>
      </c>
      <c r="H700" s="86">
        <v>43111</v>
      </c>
      <c r="I700" s="61">
        <v>34503.49</v>
      </c>
    </row>
    <row r="701" spans="2:9">
      <c r="B701" s="86">
        <v>44732</v>
      </c>
      <c r="C701" s="61">
        <v>22199.11</v>
      </c>
      <c r="H701" s="86">
        <v>43112</v>
      </c>
      <c r="I701" s="61">
        <v>34592.39</v>
      </c>
    </row>
    <row r="702" spans="2:9">
      <c r="B702" s="86">
        <v>44729</v>
      </c>
      <c r="C702" s="61">
        <v>22114.97</v>
      </c>
      <c r="H702" s="86">
        <v>43115</v>
      </c>
      <c r="I702" s="61">
        <v>34843.51</v>
      </c>
    </row>
    <row r="703" spans="2:9">
      <c r="B703" s="86">
        <v>44728</v>
      </c>
      <c r="C703" s="61">
        <v>22211.98</v>
      </c>
      <c r="H703" s="86">
        <v>43116</v>
      </c>
      <c r="I703" s="61">
        <v>34771.050000000003</v>
      </c>
    </row>
    <row r="704" spans="2:9">
      <c r="B704" s="86">
        <v>44727</v>
      </c>
      <c r="C704" s="61">
        <v>22691.46</v>
      </c>
      <c r="H704" s="86">
        <v>43117</v>
      </c>
      <c r="I704" s="61">
        <v>35081.82</v>
      </c>
    </row>
    <row r="705" spans="2:9">
      <c r="B705" s="86">
        <v>44726</v>
      </c>
      <c r="C705" s="61">
        <v>22729.97</v>
      </c>
      <c r="H705" s="86">
        <v>43118</v>
      </c>
      <c r="I705" s="61">
        <v>35260.29</v>
      </c>
    </row>
    <row r="706" spans="2:9">
      <c r="B706" s="86">
        <v>44725</v>
      </c>
      <c r="C706" s="61">
        <v>22791.119999999999</v>
      </c>
      <c r="H706" s="86">
        <v>43119</v>
      </c>
      <c r="I706" s="61">
        <v>35511.58</v>
      </c>
    </row>
    <row r="707" spans="2:9">
      <c r="B707" s="86">
        <v>44722</v>
      </c>
      <c r="C707" s="61">
        <v>23408.59</v>
      </c>
      <c r="H707" s="86">
        <v>43122</v>
      </c>
      <c r="I707" s="61">
        <v>35798.01</v>
      </c>
    </row>
    <row r="708" spans="2:9">
      <c r="B708" s="86">
        <v>44721</v>
      </c>
      <c r="C708" s="61">
        <v>23807.84</v>
      </c>
      <c r="H708" s="86">
        <v>43123</v>
      </c>
      <c r="I708" s="61">
        <v>36139.980000000003</v>
      </c>
    </row>
    <row r="709" spans="2:9">
      <c r="B709" s="86">
        <v>44720</v>
      </c>
      <c r="C709" s="61">
        <v>23628.32</v>
      </c>
      <c r="H709" s="86">
        <v>43124</v>
      </c>
      <c r="I709" s="61">
        <v>36161.64</v>
      </c>
    </row>
    <row r="710" spans="2:9">
      <c r="B710" s="86">
        <v>44719</v>
      </c>
      <c r="C710" s="61">
        <v>23715.1</v>
      </c>
      <c r="H710" s="86">
        <v>43125</v>
      </c>
      <c r="I710" s="61">
        <v>36050.44</v>
      </c>
    </row>
    <row r="711" spans="2:9">
      <c r="B711" s="86">
        <v>44718</v>
      </c>
      <c r="C711" s="61">
        <v>23936.44</v>
      </c>
      <c r="H711" s="86">
        <v>43129</v>
      </c>
      <c r="I711" s="61">
        <v>36283.25</v>
      </c>
    </row>
    <row r="712" spans="2:9">
      <c r="B712" s="86">
        <v>44715</v>
      </c>
      <c r="C712" s="61">
        <v>23957.71</v>
      </c>
      <c r="H712" s="86">
        <v>43130</v>
      </c>
      <c r="I712" s="61">
        <v>36033.730000000003</v>
      </c>
    </row>
    <row r="713" spans="2:9">
      <c r="B713" s="86">
        <v>44714</v>
      </c>
      <c r="C713" s="61">
        <v>24020.89</v>
      </c>
      <c r="H713" s="86">
        <v>43131</v>
      </c>
      <c r="I713" s="61">
        <v>35965.019999999997</v>
      </c>
    </row>
    <row r="714" spans="2:9">
      <c r="B714" s="86">
        <v>44713</v>
      </c>
      <c r="C714" s="61">
        <v>23868.85</v>
      </c>
      <c r="H714" s="86">
        <v>43132</v>
      </c>
      <c r="I714" s="61">
        <v>35906.660000000003</v>
      </c>
    </row>
    <row r="715" spans="2:9">
      <c r="B715" s="86">
        <v>44712</v>
      </c>
      <c r="C715" s="61">
        <v>23958.1</v>
      </c>
      <c r="H715" s="86">
        <v>43133</v>
      </c>
      <c r="I715" s="61">
        <v>35066.75</v>
      </c>
    </row>
    <row r="716" spans="2:9">
      <c r="B716" s="86">
        <v>44711</v>
      </c>
      <c r="C716" s="61">
        <v>24031.25</v>
      </c>
      <c r="H716" s="86">
        <v>43136</v>
      </c>
      <c r="I716" s="61">
        <v>34757.160000000003</v>
      </c>
    </row>
    <row r="717" spans="2:9">
      <c r="B717" s="86">
        <v>44708</v>
      </c>
      <c r="C717" s="61">
        <v>23585.61</v>
      </c>
      <c r="H717" s="86">
        <v>43137</v>
      </c>
      <c r="I717" s="61">
        <v>34195.94</v>
      </c>
    </row>
    <row r="718" spans="2:9">
      <c r="B718" s="86">
        <v>44707</v>
      </c>
      <c r="C718" s="61">
        <v>23322.66</v>
      </c>
      <c r="H718" s="86">
        <v>43138</v>
      </c>
      <c r="I718" s="61">
        <v>34082.71</v>
      </c>
    </row>
    <row r="719" spans="2:9">
      <c r="B719" s="86">
        <v>44706</v>
      </c>
      <c r="C719" s="61">
        <v>23096.63</v>
      </c>
      <c r="H719" s="86">
        <v>43139</v>
      </c>
      <c r="I719" s="61">
        <v>34413.160000000003</v>
      </c>
    </row>
    <row r="720" spans="2:9">
      <c r="B720" s="86">
        <v>44705</v>
      </c>
      <c r="C720" s="61">
        <v>23223.25</v>
      </c>
      <c r="H720" s="86">
        <v>43140</v>
      </c>
      <c r="I720" s="61">
        <v>34005.760000000002</v>
      </c>
    </row>
    <row r="721" spans="2:9">
      <c r="B721" s="86">
        <v>44704</v>
      </c>
      <c r="C721" s="61">
        <v>23352.22</v>
      </c>
      <c r="H721" s="86">
        <v>43143</v>
      </c>
      <c r="I721" s="61">
        <v>34300.47</v>
      </c>
    </row>
    <row r="722" spans="2:9">
      <c r="B722" s="86">
        <v>44701</v>
      </c>
      <c r="C722" s="61">
        <v>23426.36</v>
      </c>
      <c r="H722" s="86">
        <v>43145</v>
      </c>
      <c r="I722" s="61">
        <v>34155.949999999997</v>
      </c>
    </row>
    <row r="723" spans="2:9">
      <c r="B723" s="86">
        <v>44700</v>
      </c>
      <c r="C723" s="61">
        <v>22768.49</v>
      </c>
      <c r="H723" s="86">
        <v>43146</v>
      </c>
      <c r="I723" s="61">
        <v>34297.47</v>
      </c>
    </row>
    <row r="724" spans="2:9">
      <c r="B724" s="86">
        <v>44699</v>
      </c>
      <c r="C724" s="61">
        <v>23389.07</v>
      </c>
      <c r="H724" s="86">
        <v>43147</v>
      </c>
      <c r="I724" s="61">
        <v>34010.76</v>
      </c>
    </row>
    <row r="725" spans="2:9">
      <c r="B725" s="86">
        <v>44698</v>
      </c>
      <c r="C725" s="61">
        <v>23416.46</v>
      </c>
      <c r="H725" s="86">
        <v>43150</v>
      </c>
      <c r="I725" s="61">
        <v>33774.660000000003</v>
      </c>
    </row>
    <row r="726" spans="2:9">
      <c r="B726" s="86">
        <v>44697</v>
      </c>
      <c r="C726" s="61">
        <v>22815.88</v>
      </c>
      <c r="H726" s="86">
        <v>43151</v>
      </c>
      <c r="I726" s="61">
        <v>33703.589999999997</v>
      </c>
    </row>
    <row r="727" spans="2:9">
      <c r="B727" s="86">
        <v>44694</v>
      </c>
      <c r="C727" s="61">
        <v>22729.279999999999</v>
      </c>
      <c r="H727" s="86">
        <v>43152</v>
      </c>
      <c r="I727" s="61">
        <v>33844.86</v>
      </c>
    </row>
    <row r="728" spans="2:9">
      <c r="B728" s="86">
        <v>44693</v>
      </c>
      <c r="C728" s="61">
        <v>22766.52</v>
      </c>
      <c r="H728" s="86">
        <v>43153</v>
      </c>
      <c r="I728" s="61">
        <v>33819.5</v>
      </c>
    </row>
    <row r="729" spans="2:9">
      <c r="B729" s="86">
        <v>44692</v>
      </c>
      <c r="C729" s="61">
        <v>23260.85</v>
      </c>
      <c r="H729" s="86">
        <v>43154</v>
      </c>
      <c r="I729" s="61">
        <v>34142.15</v>
      </c>
    </row>
    <row r="730" spans="2:9">
      <c r="B730" s="86">
        <v>44691</v>
      </c>
      <c r="C730" s="61">
        <v>23365.81</v>
      </c>
      <c r="H730" s="86">
        <v>43157</v>
      </c>
      <c r="I730" s="61">
        <v>34445.75</v>
      </c>
    </row>
    <row r="731" spans="2:9">
      <c r="B731" s="86">
        <v>44690</v>
      </c>
      <c r="C731" s="61">
        <v>23454.71</v>
      </c>
      <c r="H731" s="86">
        <v>43158</v>
      </c>
      <c r="I731" s="61">
        <v>34346.39</v>
      </c>
    </row>
    <row r="732" spans="2:9">
      <c r="B732" s="86">
        <v>44687</v>
      </c>
      <c r="C732" s="61">
        <v>23612.16</v>
      </c>
      <c r="H732" s="86">
        <v>43159</v>
      </c>
      <c r="I732" s="61">
        <v>34184.04</v>
      </c>
    </row>
    <row r="733" spans="2:9">
      <c r="B733" s="86">
        <v>44686</v>
      </c>
      <c r="C733" s="61">
        <v>24002.58</v>
      </c>
      <c r="H733" s="86">
        <v>43160</v>
      </c>
      <c r="I733" s="61">
        <v>34046.94</v>
      </c>
    </row>
    <row r="734" spans="2:9">
      <c r="B734" s="86">
        <v>44685</v>
      </c>
      <c r="C734" s="61">
        <v>23995.35</v>
      </c>
      <c r="H734" s="86">
        <v>43164</v>
      </c>
      <c r="I734" s="61">
        <v>33746.78</v>
      </c>
    </row>
    <row r="735" spans="2:9">
      <c r="B735" s="86">
        <v>44683</v>
      </c>
      <c r="C735" s="61">
        <v>24558.61</v>
      </c>
      <c r="H735" s="86">
        <v>43165</v>
      </c>
      <c r="I735" s="61">
        <v>33317.199999999997</v>
      </c>
    </row>
    <row r="736" spans="2:9">
      <c r="B736" s="86">
        <v>44680</v>
      </c>
      <c r="C736" s="61">
        <v>24606.78</v>
      </c>
      <c r="H736" s="86">
        <v>43166</v>
      </c>
      <c r="I736" s="61">
        <v>33033.089999999997</v>
      </c>
    </row>
    <row r="737" spans="2:9">
      <c r="B737" s="86">
        <v>44679</v>
      </c>
      <c r="C737" s="61">
        <v>24811.78</v>
      </c>
      <c r="H737" s="86">
        <v>43167</v>
      </c>
      <c r="I737" s="61">
        <v>33351.57</v>
      </c>
    </row>
    <row r="738" spans="2:9">
      <c r="B738" s="86">
        <v>44678</v>
      </c>
      <c r="C738" s="61">
        <v>24508.3</v>
      </c>
      <c r="H738" s="86">
        <v>43168</v>
      </c>
      <c r="I738" s="61">
        <v>33307.14</v>
      </c>
    </row>
    <row r="739" spans="2:9">
      <c r="B739" s="86">
        <v>44677</v>
      </c>
      <c r="C739" s="61">
        <v>24741.88</v>
      </c>
      <c r="H739" s="86">
        <v>43171</v>
      </c>
      <c r="I739" s="61">
        <v>33917.94</v>
      </c>
    </row>
    <row r="740" spans="2:9">
      <c r="B740" s="86">
        <v>44676</v>
      </c>
      <c r="C740" s="61">
        <v>24386.78</v>
      </c>
      <c r="H740" s="86">
        <v>43172</v>
      </c>
      <c r="I740" s="61">
        <v>33856.78</v>
      </c>
    </row>
    <row r="741" spans="2:9">
      <c r="B741" s="86">
        <v>44673</v>
      </c>
      <c r="C741" s="61">
        <v>24700.36</v>
      </c>
      <c r="H741" s="86">
        <v>43173</v>
      </c>
      <c r="I741" s="61">
        <v>33835.74</v>
      </c>
    </row>
    <row r="742" spans="2:9">
      <c r="B742" s="86">
        <v>44672</v>
      </c>
      <c r="C742" s="61">
        <v>25017.73</v>
      </c>
      <c r="H742" s="86">
        <v>43174</v>
      </c>
      <c r="I742" s="61">
        <v>33685.54</v>
      </c>
    </row>
    <row r="743" spans="2:9">
      <c r="B743" s="86">
        <v>44671</v>
      </c>
      <c r="C743" s="61">
        <v>24648.400000000001</v>
      </c>
      <c r="H743" s="86">
        <v>43175</v>
      </c>
      <c r="I743" s="61">
        <v>33176</v>
      </c>
    </row>
    <row r="744" spans="2:9">
      <c r="B744" s="86">
        <v>44670</v>
      </c>
      <c r="C744" s="61">
        <v>24392.54</v>
      </c>
      <c r="H744" s="86">
        <v>43178</v>
      </c>
      <c r="I744" s="61">
        <v>32923.120000000003</v>
      </c>
    </row>
    <row r="745" spans="2:9">
      <c r="B745" s="86">
        <v>44669</v>
      </c>
      <c r="C745" s="61">
        <v>24701.75</v>
      </c>
      <c r="H745" s="86">
        <v>43179</v>
      </c>
      <c r="I745" s="61">
        <v>32996.76</v>
      </c>
    </row>
    <row r="746" spans="2:9">
      <c r="B746" s="86">
        <v>44664</v>
      </c>
      <c r="C746" s="61">
        <v>25136.13</v>
      </c>
      <c r="H746" s="86">
        <v>43180</v>
      </c>
      <c r="I746" s="61">
        <v>33136.18</v>
      </c>
    </row>
    <row r="747" spans="2:9">
      <c r="B747" s="86">
        <v>44663</v>
      </c>
      <c r="C747" s="61">
        <v>25214.76</v>
      </c>
      <c r="H747" s="86">
        <v>43181</v>
      </c>
      <c r="I747" s="61">
        <v>33006.269999999997</v>
      </c>
    </row>
    <row r="748" spans="2:9">
      <c r="B748" s="86">
        <v>44662</v>
      </c>
      <c r="C748" s="61">
        <v>25422.81</v>
      </c>
      <c r="H748" s="86">
        <v>43182</v>
      </c>
      <c r="I748" s="61">
        <v>32596.54</v>
      </c>
    </row>
    <row r="749" spans="2:9">
      <c r="B749" s="86">
        <v>44659</v>
      </c>
      <c r="C749" s="61">
        <v>25580.15</v>
      </c>
      <c r="H749" s="86">
        <v>43185</v>
      </c>
      <c r="I749" s="61">
        <v>33066.410000000003</v>
      </c>
    </row>
    <row r="750" spans="2:9">
      <c r="B750" s="86">
        <v>44658</v>
      </c>
      <c r="C750" s="61">
        <v>25371.88</v>
      </c>
      <c r="H750" s="86">
        <v>43186</v>
      </c>
      <c r="I750" s="61">
        <v>33174.39</v>
      </c>
    </row>
    <row r="751" spans="2:9">
      <c r="B751" s="86">
        <v>44657</v>
      </c>
      <c r="C751" s="61">
        <v>25613.71</v>
      </c>
      <c r="H751" s="86">
        <v>43187</v>
      </c>
      <c r="I751" s="61">
        <v>32968.68</v>
      </c>
    </row>
    <row r="752" spans="2:9">
      <c r="B752" s="86">
        <v>44656</v>
      </c>
      <c r="C752" s="61">
        <v>25829.11</v>
      </c>
      <c r="H752" s="86">
        <v>43192</v>
      </c>
      <c r="I752" s="61">
        <v>33255.360000000001</v>
      </c>
    </row>
    <row r="753" spans="2:9">
      <c r="B753" s="86">
        <v>44655</v>
      </c>
      <c r="C753" s="61">
        <v>25964.720000000001</v>
      </c>
      <c r="H753" s="86">
        <v>43193</v>
      </c>
      <c r="I753" s="61">
        <v>33370.629999999997</v>
      </c>
    </row>
    <row r="754" spans="2:9">
      <c r="B754" s="86">
        <v>44652</v>
      </c>
      <c r="C754" s="61">
        <v>25413.94</v>
      </c>
      <c r="H754" s="86">
        <v>43194</v>
      </c>
      <c r="I754" s="61">
        <v>33019.07</v>
      </c>
    </row>
    <row r="755" spans="2:9">
      <c r="B755" s="86">
        <v>44651</v>
      </c>
      <c r="C755" s="61">
        <v>25118.14</v>
      </c>
      <c r="H755" s="86">
        <v>43195</v>
      </c>
      <c r="I755" s="61">
        <v>33596.800000000003</v>
      </c>
    </row>
    <row r="756" spans="2:9">
      <c r="B756" s="86">
        <v>44650</v>
      </c>
      <c r="C756" s="61">
        <v>25166.31</v>
      </c>
      <c r="H756" s="86">
        <v>43196</v>
      </c>
      <c r="I756" s="61">
        <v>33626.97</v>
      </c>
    </row>
    <row r="757" spans="2:9">
      <c r="B757" s="86">
        <v>44649</v>
      </c>
      <c r="C757" s="61">
        <v>24917.57</v>
      </c>
      <c r="H757" s="86">
        <v>43199</v>
      </c>
      <c r="I757" s="61">
        <v>33788.54</v>
      </c>
    </row>
    <row r="758" spans="2:9">
      <c r="B758" s="86">
        <v>44648</v>
      </c>
      <c r="C758" s="61">
        <v>24768.69</v>
      </c>
      <c r="H758" s="86">
        <v>43200</v>
      </c>
      <c r="I758" s="61">
        <v>33880.25</v>
      </c>
    </row>
    <row r="759" spans="2:9">
      <c r="B759" s="86">
        <v>44645</v>
      </c>
      <c r="C759" s="61">
        <v>24669.45</v>
      </c>
      <c r="H759" s="86">
        <v>43201</v>
      </c>
      <c r="I759" s="61">
        <v>33940.44</v>
      </c>
    </row>
    <row r="760" spans="2:9">
      <c r="B760" s="86">
        <v>44644</v>
      </c>
      <c r="C760" s="61">
        <v>24769.75</v>
      </c>
      <c r="H760" s="86">
        <v>43202</v>
      </c>
      <c r="I760" s="61">
        <v>34101.129999999997</v>
      </c>
    </row>
    <row r="761" spans="2:9">
      <c r="B761" s="86">
        <v>44643</v>
      </c>
      <c r="C761" s="61">
        <v>24802.74</v>
      </c>
      <c r="H761" s="86">
        <v>43203</v>
      </c>
      <c r="I761" s="61">
        <v>34192.65</v>
      </c>
    </row>
    <row r="762" spans="2:9">
      <c r="B762" s="86">
        <v>44642</v>
      </c>
      <c r="C762" s="61">
        <v>24903.14</v>
      </c>
      <c r="H762" s="86">
        <v>43206</v>
      </c>
      <c r="I762" s="61">
        <v>34305.43</v>
      </c>
    </row>
    <row r="763" spans="2:9">
      <c r="B763" s="86">
        <v>44641</v>
      </c>
      <c r="C763" s="61">
        <v>24618.52</v>
      </c>
      <c r="H763" s="86">
        <v>43207</v>
      </c>
      <c r="I763" s="61">
        <v>34395.06</v>
      </c>
    </row>
    <row r="764" spans="2:9">
      <c r="B764" s="86">
        <v>44637</v>
      </c>
      <c r="C764" s="61">
        <v>24862.27</v>
      </c>
      <c r="H764" s="86">
        <v>43208</v>
      </c>
      <c r="I764" s="61">
        <v>34331.68</v>
      </c>
    </row>
    <row r="765" spans="2:9">
      <c r="B765" s="86">
        <v>44636</v>
      </c>
      <c r="C765" s="61">
        <v>24414</v>
      </c>
      <c r="H765" s="86">
        <v>43209</v>
      </c>
      <c r="I765" s="61">
        <v>34427.29</v>
      </c>
    </row>
    <row r="766" spans="2:9">
      <c r="B766" s="86">
        <v>44635</v>
      </c>
      <c r="C766" s="61">
        <v>23964.720000000001</v>
      </c>
      <c r="H766" s="86">
        <v>43210</v>
      </c>
      <c r="I766" s="61">
        <v>34415.58</v>
      </c>
    </row>
    <row r="767" spans="2:9">
      <c r="B767" s="86">
        <v>44634</v>
      </c>
      <c r="C767" s="61">
        <v>24264.29</v>
      </c>
      <c r="H767" s="86">
        <v>43213</v>
      </c>
      <c r="I767" s="61">
        <v>34450.769999999997</v>
      </c>
    </row>
    <row r="768" spans="2:9">
      <c r="B768" s="86">
        <v>44631</v>
      </c>
      <c r="C768" s="61">
        <v>23917.96</v>
      </c>
      <c r="H768" s="86">
        <v>43214</v>
      </c>
      <c r="I768" s="61">
        <v>34616.639999999999</v>
      </c>
    </row>
    <row r="769" spans="2:9">
      <c r="B769" s="86">
        <v>44630</v>
      </c>
      <c r="C769" s="61">
        <v>23866.77</v>
      </c>
      <c r="H769" s="86">
        <v>43215</v>
      </c>
      <c r="I769" s="61">
        <v>34501.269999999997</v>
      </c>
    </row>
    <row r="770" spans="2:9">
      <c r="B770" s="86">
        <v>44629</v>
      </c>
      <c r="C770" s="61">
        <v>23507.87</v>
      </c>
      <c r="H770" s="86">
        <v>43216</v>
      </c>
      <c r="I770" s="61">
        <v>34713.599999999999</v>
      </c>
    </row>
    <row r="771" spans="2:9">
      <c r="B771" s="86">
        <v>44628</v>
      </c>
      <c r="C771" s="61">
        <v>23030.560000000001</v>
      </c>
      <c r="H771" s="86">
        <v>43217</v>
      </c>
      <c r="I771" s="61">
        <v>34969.699999999997</v>
      </c>
    </row>
    <row r="772" spans="2:9">
      <c r="B772" s="86">
        <v>44627</v>
      </c>
      <c r="C772" s="61">
        <v>22814.41</v>
      </c>
      <c r="H772" s="86">
        <v>43220</v>
      </c>
      <c r="I772" s="61">
        <v>35160.36</v>
      </c>
    </row>
    <row r="773" spans="2:9">
      <c r="B773" s="86">
        <v>44624</v>
      </c>
      <c r="C773" s="61">
        <v>23364.07</v>
      </c>
      <c r="H773" s="86">
        <v>43222</v>
      </c>
      <c r="I773" s="61">
        <v>35176.42</v>
      </c>
    </row>
    <row r="774" spans="2:9">
      <c r="B774" s="86">
        <v>44623</v>
      </c>
      <c r="C774" s="61">
        <v>23727.54</v>
      </c>
      <c r="H774" s="86">
        <v>43223</v>
      </c>
      <c r="I774" s="61">
        <v>35103.14</v>
      </c>
    </row>
    <row r="775" spans="2:9">
      <c r="B775" s="86">
        <v>44622</v>
      </c>
      <c r="C775" s="61">
        <v>23882.720000000001</v>
      </c>
      <c r="H775" s="86">
        <v>43224</v>
      </c>
      <c r="I775" s="61">
        <v>34915.379999999997</v>
      </c>
    </row>
    <row r="776" spans="2:9">
      <c r="B776" s="86">
        <v>44620</v>
      </c>
      <c r="C776" s="61">
        <v>24153.01</v>
      </c>
      <c r="H776" s="86">
        <v>43227</v>
      </c>
      <c r="I776" s="61">
        <v>35208.14</v>
      </c>
    </row>
    <row r="777" spans="2:9">
      <c r="B777" s="86">
        <v>44617</v>
      </c>
      <c r="C777" s="61">
        <v>23958.1</v>
      </c>
      <c r="H777" s="86">
        <v>43228</v>
      </c>
      <c r="I777" s="61">
        <v>35216.32</v>
      </c>
    </row>
    <row r="778" spans="2:9">
      <c r="B778" s="86">
        <v>44616</v>
      </c>
      <c r="C778" s="61">
        <v>23367.85</v>
      </c>
      <c r="H778" s="86">
        <v>43229</v>
      </c>
      <c r="I778" s="61">
        <v>35319.35</v>
      </c>
    </row>
    <row r="779" spans="2:9">
      <c r="B779" s="86">
        <v>44615</v>
      </c>
      <c r="C779" s="61">
        <v>24540.41</v>
      </c>
      <c r="H779" s="86">
        <v>43230</v>
      </c>
      <c r="I779" s="61">
        <v>35246.269999999997</v>
      </c>
    </row>
    <row r="780" spans="2:9">
      <c r="B780" s="86">
        <v>44614</v>
      </c>
      <c r="C780" s="61">
        <v>24582.05</v>
      </c>
      <c r="H780" s="86">
        <v>43231</v>
      </c>
      <c r="I780" s="61">
        <v>35535.79</v>
      </c>
    </row>
    <row r="781" spans="2:9">
      <c r="B781" s="86">
        <v>44613</v>
      </c>
      <c r="C781" s="61">
        <v>24746.59</v>
      </c>
      <c r="H781" s="86">
        <v>43234</v>
      </c>
      <c r="I781" s="61">
        <v>35556.71</v>
      </c>
    </row>
    <row r="782" spans="2:9">
      <c r="B782" s="86">
        <v>44610</v>
      </c>
      <c r="C782" s="61">
        <v>24838.68</v>
      </c>
      <c r="H782" s="86">
        <v>43235</v>
      </c>
      <c r="I782" s="61">
        <v>35543.94</v>
      </c>
    </row>
    <row r="783" spans="2:9">
      <c r="B783" s="86">
        <v>44609</v>
      </c>
      <c r="C783" s="61">
        <v>24879.32</v>
      </c>
      <c r="H783" s="86">
        <v>43236</v>
      </c>
      <c r="I783" s="61">
        <v>35387.879999999997</v>
      </c>
    </row>
    <row r="784" spans="2:9">
      <c r="B784" s="86">
        <v>44608</v>
      </c>
      <c r="C784" s="61">
        <v>24904.67</v>
      </c>
      <c r="H784" s="86">
        <v>43237</v>
      </c>
      <c r="I784" s="61">
        <v>35149.120000000003</v>
      </c>
    </row>
    <row r="785" spans="2:9">
      <c r="B785" s="86">
        <v>44607</v>
      </c>
      <c r="C785" s="61">
        <v>24941.93</v>
      </c>
      <c r="H785" s="86">
        <v>43238</v>
      </c>
      <c r="I785" s="61">
        <v>34848.300000000003</v>
      </c>
    </row>
    <row r="786" spans="2:9">
      <c r="B786" s="86">
        <v>44606</v>
      </c>
      <c r="C786" s="61">
        <v>24209.38</v>
      </c>
      <c r="H786" s="86">
        <v>43241</v>
      </c>
      <c r="I786" s="61">
        <v>34616.129999999997</v>
      </c>
    </row>
    <row r="787" spans="2:9">
      <c r="B787" s="86">
        <v>44603</v>
      </c>
      <c r="C787" s="61">
        <v>24958.45</v>
      </c>
      <c r="H787" s="86">
        <v>43242</v>
      </c>
      <c r="I787" s="61">
        <v>34651.24</v>
      </c>
    </row>
    <row r="788" spans="2:9">
      <c r="B788" s="86">
        <v>44602</v>
      </c>
      <c r="C788" s="61">
        <v>25290.42</v>
      </c>
      <c r="H788" s="86">
        <v>43243</v>
      </c>
      <c r="I788" s="61">
        <v>34344.910000000003</v>
      </c>
    </row>
    <row r="789" spans="2:9">
      <c r="B789" s="86">
        <v>44601</v>
      </c>
      <c r="C789" s="61">
        <v>25084.6</v>
      </c>
      <c r="H789" s="86">
        <v>43244</v>
      </c>
      <c r="I789" s="61">
        <v>34663.11</v>
      </c>
    </row>
    <row r="790" spans="2:9">
      <c r="B790" s="86">
        <v>44600</v>
      </c>
      <c r="C790" s="61">
        <v>24795.759999999998</v>
      </c>
      <c r="H790" s="86">
        <v>43245</v>
      </c>
      <c r="I790" s="61">
        <v>34924.870000000003</v>
      </c>
    </row>
    <row r="791" spans="2:9">
      <c r="B791" s="86">
        <v>44599</v>
      </c>
      <c r="C791" s="61">
        <v>24719.45</v>
      </c>
      <c r="H791" s="86">
        <v>43248</v>
      </c>
      <c r="I791" s="61">
        <v>35165.480000000003</v>
      </c>
    </row>
    <row r="792" spans="2:9">
      <c r="B792" s="86">
        <v>44596</v>
      </c>
      <c r="C792" s="61">
        <v>25154.14</v>
      </c>
      <c r="H792" s="86">
        <v>43249</v>
      </c>
      <c r="I792" s="61">
        <v>34949.24</v>
      </c>
    </row>
    <row r="793" spans="2:9">
      <c r="B793" s="86">
        <v>44595</v>
      </c>
      <c r="C793" s="61">
        <v>25217.200000000001</v>
      </c>
      <c r="H793" s="86">
        <v>43250</v>
      </c>
      <c r="I793" s="61">
        <v>34906.11</v>
      </c>
    </row>
    <row r="794" spans="2:9">
      <c r="B794" s="86">
        <v>44594</v>
      </c>
      <c r="C794" s="61">
        <v>25526.55</v>
      </c>
      <c r="H794" s="86">
        <v>43251</v>
      </c>
      <c r="I794" s="61">
        <v>35322.379999999997</v>
      </c>
    </row>
    <row r="795" spans="2:9">
      <c r="B795" s="86">
        <v>44593</v>
      </c>
      <c r="C795" s="61">
        <v>25234.89</v>
      </c>
      <c r="H795" s="86">
        <v>43252</v>
      </c>
      <c r="I795" s="61">
        <v>35227.26</v>
      </c>
    </row>
    <row r="796" spans="2:9">
      <c r="B796" s="86">
        <v>44592</v>
      </c>
      <c r="C796" s="61">
        <v>24894.62</v>
      </c>
      <c r="H796" s="86">
        <v>43255</v>
      </c>
      <c r="I796" s="61">
        <v>35011.89</v>
      </c>
    </row>
    <row r="797" spans="2:9">
      <c r="B797" s="86">
        <v>44589</v>
      </c>
      <c r="C797" s="61">
        <v>24553.040000000001</v>
      </c>
      <c r="H797" s="86">
        <v>43256</v>
      </c>
      <c r="I797" s="61">
        <v>34903.21</v>
      </c>
    </row>
    <row r="798" spans="2:9">
      <c r="B798" s="86">
        <v>44588</v>
      </c>
      <c r="C798" s="61">
        <v>24564.81</v>
      </c>
      <c r="H798" s="86">
        <v>43257</v>
      </c>
      <c r="I798" s="61">
        <v>35178.879999999997</v>
      </c>
    </row>
    <row r="799" spans="2:9">
      <c r="B799" s="86">
        <v>44586</v>
      </c>
      <c r="C799" s="61">
        <v>24805.75</v>
      </c>
      <c r="H799" s="86">
        <v>43258</v>
      </c>
      <c r="I799" s="61">
        <v>35463.08</v>
      </c>
    </row>
    <row r="800" spans="2:9">
      <c r="B800" s="86">
        <v>44585</v>
      </c>
      <c r="C800" s="61">
        <v>24620.720000000001</v>
      </c>
      <c r="H800" s="86">
        <v>43259</v>
      </c>
      <c r="I800" s="61">
        <v>35443.67</v>
      </c>
    </row>
    <row r="801" spans="2:9">
      <c r="B801" s="86">
        <v>44582</v>
      </c>
      <c r="C801" s="61">
        <v>25292.720000000001</v>
      </c>
      <c r="H801" s="86">
        <v>43262</v>
      </c>
      <c r="I801" s="61">
        <v>35483.47</v>
      </c>
    </row>
    <row r="802" spans="2:9">
      <c r="B802" s="86">
        <v>44581</v>
      </c>
      <c r="C802" s="61">
        <v>25492.99</v>
      </c>
      <c r="H802" s="86">
        <v>43263</v>
      </c>
      <c r="I802" s="61">
        <v>35692.519999999997</v>
      </c>
    </row>
    <row r="803" spans="2:9">
      <c r="B803" s="86">
        <v>44580</v>
      </c>
      <c r="C803" s="61">
        <v>25749.81</v>
      </c>
      <c r="H803" s="86">
        <v>43264</v>
      </c>
      <c r="I803" s="61">
        <v>35739.160000000003</v>
      </c>
    </row>
    <row r="804" spans="2:9">
      <c r="B804" s="86">
        <v>44579</v>
      </c>
      <c r="C804" s="61">
        <v>25998.14</v>
      </c>
      <c r="H804" s="86">
        <v>43265</v>
      </c>
      <c r="I804" s="61">
        <v>35599.82</v>
      </c>
    </row>
    <row r="805" spans="2:9">
      <c r="B805" s="86">
        <v>44578</v>
      </c>
      <c r="C805" s="61">
        <v>26278.07</v>
      </c>
      <c r="H805" s="86">
        <v>43266</v>
      </c>
      <c r="I805" s="61">
        <v>35622.14</v>
      </c>
    </row>
    <row r="806" spans="2:9">
      <c r="B806" s="86">
        <v>44575</v>
      </c>
      <c r="C806" s="61">
        <v>26202.97</v>
      </c>
      <c r="H806" s="86">
        <v>43269</v>
      </c>
      <c r="I806" s="61">
        <v>35548.26</v>
      </c>
    </row>
    <row r="807" spans="2:9">
      <c r="B807" s="86">
        <v>44574</v>
      </c>
      <c r="C807" s="61">
        <v>26205.87</v>
      </c>
      <c r="H807" s="86">
        <v>43270</v>
      </c>
      <c r="I807" s="61">
        <v>35286.74</v>
      </c>
    </row>
    <row r="808" spans="2:9">
      <c r="B808" s="86">
        <v>44573</v>
      </c>
      <c r="C808" s="61">
        <v>26140.68</v>
      </c>
      <c r="H808" s="86">
        <v>43271</v>
      </c>
      <c r="I808" s="61">
        <v>35547.33</v>
      </c>
    </row>
    <row r="809" spans="2:9">
      <c r="B809" s="86">
        <v>44572</v>
      </c>
      <c r="C809" s="61">
        <v>25915.89</v>
      </c>
      <c r="H809" s="86">
        <v>43272</v>
      </c>
      <c r="I809" s="61">
        <v>35432.39</v>
      </c>
    </row>
    <row r="810" spans="2:9">
      <c r="B810" s="86">
        <v>44571</v>
      </c>
      <c r="C810" s="61">
        <v>25840.62</v>
      </c>
      <c r="H810" s="86">
        <v>43273</v>
      </c>
      <c r="I810" s="61">
        <v>35689.599999999999</v>
      </c>
    </row>
    <row r="811" spans="2:9">
      <c r="B811" s="86">
        <v>44568</v>
      </c>
      <c r="C811" s="61">
        <v>25567.06</v>
      </c>
      <c r="H811" s="86">
        <v>43276</v>
      </c>
      <c r="I811" s="61">
        <v>35470.35</v>
      </c>
    </row>
    <row r="812" spans="2:9">
      <c r="B812" s="86">
        <v>44567</v>
      </c>
      <c r="C812" s="61">
        <v>25471.18</v>
      </c>
      <c r="H812" s="86">
        <v>43277</v>
      </c>
      <c r="I812" s="61">
        <v>35490.04</v>
      </c>
    </row>
    <row r="813" spans="2:9">
      <c r="B813" s="86">
        <v>44566</v>
      </c>
      <c r="C813" s="61">
        <v>25728.58</v>
      </c>
      <c r="H813" s="86">
        <v>43278</v>
      </c>
      <c r="I813" s="61">
        <v>35217.11</v>
      </c>
    </row>
    <row r="814" spans="2:9">
      <c r="B814" s="86">
        <v>44565</v>
      </c>
      <c r="C814" s="61">
        <v>25556.34</v>
      </c>
      <c r="H814" s="86">
        <v>43279</v>
      </c>
      <c r="I814" s="61">
        <v>35037.64</v>
      </c>
    </row>
    <row r="815" spans="2:9">
      <c r="B815" s="86">
        <v>44564</v>
      </c>
      <c r="C815" s="61">
        <v>25298.63</v>
      </c>
      <c r="H815" s="86">
        <v>43280</v>
      </c>
      <c r="I815" s="61">
        <v>35423.480000000003</v>
      </c>
    </row>
    <row r="816" spans="2:9">
      <c r="B816" s="86">
        <v>44561</v>
      </c>
      <c r="C816" s="61">
        <v>24908.71</v>
      </c>
      <c r="H816" s="86">
        <v>43283</v>
      </c>
      <c r="I816" s="61">
        <v>35264.410000000003</v>
      </c>
    </row>
    <row r="817" spans="2:9">
      <c r="B817" s="86">
        <v>44560</v>
      </c>
      <c r="C817" s="61">
        <v>24693.25</v>
      </c>
      <c r="H817" s="86">
        <v>43284</v>
      </c>
      <c r="I817" s="61">
        <v>35378.6</v>
      </c>
    </row>
    <row r="818" spans="2:9">
      <c r="B818" s="86">
        <v>44559</v>
      </c>
      <c r="C818" s="61">
        <v>24707.1</v>
      </c>
      <c r="H818" s="86">
        <v>43285</v>
      </c>
      <c r="I818" s="61">
        <v>35645.4</v>
      </c>
    </row>
    <row r="819" spans="2:9">
      <c r="B819" s="86">
        <v>44558</v>
      </c>
      <c r="C819" s="61">
        <v>24735.32</v>
      </c>
      <c r="H819" s="86">
        <v>43286</v>
      </c>
      <c r="I819" s="61">
        <v>35574.550000000003</v>
      </c>
    </row>
    <row r="820" spans="2:9">
      <c r="B820" s="86">
        <v>44557</v>
      </c>
      <c r="C820" s="61">
        <v>24524.36</v>
      </c>
      <c r="H820" s="86">
        <v>43287</v>
      </c>
      <c r="I820" s="61">
        <v>35657.86</v>
      </c>
    </row>
    <row r="821" spans="2:9">
      <c r="B821" s="86">
        <v>44554</v>
      </c>
      <c r="C821" s="61">
        <v>24405.96</v>
      </c>
      <c r="H821" s="86">
        <v>43290</v>
      </c>
      <c r="I821" s="61">
        <v>35934.720000000001</v>
      </c>
    </row>
    <row r="822" spans="2:9">
      <c r="B822" s="86">
        <v>44553</v>
      </c>
      <c r="C822" s="61">
        <v>24504.75</v>
      </c>
      <c r="H822" s="86">
        <v>43291</v>
      </c>
      <c r="I822" s="61">
        <v>36239.620000000003</v>
      </c>
    </row>
    <row r="823" spans="2:9">
      <c r="B823" s="86">
        <v>44552</v>
      </c>
      <c r="C823" s="61">
        <v>24336.62</v>
      </c>
      <c r="H823" s="86">
        <v>43292</v>
      </c>
      <c r="I823" s="61">
        <v>36265.93</v>
      </c>
    </row>
    <row r="824" spans="2:9">
      <c r="B824" s="86">
        <v>44551</v>
      </c>
      <c r="C824" s="61">
        <v>24063.78</v>
      </c>
      <c r="H824" s="86">
        <v>43293</v>
      </c>
      <c r="I824" s="61">
        <v>36548.410000000003</v>
      </c>
    </row>
    <row r="825" spans="2:9">
      <c r="B825" s="86">
        <v>44550</v>
      </c>
      <c r="C825" s="61">
        <v>23839.01</v>
      </c>
      <c r="H825" s="86">
        <v>43294</v>
      </c>
      <c r="I825" s="61">
        <v>36541.629999999997</v>
      </c>
    </row>
    <row r="826" spans="2:9">
      <c r="B826" s="86">
        <v>44547</v>
      </c>
      <c r="C826" s="61">
        <v>24371.37</v>
      </c>
      <c r="H826" s="86">
        <v>43297</v>
      </c>
      <c r="I826" s="61">
        <v>36323.769999999997</v>
      </c>
    </row>
    <row r="827" spans="2:9">
      <c r="B827" s="86">
        <v>44546</v>
      </c>
      <c r="C827" s="61">
        <v>24749.01</v>
      </c>
      <c r="H827" s="86">
        <v>43298</v>
      </c>
      <c r="I827" s="61">
        <v>36519.96</v>
      </c>
    </row>
    <row r="828" spans="2:9">
      <c r="B828" s="86">
        <v>44545</v>
      </c>
      <c r="C828" s="61">
        <v>24710.3</v>
      </c>
      <c r="H828" s="86">
        <v>43299</v>
      </c>
      <c r="I828" s="61">
        <v>36373.440000000002</v>
      </c>
    </row>
    <row r="829" spans="2:9">
      <c r="B829" s="86">
        <v>44544</v>
      </c>
      <c r="C829" s="61">
        <v>24858.79</v>
      </c>
      <c r="H829" s="86">
        <v>43300</v>
      </c>
      <c r="I829" s="61">
        <v>36351.230000000003</v>
      </c>
    </row>
    <row r="830" spans="2:9">
      <c r="B830" s="86">
        <v>44543</v>
      </c>
      <c r="C830" s="61">
        <v>24921.02</v>
      </c>
      <c r="H830" s="86">
        <v>43301</v>
      </c>
      <c r="I830" s="61">
        <v>36496.370000000003</v>
      </c>
    </row>
    <row r="831" spans="2:9">
      <c r="B831" s="86">
        <v>44540</v>
      </c>
      <c r="C831" s="61">
        <v>25126.240000000002</v>
      </c>
      <c r="H831" s="86">
        <v>43304</v>
      </c>
      <c r="I831" s="61">
        <v>36718.6</v>
      </c>
    </row>
    <row r="832" spans="2:9">
      <c r="B832" s="86">
        <v>44539</v>
      </c>
      <c r="C832" s="61">
        <v>25134.23</v>
      </c>
      <c r="H832" s="86">
        <v>43305</v>
      </c>
      <c r="I832" s="61">
        <v>36825.1</v>
      </c>
    </row>
    <row r="833" spans="2:9">
      <c r="B833" s="86">
        <v>44538</v>
      </c>
      <c r="C833" s="61">
        <v>25066.62</v>
      </c>
      <c r="H833" s="86">
        <v>43306</v>
      </c>
      <c r="I833" s="61">
        <v>36858.230000000003</v>
      </c>
    </row>
    <row r="834" spans="2:9">
      <c r="B834" s="86">
        <v>44537</v>
      </c>
      <c r="C834" s="61">
        <v>24646.18</v>
      </c>
      <c r="H834" s="86">
        <v>43307</v>
      </c>
      <c r="I834" s="61">
        <v>36984.639999999999</v>
      </c>
    </row>
    <row r="835" spans="2:9">
      <c r="B835" s="86">
        <v>44536</v>
      </c>
      <c r="C835" s="61">
        <v>24266.71</v>
      </c>
      <c r="H835" s="86">
        <v>43308</v>
      </c>
      <c r="I835" s="61">
        <v>37336.85</v>
      </c>
    </row>
    <row r="836" spans="2:9">
      <c r="B836" s="86">
        <v>44533</v>
      </c>
      <c r="C836" s="61">
        <v>24674.83</v>
      </c>
      <c r="H836" s="86">
        <v>43311</v>
      </c>
      <c r="I836" s="61">
        <v>37494.400000000001</v>
      </c>
    </row>
    <row r="837" spans="2:9">
      <c r="B837" s="86">
        <v>44532</v>
      </c>
      <c r="C837" s="61">
        <v>24968.91</v>
      </c>
      <c r="H837" s="86">
        <v>43312</v>
      </c>
      <c r="I837" s="61">
        <v>37606.58</v>
      </c>
    </row>
    <row r="838" spans="2:9">
      <c r="B838" s="86">
        <v>44531</v>
      </c>
      <c r="C838" s="61">
        <v>24632.06</v>
      </c>
      <c r="H838" s="86">
        <v>43313</v>
      </c>
      <c r="I838" s="61">
        <v>37521.620000000003</v>
      </c>
    </row>
    <row r="839" spans="2:9">
      <c r="B839" s="86">
        <v>44530</v>
      </c>
      <c r="C839" s="61">
        <v>24368.53</v>
      </c>
      <c r="H839" s="86">
        <v>43314</v>
      </c>
      <c r="I839" s="61">
        <v>37165.160000000003</v>
      </c>
    </row>
    <row r="840" spans="2:9">
      <c r="B840" s="86">
        <v>44529</v>
      </c>
      <c r="C840" s="61">
        <v>24469.99</v>
      </c>
      <c r="H840" s="86">
        <v>43315</v>
      </c>
      <c r="I840" s="61">
        <v>37556.160000000003</v>
      </c>
    </row>
    <row r="841" spans="2:9">
      <c r="B841" s="86">
        <v>44526</v>
      </c>
      <c r="C841" s="61">
        <v>24430.53</v>
      </c>
      <c r="H841" s="86">
        <v>43318</v>
      </c>
      <c r="I841" s="61">
        <v>37691.89</v>
      </c>
    </row>
    <row r="842" spans="2:9">
      <c r="B842" s="86">
        <v>44525</v>
      </c>
      <c r="C842" s="61">
        <v>25162.07</v>
      </c>
      <c r="H842" s="86">
        <v>43319</v>
      </c>
      <c r="I842" s="61">
        <v>37665.800000000003</v>
      </c>
    </row>
    <row r="843" spans="2:9">
      <c r="B843" s="86">
        <v>44524</v>
      </c>
      <c r="C843" s="61">
        <v>24988.18</v>
      </c>
      <c r="H843" s="86">
        <v>43320</v>
      </c>
      <c r="I843" s="61">
        <v>37887.56</v>
      </c>
    </row>
    <row r="844" spans="2:9">
      <c r="B844" s="86">
        <v>44523</v>
      </c>
      <c r="C844" s="61">
        <v>25114.82</v>
      </c>
      <c r="H844" s="86">
        <v>43321</v>
      </c>
      <c r="I844" s="61">
        <v>38024.370000000003</v>
      </c>
    </row>
    <row r="845" spans="2:9">
      <c r="B845" s="86">
        <v>44522</v>
      </c>
      <c r="C845" s="61">
        <v>24990.27</v>
      </c>
      <c r="H845" s="86">
        <v>43322</v>
      </c>
      <c r="I845" s="61">
        <v>37869.230000000003</v>
      </c>
    </row>
    <row r="846" spans="2:9">
      <c r="B846" s="86">
        <v>44518</v>
      </c>
      <c r="C846" s="61">
        <v>25483.23</v>
      </c>
      <c r="H846" s="86">
        <v>43325</v>
      </c>
      <c r="I846" s="61">
        <v>37644.9</v>
      </c>
    </row>
    <row r="847" spans="2:9">
      <c r="B847" s="86">
        <v>44517</v>
      </c>
      <c r="C847" s="61">
        <v>25675.200000000001</v>
      </c>
      <c r="H847" s="86">
        <v>43326</v>
      </c>
      <c r="I847" s="61">
        <v>37852</v>
      </c>
    </row>
    <row r="848" spans="2:9">
      <c r="B848" s="86">
        <v>44516</v>
      </c>
      <c r="C848" s="61">
        <v>25819.49</v>
      </c>
      <c r="H848" s="86">
        <v>43328</v>
      </c>
      <c r="I848" s="61">
        <v>37663.56</v>
      </c>
    </row>
    <row r="849" spans="2:9">
      <c r="B849" s="86">
        <v>44515</v>
      </c>
      <c r="C849" s="61">
        <v>25977.61</v>
      </c>
      <c r="H849" s="86">
        <v>43329</v>
      </c>
      <c r="I849" s="61">
        <v>37947.879999999997</v>
      </c>
    </row>
    <row r="850" spans="2:9">
      <c r="B850" s="86">
        <v>44512</v>
      </c>
      <c r="C850" s="61">
        <v>25968.02</v>
      </c>
      <c r="H850" s="86">
        <v>43332</v>
      </c>
      <c r="I850" s="61">
        <v>38278.75</v>
      </c>
    </row>
    <row r="851" spans="2:9">
      <c r="B851" s="86">
        <v>44511</v>
      </c>
      <c r="C851" s="61">
        <v>25639.32</v>
      </c>
      <c r="H851" s="86">
        <v>43333</v>
      </c>
      <c r="I851" s="61">
        <v>38285.75</v>
      </c>
    </row>
    <row r="852" spans="2:9">
      <c r="B852" s="86">
        <v>44510</v>
      </c>
      <c r="C852" s="61">
        <v>25839.47</v>
      </c>
      <c r="H852" s="86">
        <v>43335</v>
      </c>
      <c r="I852" s="61">
        <v>38336.76</v>
      </c>
    </row>
    <row r="853" spans="2:9">
      <c r="B853" s="86">
        <v>44509</v>
      </c>
      <c r="C853" s="61">
        <v>25878.28</v>
      </c>
      <c r="H853" s="86">
        <v>43336</v>
      </c>
      <c r="I853" s="61">
        <v>38251.800000000003</v>
      </c>
    </row>
    <row r="854" spans="2:9">
      <c r="B854" s="86">
        <v>44508</v>
      </c>
      <c r="C854" s="61">
        <v>25913.09</v>
      </c>
      <c r="H854" s="86">
        <v>43339</v>
      </c>
      <c r="I854" s="61">
        <v>38694.11</v>
      </c>
    </row>
    <row r="855" spans="2:9">
      <c r="B855" s="86">
        <v>44504</v>
      </c>
      <c r="C855" s="61">
        <v>25695.5</v>
      </c>
      <c r="H855" s="86">
        <v>43340</v>
      </c>
      <c r="I855" s="61">
        <v>38896.629999999997</v>
      </c>
    </row>
    <row r="856" spans="2:9">
      <c r="B856" s="86">
        <v>44503</v>
      </c>
      <c r="C856" s="61">
        <v>25569.86</v>
      </c>
      <c r="H856" s="86">
        <v>43341</v>
      </c>
      <c r="I856" s="61">
        <v>38722.93</v>
      </c>
    </row>
    <row r="857" spans="2:9">
      <c r="B857" s="86">
        <v>44502</v>
      </c>
      <c r="C857" s="61">
        <v>25655.51</v>
      </c>
      <c r="H857" s="86">
        <v>43342</v>
      </c>
      <c r="I857" s="61">
        <v>38690.1</v>
      </c>
    </row>
    <row r="858" spans="2:9">
      <c r="B858" s="86">
        <v>44501</v>
      </c>
      <c r="C858" s="61">
        <v>25710.799999999999</v>
      </c>
      <c r="H858" s="86">
        <v>43343</v>
      </c>
      <c r="I858" s="61">
        <v>38645.07</v>
      </c>
    </row>
    <row r="859" spans="2:9">
      <c r="B859" s="86">
        <v>44498</v>
      </c>
      <c r="C859" s="61">
        <v>25340.83</v>
      </c>
      <c r="H859" s="86">
        <v>43346</v>
      </c>
      <c r="I859" s="61">
        <v>38312.519999999997</v>
      </c>
    </row>
    <row r="860" spans="2:9">
      <c r="B860" s="86">
        <v>44497</v>
      </c>
      <c r="C860" s="61">
        <v>25606.99</v>
      </c>
      <c r="H860" s="86">
        <v>43347</v>
      </c>
      <c r="I860" s="61">
        <v>38157.919999999998</v>
      </c>
    </row>
    <row r="861" spans="2:9">
      <c r="B861" s="86">
        <v>44496</v>
      </c>
      <c r="C861" s="61">
        <v>26113.62</v>
      </c>
      <c r="H861" s="86">
        <v>43348</v>
      </c>
      <c r="I861" s="61">
        <v>38018.31</v>
      </c>
    </row>
    <row r="862" spans="2:9">
      <c r="B862" s="86">
        <v>44495</v>
      </c>
      <c r="C862" s="61">
        <v>26196.05</v>
      </c>
      <c r="H862" s="86">
        <v>43349</v>
      </c>
      <c r="I862" s="61">
        <v>38242.81</v>
      </c>
    </row>
    <row r="863" spans="2:9">
      <c r="B863" s="86">
        <v>44494</v>
      </c>
      <c r="C863" s="61">
        <v>25967.040000000001</v>
      </c>
      <c r="H863" s="86">
        <v>43350</v>
      </c>
      <c r="I863" s="61">
        <v>38389.82</v>
      </c>
    </row>
    <row r="864" spans="2:9">
      <c r="B864" s="86">
        <v>44491</v>
      </c>
      <c r="C864" s="61">
        <v>25952.01</v>
      </c>
      <c r="H864" s="86">
        <v>43353</v>
      </c>
      <c r="I864" s="61">
        <v>37922.17</v>
      </c>
    </row>
    <row r="865" spans="2:9">
      <c r="B865" s="86">
        <v>44490</v>
      </c>
      <c r="C865" s="61">
        <v>26042.59</v>
      </c>
      <c r="H865" s="86">
        <v>43354</v>
      </c>
      <c r="I865" s="61">
        <v>37413.129999999997</v>
      </c>
    </row>
    <row r="866" spans="2:9">
      <c r="B866" s="86">
        <v>44489</v>
      </c>
      <c r="C866" s="61">
        <v>26165.78</v>
      </c>
      <c r="H866" s="86">
        <v>43355</v>
      </c>
      <c r="I866" s="61">
        <v>37717.96</v>
      </c>
    </row>
    <row r="867" spans="2:9">
      <c r="B867" s="86">
        <v>44488</v>
      </c>
      <c r="C867" s="61">
        <v>26383.71</v>
      </c>
      <c r="H867" s="86">
        <v>43357</v>
      </c>
      <c r="I867" s="61">
        <v>38090.639999999999</v>
      </c>
    </row>
    <row r="868" spans="2:9">
      <c r="B868" s="86">
        <v>44487</v>
      </c>
      <c r="C868" s="61">
        <v>26467.21</v>
      </c>
      <c r="H868" s="86">
        <v>43360</v>
      </c>
      <c r="I868" s="61">
        <v>37585.51</v>
      </c>
    </row>
    <row r="869" spans="2:9">
      <c r="B869" s="86">
        <v>44483</v>
      </c>
      <c r="C869" s="61">
        <v>26268.83</v>
      </c>
      <c r="H869" s="86">
        <v>43361</v>
      </c>
      <c r="I869" s="61">
        <v>37290.67</v>
      </c>
    </row>
    <row r="870" spans="2:9">
      <c r="B870" s="86">
        <v>44482</v>
      </c>
      <c r="C870" s="61">
        <v>26013.19</v>
      </c>
      <c r="H870" s="86">
        <v>43362</v>
      </c>
      <c r="I870" s="61">
        <v>37121.22</v>
      </c>
    </row>
    <row r="871" spans="2:9">
      <c r="B871" s="86">
        <v>44481</v>
      </c>
      <c r="C871" s="61">
        <v>25770.01</v>
      </c>
      <c r="H871" s="86">
        <v>43364</v>
      </c>
      <c r="I871" s="61">
        <v>36841.599999999999</v>
      </c>
    </row>
    <row r="872" spans="2:9">
      <c r="B872" s="86">
        <v>44480</v>
      </c>
      <c r="C872" s="61">
        <v>25704.1</v>
      </c>
      <c r="H872" s="86">
        <v>43367</v>
      </c>
      <c r="I872" s="61">
        <v>36305.019999999997</v>
      </c>
    </row>
    <row r="873" spans="2:9">
      <c r="B873" s="86">
        <v>44477</v>
      </c>
      <c r="C873" s="61">
        <v>25631.38</v>
      </c>
      <c r="H873" s="86">
        <v>43368</v>
      </c>
      <c r="I873" s="61">
        <v>36652.06</v>
      </c>
    </row>
    <row r="874" spans="2:9">
      <c r="B874" s="86">
        <v>44476</v>
      </c>
      <c r="C874" s="61">
        <v>25481.26</v>
      </c>
      <c r="H874" s="86">
        <v>43369</v>
      </c>
      <c r="I874" s="61">
        <v>36542.269999999997</v>
      </c>
    </row>
    <row r="875" spans="2:9">
      <c r="B875" s="86">
        <v>44475</v>
      </c>
      <c r="C875" s="61">
        <v>25274.48</v>
      </c>
      <c r="H875" s="86">
        <v>43370</v>
      </c>
      <c r="I875" s="61">
        <v>36324.17</v>
      </c>
    </row>
    <row r="876" spans="2:9">
      <c r="B876" s="86">
        <v>44474</v>
      </c>
      <c r="C876" s="61">
        <v>25526.98</v>
      </c>
      <c r="H876" s="86">
        <v>43371</v>
      </c>
      <c r="I876" s="61">
        <v>36227.14</v>
      </c>
    </row>
    <row r="877" spans="2:9">
      <c r="B877" s="86">
        <v>44473</v>
      </c>
      <c r="C877" s="61">
        <v>25339.32</v>
      </c>
      <c r="H877" s="86">
        <v>43374</v>
      </c>
      <c r="I877" s="61">
        <v>36526.14</v>
      </c>
    </row>
    <row r="878" spans="2:9">
      <c r="B878" s="86">
        <v>44470</v>
      </c>
      <c r="C878" s="61">
        <v>25111.25</v>
      </c>
      <c r="H878" s="86">
        <v>43376</v>
      </c>
      <c r="I878" s="61">
        <v>35975.629999999997</v>
      </c>
    </row>
    <row r="879" spans="2:9">
      <c r="B879" s="86">
        <v>44469</v>
      </c>
      <c r="C879" s="61">
        <v>25234.57</v>
      </c>
      <c r="H879" s="86">
        <v>43377</v>
      </c>
      <c r="I879" s="61">
        <v>35169.160000000003</v>
      </c>
    </row>
    <row r="880" spans="2:9">
      <c r="B880" s="86">
        <v>44468</v>
      </c>
      <c r="C880" s="61">
        <v>25367.99</v>
      </c>
      <c r="H880" s="86">
        <v>43378</v>
      </c>
      <c r="I880" s="61">
        <v>34376.99</v>
      </c>
    </row>
    <row r="881" spans="2:9">
      <c r="B881" s="86">
        <v>44467</v>
      </c>
      <c r="C881" s="61">
        <v>25421.46</v>
      </c>
      <c r="H881" s="86">
        <v>43381</v>
      </c>
      <c r="I881" s="61">
        <v>34474.379999999997</v>
      </c>
    </row>
    <row r="882" spans="2:9">
      <c r="B882" s="86">
        <v>44466</v>
      </c>
      <c r="C882" s="61">
        <v>25573.99</v>
      </c>
      <c r="H882" s="86">
        <v>43382</v>
      </c>
      <c r="I882" s="61">
        <v>34299.47</v>
      </c>
    </row>
    <row r="883" spans="2:9">
      <c r="B883" s="86">
        <v>44463</v>
      </c>
      <c r="C883" s="61">
        <v>25571.24</v>
      </c>
      <c r="H883" s="86">
        <v>43383</v>
      </c>
      <c r="I883" s="61">
        <v>34760.89</v>
      </c>
    </row>
    <row r="884" spans="2:9">
      <c r="B884" s="86">
        <v>44462</v>
      </c>
      <c r="C884" s="61">
        <v>25527.919999999998</v>
      </c>
      <c r="H884" s="86">
        <v>43384</v>
      </c>
      <c r="I884" s="61">
        <v>34001.15</v>
      </c>
    </row>
    <row r="885" spans="2:9">
      <c r="B885" s="86">
        <v>44461</v>
      </c>
      <c r="C885" s="61">
        <v>25132.15</v>
      </c>
      <c r="H885" s="86">
        <v>43385</v>
      </c>
      <c r="I885" s="61">
        <v>34733.58</v>
      </c>
    </row>
    <row r="886" spans="2:9">
      <c r="B886" s="86">
        <v>44460</v>
      </c>
      <c r="C886" s="61">
        <v>25154.16</v>
      </c>
      <c r="H886" s="86">
        <v>43388</v>
      </c>
      <c r="I886" s="61">
        <v>34865.1</v>
      </c>
    </row>
    <row r="887" spans="2:9">
      <c r="B887" s="86">
        <v>44459</v>
      </c>
      <c r="C887" s="61">
        <v>24917.72</v>
      </c>
      <c r="H887" s="86">
        <v>43389</v>
      </c>
      <c r="I887" s="61">
        <v>35162.480000000003</v>
      </c>
    </row>
    <row r="888" spans="2:9">
      <c r="B888" s="86">
        <v>44456</v>
      </c>
      <c r="C888" s="61">
        <v>25187.34</v>
      </c>
      <c r="H888" s="86">
        <v>43390</v>
      </c>
      <c r="I888" s="61">
        <v>34779.58</v>
      </c>
    </row>
    <row r="889" spans="2:9">
      <c r="B889" s="86">
        <v>44455</v>
      </c>
      <c r="C889" s="61">
        <v>25250.87</v>
      </c>
      <c r="H889" s="86">
        <v>43392</v>
      </c>
      <c r="I889" s="61">
        <v>34315.629999999997</v>
      </c>
    </row>
    <row r="890" spans="2:9">
      <c r="B890" s="86">
        <v>44454</v>
      </c>
      <c r="C890" s="61">
        <v>25093.22</v>
      </c>
      <c r="H890" s="86">
        <v>43395</v>
      </c>
      <c r="I890" s="61">
        <v>34134.379999999997</v>
      </c>
    </row>
    <row r="891" spans="2:9">
      <c r="B891" s="86">
        <v>44453</v>
      </c>
      <c r="C891" s="61">
        <v>24893.51</v>
      </c>
      <c r="H891" s="86">
        <v>43396</v>
      </c>
      <c r="I891" s="61">
        <v>33847.230000000003</v>
      </c>
    </row>
    <row r="892" spans="2:9">
      <c r="B892" s="86">
        <v>44452</v>
      </c>
      <c r="C892" s="61">
        <v>24858.12</v>
      </c>
      <c r="H892" s="86">
        <v>43397</v>
      </c>
      <c r="I892" s="61">
        <v>34033.96</v>
      </c>
    </row>
    <row r="893" spans="2:9">
      <c r="B893" s="86">
        <v>44448</v>
      </c>
      <c r="C893" s="61">
        <v>24878.09</v>
      </c>
      <c r="H893" s="86">
        <v>43398</v>
      </c>
      <c r="I893" s="61">
        <v>33690.089999999997</v>
      </c>
    </row>
    <row r="894" spans="2:9">
      <c r="B894" s="86">
        <v>44447</v>
      </c>
      <c r="C894" s="61">
        <v>24855.5</v>
      </c>
      <c r="H894" s="86">
        <v>43399</v>
      </c>
      <c r="I894" s="61">
        <v>33349.31</v>
      </c>
    </row>
    <row r="895" spans="2:9">
      <c r="B895" s="86">
        <v>44446</v>
      </c>
      <c r="C895" s="61">
        <v>24857.27</v>
      </c>
      <c r="H895" s="86">
        <v>43402</v>
      </c>
      <c r="I895" s="61">
        <v>34067.4</v>
      </c>
    </row>
    <row r="896" spans="2:9">
      <c r="B896" s="86">
        <v>44445</v>
      </c>
      <c r="C896" s="61">
        <v>24879.79</v>
      </c>
      <c r="H896" s="86">
        <v>43403</v>
      </c>
      <c r="I896" s="61">
        <v>33891.129999999997</v>
      </c>
    </row>
    <row r="897" spans="2:9">
      <c r="B897" s="86">
        <v>44442</v>
      </c>
      <c r="C897" s="61">
        <v>24802.17</v>
      </c>
      <c r="H897" s="86">
        <v>43404</v>
      </c>
      <c r="I897" s="61">
        <v>34442.050000000003</v>
      </c>
    </row>
    <row r="898" spans="2:9">
      <c r="B898" s="86">
        <v>44441</v>
      </c>
      <c r="C898" s="61">
        <v>24674.11</v>
      </c>
      <c r="H898" s="86">
        <v>43405</v>
      </c>
      <c r="I898" s="61">
        <v>34431.97</v>
      </c>
    </row>
    <row r="899" spans="2:9">
      <c r="B899" s="86">
        <v>44440</v>
      </c>
      <c r="C899" s="61">
        <v>24445.62</v>
      </c>
      <c r="H899" s="86">
        <v>43406</v>
      </c>
      <c r="I899" s="61">
        <v>35011.65</v>
      </c>
    </row>
    <row r="900" spans="2:9">
      <c r="B900" s="86">
        <v>44439</v>
      </c>
      <c r="C900" s="61">
        <v>24525.71</v>
      </c>
      <c r="H900" s="86">
        <v>43409</v>
      </c>
      <c r="I900" s="61">
        <v>34950.92</v>
      </c>
    </row>
    <row r="901" spans="2:9">
      <c r="B901" s="86">
        <v>44438</v>
      </c>
      <c r="C901" s="61">
        <v>24237.8</v>
      </c>
      <c r="H901" s="86">
        <v>43410</v>
      </c>
      <c r="I901" s="61">
        <v>34991.910000000003</v>
      </c>
    </row>
    <row r="902" spans="2:9">
      <c r="B902" s="86">
        <v>44435</v>
      </c>
      <c r="C902" s="61">
        <v>23914.48</v>
      </c>
      <c r="H902" s="86">
        <v>43411</v>
      </c>
      <c r="I902" s="61">
        <v>35237.68</v>
      </c>
    </row>
    <row r="903" spans="2:9">
      <c r="B903" s="86">
        <v>44434</v>
      </c>
      <c r="C903" s="61">
        <v>23816.68</v>
      </c>
      <c r="H903" s="86">
        <v>43413</v>
      </c>
      <c r="I903" s="61">
        <v>35158.550000000003</v>
      </c>
    </row>
    <row r="904" spans="2:9">
      <c r="B904" s="86">
        <v>44433</v>
      </c>
      <c r="C904" s="61">
        <v>23813.43</v>
      </c>
      <c r="H904" s="86">
        <v>43416</v>
      </c>
      <c r="I904" s="61">
        <v>34812.99</v>
      </c>
    </row>
    <row r="905" spans="2:9">
      <c r="B905" s="86">
        <v>44432</v>
      </c>
      <c r="C905" s="61">
        <v>23799.1</v>
      </c>
      <c r="H905" s="86">
        <v>43417</v>
      </c>
      <c r="I905" s="61">
        <v>35144.49</v>
      </c>
    </row>
    <row r="906" spans="2:9">
      <c r="B906" s="86">
        <v>44431</v>
      </c>
      <c r="C906" s="61">
        <v>23615.61</v>
      </c>
      <c r="H906" s="86">
        <v>43418</v>
      </c>
      <c r="I906" s="61">
        <v>35141.99</v>
      </c>
    </row>
    <row r="907" spans="2:9">
      <c r="B907" s="86">
        <v>44428</v>
      </c>
      <c r="C907" s="61">
        <v>23549.09</v>
      </c>
      <c r="H907" s="86">
        <v>43419</v>
      </c>
      <c r="I907" s="61">
        <v>35260.54</v>
      </c>
    </row>
    <row r="908" spans="2:9">
      <c r="B908" s="86">
        <v>44426</v>
      </c>
      <c r="C908" s="61">
        <v>23718.57</v>
      </c>
      <c r="H908" s="86">
        <v>43420</v>
      </c>
      <c r="I908" s="61">
        <v>35457.160000000003</v>
      </c>
    </row>
    <row r="909" spans="2:9">
      <c r="B909" s="86">
        <v>44425</v>
      </c>
      <c r="C909" s="61">
        <v>23784.05</v>
      </c>
      <c r="H909" s="86">
        <v>43423</v>
      </c>
      <c r="I909" s="61">
        <v>35774.879999999997</v>
      </c>
    </row>
    <row r="910" spans="2:9">
      <c r="B910" s="86">
        <v>44424</v>
      </c>
      <c r="C910" s="61">
        <v>23708.38</v>
      </c>
      <c r="H910" s="86">
        <v>43424</v>
      </c>
      <c r="I910" s="61">
        <v>35474.51</v>
      </c>
    </row>
    <row r="911" spans="2:9">
      <c r="B911" s="86">
        <v>44421</v>
      </c>
      <c r="C911" s="61">
        <v>23659.78</v>
      </c>
      <c r="H911" s="86">
        <v>43425</v>
      </c>
      <c r="I911" s="61">
        <v>35199.800000000003</v>
      </c>
    </row>
    <row r="912" spans="2:9">
      <c r="B912" s="86">
        <v>44420</v>
      </c>
      <c r="C912" s="61">
        <v>23424.04</v>
      </c>
      <c r="H912" s="86">
        <v>43426</v>
      </c>
      <c r="I912" s="61">
        <v>34981.019999999997</v>
      </c>
    </row>
    <row r="913" spans="2:9">
      <c r="B913" s="86">
        <v>44419</v>
      </c>
      <c r="C913" s="61">
        <v>23303.89</v>
      </c>
      <c r="H913" s="86">
        <v>43430</v>
      </c>
      <c r="I913" s="61">
        <v>35354.080000000002</v>
      </c>
    </row>
    <row r="914" spans="2:9">
      <c r="B914" s="86">
        <v>44418</v>
      </c>
      <c r="C914" s="61">
        <v>23300.36</v>
      </c>
      <c r="H914" s="86">
        <v>43431</v>
      </c>
      <c r="I914" s="61">
        <v>35513.14</v>
      </c>
    </row>
    <row r="915" spans="2:9">
      <c r="B915" s="86">
        <v>44417</v>
      </c>
      <c r="C915" s="61">
        <v>23269.119999999999</v>
      </c>
      <c r="H915" s="86">
        <v>43432</v>
      </c>
      <c r="I915" s="61">
        <v>35716.949999999997</v>
      </c>
    </row>
    <row r="916" spans="2:9">
      <c r="B916" s="86">
        <v>44414</v>
      </c>
      <c r="C916" s="61">
        <v>23238.83</v>
      </c>
      <c r="H916" s="86">
        <v>43433</v>
      </c>
      <c r="I916" s="61">
        <v>36170.410000000003</v>
      </c>
    </row>
    <row r="917" spans="2:9">
      <c r="B917" s="86">
        <v>44413</v>
      </c>
      <c r="C917" s="61">
        <v>23319.53</v>
      </c>
      <c r="H917" s="86">
        <v>43434</v>
      </c>
      <c r="I917" s="61">
        <v>36194.300000000003</v>
      </c>
    </row>
    <row r="918" spans="2:9">
      <c r="B918" s="86">
        <v>44412</v>
      </c>
      <c r="C918" s="61">
        <v>23265.07</v>
      </c>
      <c r="H918" s="86">
        <v>43437</v>
      </c>
      <c r="I918" s="61">
        <v>36241</v>
      </c>
    </row>
    <row r="919" spans="2:9">
      <c r="B919" s="86">
        <v>44411</v>
      </c>
      <c r="C919" s="61">
        <v>23081.86</v>
      </c>
      <c r="H919" s="86">
        <v>43438</v>
      </c>
      <c r="I919" s="61">
        <v>36134.31</v>
      </c>
    </row>
    <row r="920" spans="2:9">
      <c r="B920" s="86">
        <v>44410</v>
      </c>
      <c r="C920" s="61">
        <v>22730.42</v>
      </c>
      <c r="H920" s="86">
        <v>43439</v>
      </c>
      <c r="I920" s="61">
        <v>35884.410000000003</v>
      </c>
    </row>
    <row r="921" spans="2:9">
      <c r="B921" s="86">
        <v>44407</v>
      </c>
      <c r="C921" s="61">
        <v>22554.26</v>
      </c>
      <c r="H921" s="86">
        <v>43440</v>
      </c>
      <c r="I921" s="61">
        <v>35312.129999999997</v>
      </c>
    </row>
    <row r="922" spans="2:9">
      <c r="B922" s="86">
        <v>44406</v>
      </c>
      <c r="C922" s="61">
        <v>22576.34</v>
      </c>
      <c r="H922" s="86">
        <v>43441</v>
      </c>
      <c r="I922" s="61">
        <v>35673.25</v>
      </c>
    </row>
    <row r="923" spans="2:9">
      <c r="B923" s="86">
        <v>44405</v>
      </c>
      <c r="C923" s="61">
        <v>22472.95</v>
      </c>
      <c r="H923" s="86">
        <v>43444</v>
      </c>
      <c r="I923" s="61">
        <v>34959.72</v>
      </c>
    </row>
    <row r="924" spans="2:9">
      <c r="B924" s="86">
        <v>44404</v>
      </c>
      <c r="C924" s="61">
        <v>22518.799999999999</v>
      </c>
      <c r="H924" s="86">
        <v>43445</v>
      </c>
      <c r="I924" s="61">
        <v>35150.01</v>
      </c>
    </row>
    <row r="925" spans="2:9">
      <c r="B925" s="86">
        <v>44403</v>
      </c>
      <c r="C925" s="61">
        <v>22628.19</v>
      </c>
      <c r="H925" s="86">
        <v>43446</v>
      </c>
      <c r="I925" s="61">
        <v>35779.07</v>
      </c>
    </row>
    <row r="926" spans="2:9">
      <c r="B926" s="86">
        <v>44400</v>
      </c>
      <c r="C926" s="61">
        <v>22673.35</v>
      </c>
      <c r="H926" s="86">
        <v>43447</v>
      </c>
      <c r="I926" s="61">
        <v>35929.64</v>
      </c>
    </row>
    <row r="927" spans="2:9">
      <c r="B927" s="86">
        <v>44399</v>
      </c>
      <c r="C927" s="61">
        <v>22621.45</v>
      </c>
      <c r="H927" s="86">
        <v>43448</v>
      </c>
      <c r="I927" s="61">
        <v>35962.93</v>
      </c>
    </row>
    <row r="928" spans="2:9">
      <c r="B928" s="86">
        <v>44397</v>
      </c>
      <c r="C928" s="61">
        <v>22344.81</v>
      </c>
      <c r="H928" s="86">
        <v>43451</v>
      </c>
      <c r="I928" s="61">
        <v>36270.07</v>
      </c>
    </row>
    <row r="929" spans="2:9">
      <c r="B929" s="86">
        <v>44396</v>
      </c>
      <c r="C929" s="61">
        <v>22516.71</v>
      </c>
      <c r="H929" s="86">
        <v>43452</v>
      </c>
      <c r="I929" s="61">
        <v>36347.08</v>
      </c>
    </row>
    <row r="930" spans="2:9">
      <c r="B930" s="86">
        <v>44393</v>
      </c>
      <c r="C930" s="61">
        <v>22761.200000000001</v>
      </c>
      <c r="H930" s="86">
        <v>43453</v>
      </c>
      <c r="I930" s="61">
        <v>36484.33</v>
      </c>
    </row>
    <row r="931" spans="2:9">
      <c r="B931" s="86">
        <v>44392</v>
      </c>
      <c r="C931" s="61">
        <v>22762.34</v>
      </c>
      <c r="H931" s="86">
        <v>43454</v>
      </c>
      <c r="I931" s="61">
        <v>36431.67</v>
      </c>
    </row>
    <row r="932" spans="2:9">
      <c r="B932" s="86">
        <v>44391</v>
      </c>
      <c r="C932" s="61">
        <v>22656.78</v>
      </c>
      <c r="H932" s="86">
        <v>43455</v>
      </c>
      <c r="I932" s="61">
        <v>35742.07</v>
      </c>
    </row>
    <row r="933" spans="2:9">
      <c r="B933" s="86">
        <v>44390</v>
      </c>
      <c r="C933" s="61">
        <v>22595.49</v>
      </c>
      <c r="H933" s="86">
        <v>43458</v>
      </c>
      <c r="I933" s="61">
        <v>35470.15</v>
      </c>
    </row>
    <row r="934" spans="2:9">
      <c r="B934" s="86">
        <v>44389</v>
      </c>
      <c r="C934" s="61">
        <v>22424.39</v>
      </c>
      <c r="H934" s="86">
        <v>43460</v>
      </c>
      <c r="I934" s="61">
        <v>35649.94</v>
      </c>
    </row>
    <row r="935" spans="2:9">
      <c r="B935" s="86">
        <v>44386</v>
      </c>
      <c r="C935" s="61">
        <v>22420.36</v>
      </c>
      <c r="H935" s="86">
        <v>43461</v>
      </c>
      <c r="I935" s="61">
        <v>35807.279999999999</v>
      </c>
    </row>
    <row r="936" spans="2:9">
      <c r="B936" s="86">
        <v>44385</v>
      </c>
      <c r="C936" s="61">
        <v>22473.81</v>
      </c>
      <c r="H936" s="86">
        <v>43462</v>
      </c>
      <c r="I936" s="61">
        <v>36076.720000000001</v>
      </c>
    </row>
    <row r="937" spans="2:9">
      <c r="B937" s="86">
        <v>44384</v>
      </c>
      <c r="C937" s="61">
        <v>22683.66</v>
      </c>
      <c r="H937" s="86">
        <v>43465</v>
      </c>
      <c r="I937" s="61">
        <v>36068.33</v>
      </c>
    </row>
    <row r="938" spans="2:9">
      <c r="B938" s="86">
        <v>44383</v>
      </c>
      <c r="C938" s="61">
        <v>22595.93</v>
      </c>
      <c r="H938" s="86">
        <v>43466</v>
      </c>
      <c r="I938" s="61">
        <v>36254.57</v>
      </c>
    </row>
    <row r="939" spans="2:9">
      <c r="B939" s="86">
        <v>44382</v>
      </c>
      <c r="C939" s="61">
        <v>22618.97</v>
      </c>
      <c r="H939" s="86">
        <v>43467</v>
      </c>
      <c r="I939" s="61">
        <v>35891.519999999997</v>
      </c>
    </row>
    <row r="940" spans="2:9">
      <c r="B940" s="86">
        <v>44379</v>
      </c>
      <c r="C940" s="61">
        <v>22456.66</v>
      </c>
      <c r="H940" s="86">
        <v>43468</v>
      </c>
      <c r="I940" s="61">
        <v>35513.71</v>
      </c>
    </row>
    <row r="941" spans="2:9">
      <c r="B941" s="86">
        <v>44378</v>
      </c>
      <c r="C941" s="61">
        <v>22396.400000000001</v>
      </c>
      <c r="H941" s="86">
        <v>43469</v>
      </c>
      <c r="I941" s="61">
        <v>35695.1</v>
      </c>
    </row>
    <row r="942" spans="2:9">
      <c r="B942" s="86">
        <v>44377</v>
      </c>
      <c r="C942" s="61">
        <v>22455.7</v>
      </c>
      <c r="H942" s="86">
        <v>43472</v>
      </c>
      <c r="I942" s="61">
        <v>35850.160000000003</v>
      </c>
    </row>
    <row r="943" spans="2:9">
      <c r="B943" s="86">
        <v>44376</v>
      </c>
      <c r="C943" s="61">
        <v>22493.599999999999</v>
      </c>
      <c r="H943" s="86">
        <v>43473</v>
      </c>
      <c r="I943" s="61">
        <v>35980.93</v>
      </c>
    </row>
    <row r="944" spans="2:9">
      <c r="B944" s="86">
        <v>44375</v>
      </c>
      <c r="C944" s="61">
        <v>22578.86</v>
      </c>
      <c r="H944" s="86">
        <v>43474</v>
      </c>
      <c r="I944" s="61">
        <v>36212.910000000003</v>
      </c>
    </row>
    <row r="945" spans="2:9">
      <c r="B945" s="86">
        <v>44372</v>
      </c>
      <c r="C945" s="61">
        <v>22644.06</v>
      </c>
      <c r="H945" s="86">
        <v>43475</v>
      </c>
      <c r="I945" s="61">
        <v>36106.5</v>
      </c>
    </row>
    <row r="946" spans="2:9">
      <c r="B946" s="86">
        <v>44371</v>
      </c>
      <c r="C946" s="61">
        <v>22544.26</v>
      </c>
      <c r="H946" s="86">
        <v>43476</v>
      </c>
      <c r="I946" s="61">
        <v>36009.839999999997</v>
      </c>
    </row>
    <row r="947" spans="2:9">
      <c r="B947" s="86">
        <v>44370</v>
      </c>
      <c r="C947" s="61">
        <v>22395.25</v>
      </c>
      <c r="H947" s="86">
        <v>43479</v>
      </c>
      <c r="I947" s="61">
        <v>35853.56</v>
      </c>
    </row>
    <row r="948" spans="2:9">
      <c r="B948" s="86">
        <v>44369</v>
      </c>
      <c r="C948" s="61">
        <v>22517.74</v>
      </c>
      <c r="H948" s="86">
        <v>43480</v>
      </c>
      <c r="I948" s="61">
        <v>36318.33</v>
      </c>
    </row>
    <row r="949" spans="2:9">
      <c r="B949" s="86">
        <v>44368</v>
      </c>
      <c r="C949" s="61">
        <v>22480.3</v>
      </c>
      <c r="H949" s="86">
        <v>43481</v>
      </c>
      <c r="I949" s="61">
        <v>36321.29</v>
      </c>
    </row>
    <row r="950" spans="2:9">
      <c r="B950" s="86">
        <v>44365</v>
      </c>
      <c r="C950" s="61">
        <v>22390.11</v>
      </c>
      <c r="H950" s="86">
        <v>43482</v>
      </c>
      <c r="I950" s="61">
        <v>36374.080000000002</v>
      </c>
    </row>
    <row r="951" spans="2:9">
      <c r="B951" s="86">
        <v>44364</v>
      </c>
      <c r="C951" s="61">
        <v>22401.65</v>
      </c>
      <c r="H951" s="86">
        <v>43483</v>
      </c>
      <c r="I951" s="61">
        <v>36386.61</v>
      </c>
    </row>
    <row r="952" spans="2:9">
      <c r="B952" s="86">
        <v>44363</v>
      </c>
      <c r="C952" s="61">
        <v>22503.9</v>
      </c>
      <c r="H952" s="86">
        <v>43486</v>
      </c>
      <c r="I952" s="61">
        <v>36578.959999999999</v>
      </c>
    </row>
    <row r="953" spans="2:9">
      <c r="B953" s="86">
        <v>44362</v>
      </c>
      <c r="C953" s="61">
        <v>22649.05</v>
      </c>
      <c r="H953" s="86">
        <v>43487</v>
      </c>
      <c r="I953" s="61">
        <v>36444.639999999999</v>
      </c>
    </row>
    <row r="954" spans="2:9">
      <c r="B954" s="86">
        <v>44361</v>
      </c>
      <c r="C954" s="61">
        <v>22567.11</v>
      </c>
      <c r="H954" s="86">
        <v>43488</v>
      </c>
      <c r="I954" s="61">
        <v>36108.47</v>
      </c>
    </row>
    <row r="955" spans="2:9">
      <c r="B955" s="86">
        <v>44358</v>
      </c>
      <c r="C955" s="61">
        <v>22544.26</v>
      </c>
      <c r="H955" s="86">
        <v>43489</v>
      </c>
      <c r="I955" s="61">
        <v>36195.1</v>
      </c>
    </row>
    <row r="956" spans="2:9">
      <c r="B956" s="86">
        <v>44357</v>
      </c>
      <c r="C956" s="61">
        <v>22448.94</v>
      </c>
      <c r="H956" s="86">
        <v>43490</v>
      </c>
      <c r="I956" s="61">
        <v>36025.54</v>
      </c>
    </row>
    <row r="957" spans="2:9">
      <c r="B957" s="86">
        <v>44356</v>
      </c>
      <c r="C957" s="61">
        <v>22283.52</v>
      </c>
      <c r="H957" s="86">
        <v>43493</v>
      </c>
      <c r="I957" s="61">
        <v>35656.699999999997</v>
      </c>
    </row>
    <row r="958" spans="2:9">
      <c r="B958" s="86">
        <v>44355</v>
      </c>
      <c r="C958" s="61">
        <v>22432.77</v>
      </c>
      <c r="H958" s="86">
        <v>43494</v>
      </c>
      <c r="I958" s="61">
        <v>35592.5</v>
      </c>
    </row>
    <row r="959" spans="2:9">
      <c r="B959" s="86">
        <v>44354</v>
      </c>
      <c r="C959" s="61">
        <v>22449.24</v>
      </c>
      <c r="H959" s="86">
        <v>43495</v>
      </c>
      <c r="I959" s="61">
        <v>35591.25</v>
      </c>
    </row>
    <row r="960" spans="2:9">
      <c r="B960" s="86">
        <v>44351</v>
      </c>
      <c r="C960" s="61">
        <v>22333.23</v>
      </c>
      <c r="H960" s="86">
        <v>43496</v>
      </c>
      <c r="I960" s="61">
        <v>36256.69</v>
      </c>
    </row>
    <row r="961" spans="2:9">
      <c r="B961" s="86">
        <v>44350</v>
      </c>
      <c r="C961" s="61">
        <v>22361.86</v>
      </c>
      <c r="H961" s="86">
        <v>43497</v>
      </c>
      <c r="I961" s="61">
        <v>36469.43</v>
      </c>
    </row>
    <row r="962" spans="2:9">
      <c r="B962" s="86">
        <v>44349</v>
      </c>
      <c r="C962" s="61">
        <v>22194.18</v>
      </c>
      <c r="H962" s="86">
        <v>43500</v>
      </c>
      <c r="I962" s="61">
        <v>36582.74</v>
      </c>
    </row>
    <row r="963" spans="2:9">
      <c r="B963" s="86">
        <v>44348</v>
      </c>
      <c r="C963" s="61">
        <v>22192.25</v>
      </c>
      <c r="H963" s="86">
        <v>43501</v>
      </c>
      <c r="I963" s="61">
        <v>36616.81</v>
      </c>
    </row>
    <row r="964" spans="2:9">
      <c r="B964" s="86">
        <v>44347</v>
      </c>
      <c r="C964" s="61">
        <v>22203.59</v>
      </c>
      <c r="H964" s="86">
        <v>43502</v>
      </c>
      <c r="I964" s="61">
        <v>36975.230000000003</v>
      </c>
    </row>
    <row r="965" spans="2:9">
      <c r="B965" s="86">
        <v>44344</v>
      </c>
      <c r="C965" s="61">
        <v>21962.31</v>
      </c>
      <c r="H965" s="86">
        <v>43503</v>
      </c>
      <c r="I965" s="61">
        <v>36971.089999999997</v>
      </c>
    </row>
    <row r="966" spans="2:9">
      <c r="B966" s="86">
        <v>44343</v>
      </c>
      <c r="C966" s="61">
        <v>21823.14</v>
      </c>
      <c r="H966" s="86">
        <v>43504</v>
      </c>
      <c r="I966" s="61">
        <v>36546.480000000003</v>
      </c>
    </row>
    <row r="967" spans="2:9">
      <c r="B967" s="86">
        <v>44342</v>
      </c>
      <c r="C967" s="61">
        <v>21771.35</v>
      </c>
      <c r="H967" s="86">
        <v>43507</v>
      </c>
      <c r="I967" s="61">
        <v>36395.03</v>
      </c>
    </row>
    <row r="968" spans="2:9">
      <c r="B968" s="86">
        <v>44341</v>
      </c>
      <c r="C968" s="61">
        <v>21639.040000000001</v>
      </c>
      <c r="H968" s="86">
        <v>43508</v>
      </c>
      <c r="I968" s="61">
        <v>36153.620000000003</v>
      </c>
    </row>
    <row r="969" spans="2:9">
      <c r="B969" s="86">
        <v>44340</v>
      </c>
      <c r="C969" s="61">
        <v>21617.03</v>
      </c>
      <c r="H969" s="86">
        <v>43509</v>
      </c>
      <c r="I969" s="61">
        <v>36034.11</v>
      </c>
    </row>
    <row r="970" spans="2:9">
      <c r="B970" s="86">
        <v>44337</v>
      </c>
      <c r="C970" s="61">
        <v>21585.18</v>
      </c>
      <c r="H970" s="86">
        <v>43510</v>
      </c>
      <c r="I970" s="61">
        <v>35876.22</v>
      </c>
    </row>
    <row r="971" spans="2:9">
      <c r="B971" s="86">
        <v>44336</v>
      </c>
      <c r="C971" s="61">
        <v>21202.21</v>
      </c>
      <c r="H971" s="86">
        <v>43511</v>
      </c>
      <c r="I971" s="61">
        <v>35808.949999999997</v>
      </c>
    </row>
    <row r="972" spans="2:9">
      <c r="B972" s="86">
        <v>44335</v>
      </c>
      <c r="C972" s="61">
        <v>21378.71</v>
      </c>
      <c r="H972" s="86">
        <v>43514</v>
      </c>
      <c r="I972" s="61">
        <v>35498.44</v>
      </c>
    </row>
    <row r="973" spans="2:9">
      <c r="B973" s="86">
        <v>44334</v>
      </c>
      <c r="C973" s="61">
        <v>21489.56</v>
      </c>
      <c r="H973" s="86">
        <v>43515</v>
      </c>
      <c r="I973" s="61">
        <v>35352.61</v>
      </c>
    </row>
    <row r="974" spans="2:9">
      <c r="B974" s="86">
        <v>44333</v>
      </c>
      <c r="C974" s="61">
        <v>21226.53</v>
      </c>
      <c r="H974" s="86">
        <v>43516</v>
      </c>
      <c r="I974" s="61">
        <v>35756.26</v>
      </c>
    </row>
    <row r="975" spans="2:9">
      <c r="B975" s="86">
        <v>44330</v>
      </c>
      <c r="C975" s="61">
        <v>20877.560000000001</v>
      </c>
      <c r="H975" s="86">
        <v>43517</v>
      </c>
      <c r="I975" s="61">
        <v>35898.35</v>
      </c>
    </row>
    <row r="976" spans="2:9">
      <c r="B976" s="86">
        <v>44328</v>
      </c>
      <c r="C976" s="61">
        <v>20904.13</v>
      </c>
      <c r="H976" s="86">
        <v>43518</v>
      </c>
      <c r="I976" s="61">
        <v>35871.480000000003</v>
      </c>
    </row>
    <row r="977" spans="2:9">
      <c r="B977" s="86">
        <v>44327</v>
      </c>
      <c r="C977" s="61">
        <v>21123.53</v>
      </c>
      <c r="H977" s="86">
        <v>43521</v>
      </c>
      <c r="I977" s="61">
        <v>36213.379999999997</v>
      </c>
    </row>
    <row r="978" spans="2:9">
      <c r="B978" s="86">
        <v>44326</v>
      </c>
      <c r="C978" s="61">
        <v>21253.8</v>
      </c>
      <c r="H978" s="86">
        <v>43522</v>
      </c>
      <c r="I978" s="61">
        <v>35973.71</v>
      </c>
    </row>
    <row r="979" spans="2:9">
      <c r="B979" s="86">
        <v>44323</v>
      </c>
      <c r="C979" s="61">
        <v>21084.26</v>
      </c>
      <c r="H979" s="86">
        <v>43523</v>
      </c>
      <c r="I979" s="61">
        <v>35905.43</v>
      </c>
    </row>
    <row r="980" spans="2:9">
      <c r="B980" s="86">
        <v>44322</v>
      </c>
      <c r="C980" s="61">
        <v>20944.41</v>
      </c>
      <c r="H980" s="86">
        <v>43524</v>
      </c>
      <c r="I980" s="61">
        <v>35867.440000000002</v>
      </c>
    </row>
    <row r="981" spans="2:9">
      <c r="B981" s="86">
        <v>44321</v>
      </c>
      <c r="C981" s="61">
        <v>20792.240000000002</v>
      </c>
      <c r="H981" s="86">
        <v>43525</v>
      </c>
      <c r="I981" s="61">
        <v>36063.81</v>
      </c>
    </row>
    <row r="982" spans="2:9">
      <c r="B982" s="86">
        <v>44320</v>
      </c>
      <c r="C982" s="61">
        <v>20619.62</v>
      </c>
      <c r="H982" s="86">
        <v>43529</v>
      </c>
      <c r="I982" s="61">
        <v>36442.54</v>
      </c>
    </row>
    <row r="983" spans="2:9">
      <c r="B983" s="86">
        <v>44319</v>
      </c>
      <c r="C983" s="61">
        <v>20815.43</v>
      </c>
      <c r="H983" s="86">
        <v>43530</v>
      </c>
      <c r="I983" s="61">
        <v>36636.1</v>
      </c>
    </row>
    <row r="984" spans="2:9">
      <c r="B984" s="86">
        <v>44316</v>
      </c>
      <c r="C984" s="61">
        <v>20811.13</v>
      </c>
      <c r="H984" s="86">
        <v>43531</v>
      </c>
      <c r="I984" s="61">
        <v>36725.42</v>
      </c>
    </row>
    <row r="985" spans="2:9">
      <c r="B985" s="86">
        <v>44315</v>
      </c>
      <c r="C985" s="61">
        <v>21186.3</v>
      </c>
      <c r="H985" s="86">
        <v>43532</v>
      </c>
      <c r="I985" s="61">
        <v>36671.43</v>
      </c>
    </row>
    <row r="986" spans="2:9">
      <c r="B986" s="86">
        <v>44314</v>
      </c>
      <c r="C986" s="61">
        <v>21136.41</v>
      </c>
      <c r="H986" s="86">
        <v>43535</v>
      </c>
      <c r="I986" s="61">
        <v>37054.1</v>
      </c>
    </row>
    <row r="987" spans="2:9">
      <c r="B987" s="86">
        <v>44313</v>
      </c>
      <c r="C987" s="61">
        <v>20835.669999999998</v>
      </c>
      <c r="H987" s="86">
        <v>43536</v>
      </c>
      <c r="I987" s="61">
        <v>37535.660000000003</v>
      </c>
    </row>
    <row r="988" spans="2:9">
      <c r="B988" s="86">
        <v>44312</v>
      </c>
      <c r="C988" s="61">
        <v>20596.72</v>
      </c>
      <c r="H988" s="86">
        <v>43537</v>
      </c>
      <c r="I988" s="61">
        <v>37752.17</v>
      </c>
    </row>
    <row r="989" spans="2:9">
      <c r="B989" s="86">
        <v>44309</v>
      </c>
      <c r="C989" s="61">
        <v>20392.439999999999</v>
      </c>
      <c r="H989" s="86">
        <v>43538</v>
      </c>
      <c r="I989" s="61">
        <v>37754.89</v>
      </c>
    </row>
    <row r="990" spans="2:9">
      <c r="B990" s="86">
        <v>44308</v>
      </c>
      <c r="C990" s="61">
        <v>20484.63</v>
      </c>
      <c r="H990" s="86">
        <v>43539</v>
      </c>
      <c r="I990" s="61">
        <v>38024.32</v>
      </c>
    </row>
    <row r="991" spans="2:9">
      <c r="B991" s="86">
        <v>44306</v>
      </c>
      <c r="C991" s="61">
        <v>20328.55</v>
      </c>
      <c r="H991" s="86">
        <v>43542</v>
      </c>
      <c r="I991" s="61">
        <v>38095.07</v>
      </c>
    </row>
    <row r="992" spans="2:9">
      <c r="B992" s="86">
        <v>44305</v>
      </c>
      <c r="C992" s="61">
        <v>20418.16</v>
      </c>
      <c r="H992" s="86">
        <v>43543</v>
      </c>
      <c r="I992" s="61">
        <v>38363.47</v>
      </c>
    </row>
    <row r="993" spans="2:9">
      <c r="B993" s="86">
        <v>44302</v>
      </c>
      <c r="C993" s="61">
        <v>20785.61</v>
      </c>
      <c r="H993" s="86">
        <v>43544</v>
      </c>
      <c r="I993" s="61">
        <v>38386.75</v>
      </c>
    </row>
    <row r="994" spans="2:9">
      <c r="B994" s="86">
        <v>44301</v>
      </c>
      <c r="C994" s="61">
        <v>20733.88</v>
      </c>
      <c r="H994" s="86">
        <v>43546</v>
      </c>
      <c r="I994" s="61">
        <v>38164.61</v>
      </c>
    </row>
    <row r="995" spans="2:9">
      <c r="B995" s="86">
        <v>44299</v>
      </c>
      <c r="C995" s="61">
        <v>20624.86</v>
      </c>
      <c r="H995" s="86">
        <v>43549</v>
      </c>
      <c r="I995" s="61">
        <v>37808.910000000003</v>
      </c>
    </row>
    <row r="996" spans="2:9">
      <c r="B996" s="86">
        <v>44298</v>
      </c>
      <c r="C996" s="61">
        <v>20348.990000000002</v>
      </c>
      <c r="H996" s="86">
        <v>43550</v>
      </c>
      <c r="I996" s="61">
        <v>38233.410000000003</v>
      </c>
    </row>
    <row r="997" spans="2:9">
      <c r="B997" s="86">
        <v>44295</v>
      </c>
      <c r="C997" s="61">
        <v>21094.17</v>
      </c>
      <c r="H997" s="86">
        <v>43551</v>
      </c>
      <c r="I997" s="61">
        <v>38132.879999999997</v>
      </c>
    </row>
    <row r="998" spans="2:9">
      <c r="B998" s="86">
        <v>44294</v>
      </c>
      <c r="C998" s="61">
        <v>21149.59</v>
      </c>
      <c r="H998" s="86">
        <v>43552</v>
      </c>
      <c r="I998" s="61">
        <v>38545.72</v>
      </c>
    </row>
    <row r="999" spans="2:9">
      <c r="B999" s="86">
        <v>44293</v>
      </c>
      <c r="C999" s="61">
        <v>21069.32</v>
      </c>
      <c r="H999" s="86">
        <v>43553</v>
      </c>
      <c r="I999" s="61">
        <v>38672.910000000003</v>
      </c>
    </row>
    <row r="1000" spans="2:9">
      <c r="B1000" s="86">
        <v>44292</v>
      </c>
      <c r="C1000" s="61">
        <v>20876.57</v>
      </c>
      <c r="H1000" s="86">
        <v>43556</v>
      </c>
      <c r="I1000" s="61">
        <v>38871.870000000003</v>
      </c>
    </row>
    <row r="1001" spans="2:9">
      <c r="B1001" s="86">
        <v>44291</v>
      </c>
      <c r="C1001" s="61">
        <v>20811.61</v>
      </c>
      <c r="H1001" s="86">
        <v>43557</v>
      </c>
      <c r="I1001" s="61">
        <v>39056.65</v>
      </c>
    </row>
    <row r="1002" spans="2:9">
      <c r="B1002" s="86">
        <v>44287</v>
      </c>
      <c r="C1002" s="61">
        <v>21137.69</v>
      </c>
      <c r="H1002" s="86">
        <v>43558</v>
      </c>
      <c r="I1002" s="61">
        <v>38877.120000000003</v>
      </c>
    </row>
    <row r="1003" spans="2:9">
      <c r="B1003" s="86">
        <v>44286</v>
      </c>
      <c r="C1003" s="61">
        <v>20886.52</v>
      </c>
      <c r="H1003" s="86">
        <v>43559</v>
      </c>
      <c r="I1003" s="61">
        <v>38684.720000000001</v>
      </c>
    </row>
    <row r="1004" spans="2:9">
      <c r="B1004" s="86">
        <v>44285</v>
      </c>
      <c r="C1004" s="61">
        <v>21106.06</v>
      </c>
      <c r="H1004" s="86">
        <v>43560</v>
      </c>
      <c r="I1004" s="61">
        <v>38862.230000000003</v>
      </c>
    </row>
    <row r="1005" spans="2:9">
      <c r="B1005" s="86">
        <v>44281</v>
      </c>
      <c r="C1005" s="61">
        <v>20625.79</v>
      </c>
      <c r="H1005" s="86">
        <v>43563</v>
      </c>
      <c r="I1005" s="61">
        <v>38700.53</v>
      </c>
    </row>
    <row r="1006" spans="2:9">
      <c r="B1006" s="86">
        <v>44280</v>
      </c>
      <c r="C1006" s="61">
        <v>20366.419999999998</v>
      </c>
      <c r="H1006" s="86">
        <v>43564</v>
      </c>
      <c r="I1006" s="61">
        <v>38939.22</v>
      </c>
    </row>
    <row r="1007" spans="2:9">
      <c r="B1007" s="86">
        <v>44279</v>
      </c>
      <c r="C1007" s="61">
        <v>20684.27</v>
      </c>
      <c r="H1007" s="86">
        <v>43565</v>
      </c>
      <c r="I1007" s="61">
        <v>38585.35</v>
      </c>
    </row>
    <row r="1008" spans="2:9">
      <c r="B1008" s="86">
        <v>44278</v>
      </c>
      <c r="C1008" s="61">
        <v>21061.52</v>
      </c>
      <c r="H1008" s="86">
        <v>43566</v>
      </c>
      <c r="I1008" s="61">
        <v>38607.01</v>
      </c>
    </row>
    <row r="1009" spans="2:9">
      <c r="B1009" s="86">
        <v>44277</v>
      </c>
      <c r="C1009" s="61">
        <v>20947.650000000001</v>
      </c>
      <c r="H1009" s="86">
        <v>43567</v>
      </c>
      <c r="I1009" s="61">
        <v>38767.11</v>
      </c>
    </row>
    <row r="1010" spans="2:9">
      <c r="B1010" s="86">
        <v>44274</v>
      </c>
      <c r="C1010" s="61">
        <v>20956.87</v>
      </c>
      <c r="H1010" s="86">
        <v>43570</v>
      </c>
      <c r="I1010" s="61">
        <v>38905.839999999997</v>
      </c>
    </row>
    <row r="1011" spans="2:9">
      <c r="B1011" s="86">
        <v>44273</v>
      </c>
      <c r="C1011" s="61">
        <v>20692.34</v>
      </c>
      <c r="H1011" s="86">
        <v>43571</v>
      </c>
      <c r="I1011" s="61">
        <v>39275.64</v>
      </c>
    </row>
    <row r="1012" spans="2:9">
      <c r="B1012" s="86">
        <v>44272</v>
      </c>
      <c r="C1012" s="61">
        <v>20924.61</v>
      </c>
      <c r="H1012" s="86">
        <v>43573</v>
      </c>
      <c r="I1012" s="61">
        <v>39140.28</v>
      </c>
    </row>
    <row r="1013" spans="2:9">
      <c r="B1013" s="86">
        <v>44271</v>
      </c>
      <c r="C1013" s="61">
        <v>21193.46</v>
      </c>
      <c r="H1013" s="86">
        <v>43577</v>
      </c>
      <c r="I1013" s="61">
        <v>38645.18</v>
      </c>
    </row>
    <row r="1014" spans="2:9">
      <c r="B1014" s="86">
        <v>44270</v>
      </c>
      <c r="C1014" s="61">
        <v>21220.59</v>
      </c>
      <c r="H1014" s="86">
        <v>43578</v>
      </c>
      <c r="I1014" s="61">
        <v>38564.879999999997</v>
      </c>
    </row>
    <row r="1015" spans="2:9">
      <c r="B1015" s="86">
        <v>44267</v>
      </c>
      <c r="C1015" s="61">
        <v>21361.29</v>
      </c>
      <c r="H1015" s="86">
        <v>43579</v>
      </c>
      <c r="I1015" s="61">
        <v>39054.68</v>
      </c>
    </row>
    <row r="1016" spans="2:9">
      <c r="B1016" s="86">
        <v>44265</v>
      </c>
      <c r="C1016" s="61">
        <v>21565.72</v>
      </c>
      <c r="H1016" s="86">
        <v>43580</v>
      </c>
      <c r="I1016" s="61">
        <v>38730.86</v>
      </c>
    </row>
    <row r="1017" spans="2:9">
      <c r="B1017" s="86">
        <v>44264</v>
      </c>
      <c r="C1017" s="61">
        <v>21457.17</v>
      </c>
      <c r="H1017" s="86">
        <v>43581</v>
      </c>
      <c r="I1017" s="61">
        <v>39067.33</v>
      </c>
    </row>
    <row r="1018" spans="2:9">
      <c r="B1018" s="86">
        <v>44263</v>
      </c>
      <c r="C1018" s="61">
        <v>21255.06</v>
      </c>
      <c r="H1018" s="86">
        <v>43585</v>
      </c>
      <c r="I1018" s="61">
        <v>39031.550000000003</v>
      </c>
    </row>
    <row r="1019" spans="2:9">
      <c r="B1019" s="86">
        <v>44260</v>
      </c>
      <c r="C1019" s="61">
        <v>21225.94</v>
      </c>
      <c r="H1019" s="86">
        <v>43587</v>
      </c>
      <c r="I1019" s="61">
        <v>38981.43</v>
      </c>
    </row>
    <row r="1020" spans="2:9">
      <c r="B1020" s="86">
        <v>44259</v>
      </c>
      <c r="C1020" s="61">
        <v>21428.63</v>
      </c>
      <c r="H1020" s="86">
        <v>43588</v>
      </c>
      <c r="I1020" s="61">
        <v>38963.26</v>
      </c>
    </row>
    <row r="1021" spans="2:9">
      <c r="B1021" s="86">
        <v>44258</v>
      </c>
      <c r="C1021" s="61">
        <v>21662.92</v>
      </c>
      <c r="H1021" s="86">
        <v>43591</v>
      </c>
      <c r="I1021" s="61">
        <v>38600.339999999997</v>
      </c>
    </row>
    <row r="1022" spans="2:9">
      <c r="B1022" s="86">
        <v>44257</v>
      </c>
      <c r="C1022" s="61">
        <v>21198.93</v>
      </c>
      <c r="H1022" s="86">
        <v>43592</v>
      </c>
      <c r="I1022" s="61">
        <v>38276.629999999997</v>
      </c>
    </row>
    <row r="1023" spans="2:9">
      <c r="B1023" s="86">
        <v>44256</v>
      </c>
      <c r="C1023" s="61">
        <v>20975.08</v>
      </c>
      <c r="H1023" s="86">
        <v>43593</v>
      </c>
      <c r="I1023" s="61">
        <v>37789.129999999997</v>
      </c>
    </row>
    <row r="1024" spans="2:9">
      <c r="B1024" s="86">
        <v>44253</v>
      </c>
      <c r="C1024" s="61">
        <v>20644.88</v>
      </c>
      <c r="H1024" s="86">
        <v>43594</v>
      </c>
      <c r="I1024" s="61">
        <v>37558.910000000003</v>
      </c>
    </row>
    <row r="1025" spans="2:9">
      <c r="B1025" s="86">
        <v>44252</v>
      </c>
      <c r="C1025" s="61">
        <v>21452.240000000002</v>
      </c>
      <c r="H1025" s="86">
        <v>43595</v>
      </c>
      <c r="I1025" s="61">
        <v>37462.99</v>
      </c>
    </row>
    <row r="1026" spans="2:9">
      <c r="B1026" s="86">
        <v>44251</v>
      </c>
      <c r="C1026" s="61">
        <v>21288.35</v>
      </c>
      <c r="H1026" s="86">
        <v>43598</v>
      </c>
      <c r="I1026" s="61">
        <v>37090.82</v>
      </c>
    </row>
    <row r="1027" spans="2:9">
      <c r="B1027" s="86">
        <v>44250</v>
      </c>
      <c r="C1027" s="61">
        <v>20898.75</v>
      </c>
      <c r="H1027" s="86">
        <v>43599</v>
      </c>
      <c r="I1027" s="61">
        <v>37318.53</v>
      </c>
    </row>
    <row r="1028" spans="2:9">
      <c r="B1028" s="86">
        <v>44249</v>
      </c>
      <c r="C1028" s="61">
        <v>20853.12</v>
      </c>
      <c r="H1028" s="86">
        <v>43600</v>
      </c>
      <c r="I1028" s="61">
        <v>37114.879999999997</v>
      </c>
    </row>
    <row r="1029" spans="2:9">
      <c r="B1029" s="86">
        <v>44246</v>
      </c>
      <c r="C1029" s="61">
        <v>21273.279999999999</v>
      </c>
      <c r="H1029" s="86">
        <v>43601</v>
      </c>
      <c r="I1029" s="61">
        <v>37393.480000000003</v>
      </c>
    </row>
    <row r="1030" spans="2:9">
      <c r="B1030" s="86">
        <v>44245</v>
      </c>
      <c r="C1030" s="61">
        <v>21468.11</v>
      </c>
      <c r="H1030" s="86">
        <v>43602</v>
      </c>
      <c r="I1030" s="61">
        <v>37930.769999999997</v>
      </c>
    </row>
    <row r="1031" spans="2:9">
      <c r="B1031" s="86">
        <v>44244</v>
      </c>
      <c r="C1031" s="61">
        <v>21595.82</v>
      </c>
      <c r="H1031" s="86">
        <v>43605</v>
      </c>
      <c r="I1031" s="61">
        <v>39352.67</v>
      </c>
    </row>
    <row r="1032" spans="2:9">
      <c r="B1032" s="86">
        <v>44243</v>
      </c>
      <c r="C1032" s="61">
        <v>21737.9</v>
      </c>
      <c r="H1032" s="86">
        <v>43606</v>
      </c>
      <c r="I1032" s="61">
        <v>38969.800000000003</v>
      </c>
    </row>
    <row r="1033" spans="2:9">
      <c r="B1033" s="86">
        <v>44242</v>
      </c>
      <c r="C1033" s="61">
        <v>21739.69</v>
      </c>
      <c r="H1033" s="86">
        <v>43607</v>
      </c>
      <c r="I1033" s="61">
        <v>39110.21</v>
      </c>
    </row>
    <row r="1034" spans="2:9">
      <c r="B1034" s="86">
        <v>44239</v>
      </c>
      <c r="C1034" s="61">
        <v>21521.82</v>
      </c>
      <c r="H1034" s="86">
        <v>43608</v>
      </c>
      <c r="I1034" s="61">
        <v>38811.39</v>
      </c>
    </row>
    <row r="1035" spans="2:9">
      <c r="B1035" s="86">
        <v>44238</v>
      </c>
      <c r="C1035" s="61">
        <v>21536</v>
      </c>
      <c r="H1035" s="86">
        <v>43609</v>
      </c>
      <c r="I1035" s="61">
        <v>39434.720000000001</v>
      </c>
    </row>
    <row r="1036" spans="2:9">
      <c r="B1036" s="86">
        <v>44237</v>
      </c>
      <c r="C1036" s="61">
        <v>21436.44</v>
      </c>
      <c r="H1036" s="86">
        <v>43612</v>
      </c>
      <c r="I1036" s="61">
        <v>39683.29</v>
      </c>
    </row>
    <row r="1037" spans="2:9">
      <c r="B1037" s="86">
        <v>44236</v>
      </c>
      <c r="C1037" s="61">
        <v>21440.42</v>
      </c>
      <c r="H1037" s="86">
        <v>43613</v>
      </c>
      <c r="I1037" s="61">
        <v>39749.730000000003</v>
      </c>
    </row>
    <row r="1038" spans="2:9">
      <c r="B1038" s="86">
        <v>44235</v>
      </c>
      <c r="C1038" s="61">
        <v>21447.64</v>
      </c>
      <c r="H1038" s="86">
        <v>43614</v>
      </c>
      <c r="I1038" s="61">
        <v>39502.050000000003</v>
      </c>
    </row>
    <row r="1039" spans="2:9">
      <c r="B1039" s="86">
        <v>44232</v>
      </c>
      <c r="C1039" s="61">
        <v>21175.89</v>
      </c>
      <c r="H1039" s="86">
        <v>43615</v>
      </c>
      <c r="I1039" s="61">
        <v>39831.97</v>
      </c>
    </row>
    <row r="1040" spans="2:9">
      <c r="B1040" s="86">
        <v>44231</v>
      </c>
      <c r="C1040" s="61">
        <v>21135.31</v>
      </c>
      <c r="H1040" s="86">
        <v>43616</v>
      </c>
      <c r="I1040" s="61">
        <v>39714.199999999997</v>
      </c>
    </row>
    <row r="1041" spans="2:9">
      <c r="B1041" s="86">
        <v>44230</v>
      </c>
      <c r="C1041" s="61">
        <v>20985.32</v>
      </c>
      <c r="H1041" s="86">
        <v>43619</v>
      </c>
      <c r="I1041" s="61">
        <v>40267.620000000003</v>
      </c>
    </row>
    <row r="1042" spans="2:9">
      <c r="B1042" s="86">
        <v>44229</v>
      </c>
      <c r="C1042" s="61">
        <v>20783.689999999999</v>
      </c>
      <c r="H1042" s="86">
        <v>43620</v>
      </c>
      <c r="I1042" s="61">
        <v>40083.54</v>
      </c>
    </row>
    <row r="1043" spans="2:9">
      <c r="B1043" s="86">
        <v>44228</v>
      </c>
      <c r="C1043" s="61">
        <v>20263.439999999999</v>
      </c>
      <c r="H1043" s="86">
        <v>43622</v>
      </c>
      <c r="I1043" s="61">
        <v>39529.72</v>
      </c>
    </row>
    <row r="1044" spans="2:9">
      <c r="B1044" s="86">
        <v>44225</v>
      </c>
      <c r="C1044" s="61">
        <v>19346.03</v>
      </c>
      <c r="H1044" s="86">
        <v>43623</v>
      </c>
      <c r="I1044" s="61">
        <v>39615.9</v>
      </c>
    </row>
    <row r="1045" spans="2:9">
      <c r="B1045" s="86">
        <v>44224</v>
      </c>
      <c r="C1045" s="61">
        <v>19605.59</v>
      </c>
      <c r="H1045" s="86">
        <v>43626</v>
      </c>
      <c r="I1045" s="61">
        <v>39784.519999999997</v>
      </c>
    </row>
    <row r="1046" spans="2:9">
      <c r="B1046" s="86">
        <v>44223</v>
      </c>
      <c r="C1046" s="61">
        <v>19818.34</v>
      </c>
      <c r="H1046" s="86">
        <v>43627</v>
      </c>
      <c r="I1046" s="61">
        <v>39950.46</v>
      </c>
    </row>
    <row r="1047" spans="2:9">
      <c r="B1047" s="86">
        <v>44221</v>
      </c>
      <c r="C1047" s="61">
        <v>20201.900000000001</v>
      </c>
      <c r="H1047" s="86">
        <v>43628</v>
      </c>
      <c r="I1047" s="61">
        <v>39756.81</v>
      </c>
    </row>
    <row r="1048" spans="2:9">
      <c r="B1048" s="86">
        <v>44218</v>
      </c>
      <c r="C1048" s="61">
        <v>20390.57</v>
      </c>
      <c r="H1048" s="86">
        <v>43629</v>
      </c>
      <c r="I1048" s="61">
        <v>39741.360000000001</v>
      </c>
    </row>
    <row r="1049" spans="2:9">
      <c r="B1049" s="86">
        <v>44217</v>
      </c>
      <c r="C1049" s="61">
        <v>20700.02</v>
      </c>
      <c r="H1049" s="86">
        <v>43630</v>
      </c>
      <c r="I1049" s="61">
        <v>39452.07</v>
      </c>
    </row>
    <row r="1050" spans="2:9">
      <c r="B1050" s="86">
        <v>44216</v>
      </c>
      <c r="C1050" s="61">
        <v>20775.669999999998</v>
      </c>
      <c r="H1050" s="86">
        <v>43633</v>
      </c>
      <c r="I1050" s="61">
        <v>38960.79</v>
      </c>
    </row>
    <row r="1051" spans="2:9">
      <c r="B1051" s="86">
        <v>44215</v>
      </c>
      <c r="C1051" s="61">
        <v>20600.41</v>
      </c>
      <c r="H1051" s="86">
        <v>43634</v>
      </c>
      <c r="I1051" s="61">
        <v>39046.339999999997</v>
      </c>
    </row>
    <row r="1052" spans="2:9">
      <c r="B1052" s="86">
        <v>44214</v>
      </c>
      <c r="C1052" s="61">
        <v>20260.18</v>
      </c>
      <c r="H1052" s="86">
        <v>43635</v>
      </c>
      <c r="I1052" s="61">
        <v>39112.74</v>
      </c>
    </row>
    <row r="1053" spans="2:9">
      <c r="B1053" s="86">
        <v>44211</v>
      </c>
      <c r="C1053" s="61">
        <v>20476.38</v>
      </c>
      <c r="H1053" s="86">
        <v>43636</v>
      </c>
      <c r="I1053" s="61">
        <v>39601.629999999997</v>
      </c>
    </row>
    <row r="1054" spans="2:9">
      <c r="B1054" s="86">
        <v>44210</v>
      </c>
      <c r="C1054" s="61">
        <v>20706.07</v>
      </c>
      <c r="H1054" s="86">
        <v>43637</v>
      </c>
      <c r="I1054" s="61">
        <v>39194.49</v>
      </c>
    </row>
    <row r="1055" spans="2:9">
      <c r="B1055" s="86">
        <v>44209</v>
      </c>
      <c r="C1055" s="61">
        <v>20660.349999999999</v>
      </c>
      <c r="H1055" s="86">
        <v>43640</v>
      </c>
      <c r="I1055" s="61">
        <v>39122.959999999999</v>
      </c>
    </row>
    <row r="1056" spans="2:9">
      <c r="B1056" s="86">
        <v>44208</v>
      </c>
      <c r="C1056" s="61">
        <v>20658.34</v>
      </c>
      <c r="H1056" s="86">
        <v>43641</v>
      </c>
      <c r="I1056" s="61">
        <v>39434.94</v>
      </c>
    </row>
    <row r="1057" spans="2:9">
      <c r="B1057" s="86">
        <v>44207</v>
      </c>
      <c r="C1057" s="61">
        <v>20546.740000000002</v>
      </c>
      <c r="H1057" s="86">
        <v>43642</v>
      </c>
      <c r="I1057" s="61">
        <v>39592.080000000002</v>
      </c>
    </row>
    <row r="1058" spans="2:9">
      <c r="B1058" s="86">
        <v>44204</v>
      </c>
      <c r="C1058" s="61">
        <v>20351.669999999998</v>
      </c>
      <c r="H1058" s="86">
        <v>43643</v>
      </c>
      <c r="I1058" s="61">
        <v>39586.410000000003</v>
      </c>
    </row>
    <row r="1059" spans="2:9">
      <c r="B1059" s="86">
        <v>44203</v>
      </c>
      <c r="C1059" s="61">
        <v>20053.97</v>
      </c>
      <c r="H1059" s="86">
        <v>43644</v>
      </c>
      <c r="I1059" s="61">
        <v>39394.639999999999</v>
      </c>
    </row>
    <row r="1060" spans="2:9">
      <c r="B1060" s="86">
        <v>44202</v>
      </c>
      <c r="C1060" s="61">
        <v>20066.560000000001</v>
      </c>
      <c r="H1060" s="86">
        <v>43647</v>
      </c>
      <c r="I1060" s="61">
        <v>39686.5</v>
      </c>
    </row>
    <row r="1061" spans="2:9">
      <c r="B1061" s="86">
        <v>44201</v>
      </c>
      <c r="C1061" s="61">
        <v>20142.13</v>
      </c>
      <c r="H1061" s="86">
        <v>43648</v>
      </c>
      <c r="I1061" s="61">
        <v>39816.480000000003</v>
      </c>
    </row>
    <row r="1062" spans="2:9">
      <c r="B1062" s="86">
        <v>44200</v>
      </c>
      <c r="C1062" s="61">
        <v>20047.61</v>
      </c>
      <c r="H1062" s="86">
        <v>43649</v>
      </c>
      <c r="I1062" s="61">
        <v>39839.25</v>
      </c>
    </row>
    <row r="1063" spans="2:9">
      <c r="B1063" s="86">
        <v>44197</v>
      </c>
      <c r="C1063" s="61">
        <v>19885.36</v>
      </c>
      <c r="H1063" s="86">
        <v>43650</v>
      </c>
      <c r="I1063" s="61">
        <v>39908.06</v>
      </c>
    </row>
    <row r="1064" spans="2:9">
      <c r="B1064" s="86">
        <v>44196</v>
      </c>
      <c r="C1064" s="61">
        <v>19833.189999999999</v>
      </c>
      <c r="H1064" s="86">
        <v>43651</v>
      </c>
      <c r="I1064" s="61">
        <v>39513.39</v>
      </c>
    </row>
    <row r="1065" spans="2:9">
      <c r="B1065" s="86">
        <v>44195</v>
      </c>
      <c r="C1065" s="61">
        <v>19833.53</v>
      </c>
      <c r="H1065" s="86">
        <v>43654</v>
      </c>
      <c r="I1065" s="61">
        <v>38720.57</v>
      </c>
    </row>
    <row r="1066" spans="2:9">
      <c r="B1066" s="86">
        <v>44194</v>
      </c>
      <c r="C1066" s="61">
        <v>19763.509999999998</v>
      </c>
      <c r="H1066" s="86">
        <v>43655</v>
      </c>
      <c r="I1066" s="61">
        <v>38730.82</v>
      </c>
    </row>
    <row r="1067" spans="2:9">
      <c r="B1067" s="86">
        <v>44193</v>
      </c>
      <c r="C1067" s="61">
        <v>19679.240000000002</v>
      </c>
      <c r="H1067" s="86">
        <v>43656</v>
      </c>
      <c r="I1067" s="61">
        <v>38557.040000000001</v>
      </c>
    </row>
    <row r="1068" spans="2:9">
      <c r="B1068" s="86">
        <v>44189</v>
      </c>
      <c r="C1068" s="61">
        <v>19503.400000000001</v>
      </c>
      <c r="H1068" s="86">
        <v>43657</v>
      </c>
      <c r="I1068" s="61">
        <v>38823.11</v>
      </c>
    </row>
    <row r="1069" spans="2:9">
      <c r="B1069" s="86">
        <v>44188</v>
      </c>
      <c r="C1069" s="61">
        <v>19293.259999999998</v>
      </c>
      <c r="H1069" s="86">
        <v>43658</v>
      </c>
      <c r="I1069" s="61">
        <v>38736.230000000003</v>
      </c>
    </row>
    <row r="1070" spans="2:9">
      <c r="B1070" s="86">
        <v>44187</v>
      </c>
      <c r="C1070" s="61">
        <v>19102.060000000001</v>
      </c>
      <c r="H1070" s="86">
        <v>43661</v>
      </c>
      <c r="I1070" s="61">
        <v>38896.71</v>
      </c>
    </row>
    <row r="1071" spans="2:9">
      <c r="B1071" s="86">
        <v>44186</v>
      </c>
      <c r="C1071" s="61">
        <v>18906.45</v>
      </c>
      <c r="H1071" s="86">
        <v>43662</v>
      </c>
      <c r="I1071" s="61">
        <v>39131.040000000001</v>
      </c>
    </row>
    <row r="1072" spans="2:9">
      <c r="B1072" s="86">
        <v>44183</v>
      </c>
      <c r="C1072" s="61">
        <v>19519.419999999998</v>
      </c>
      <c r="H1072" s="86">
        <v>43663</v>
      </c>
      <c r="I1072" s="61">
        <v>39215.64</v>
      </c>
    </row>
    <row r="1073" spans="2:9">
      <c r="B1073" s="86">
        <v>44182</v>
      </c>
      <c r="C1073" s="61">
        <v>19491.3</v>
      </c>
      <c r="H1073" s="86">
        <v>43664</v>
      </c>
      <c r="I1073" s="61">
        <v>38897.46</v>
      </c>
    </row>
    <row r="1074" spans="2:9">
      <c r="B1074" s="86">
        <v>44181</v>
      </c>
      <c r="C1074" s="61">
        <v>19404.8</v>
      </c>
      <c r="H1074" s="86">
        <v>43665</v>
      </c>
      <c r="I1074" s="61">
        <v>38337.01</v>
      </c>
    </row>
    <row r="1075" spans="2:9">
      <c r="B1075" s="86">
        <v>44180</v>
      </c>
      <c r="C1075" s="61">
        <v>19241.900000000001</v>
      </c>
      <c r="H1075" s="86">
        <v>43668</v>
      </c>
      <c r="I1075" s="61">
        <v>38031.129999999997</v>
      </c>
    </row>
    <row r="1076" spans="2:9">
      <c r="B1076" s="86">
        <v>44179</v>
      </c>
      <c r="C1076" s="61">
        <v>19228.16</v>
      </c>
      <c r="H1076" s="86">
        <v>43669</v>
      </c>
      <c r="I1076" s="61">
        <v>37982.74</v>
      </c>
    </row>
    <row r="1077" spans="2:9">
      <c r="B1077" s="86">
        <v>44176</v>
      </c>
      <c r="C1077" s="61">
        <v>19165.330000000002</v>
      </c>
      <c r="H1077" s="86">
        <v>43670</v>
      </c>
      <c r="I1077" s="61">
        <v>37847.65</v>
      </c>
    </row>
    <row r="1078" spans="2:9">
      <c r="B1078" s="86">
        <v>44175</v>
      </c>
      <c r="C1078" s="61">
        <v>19114.96</v>
      </c>
      <c r="H1078" s="86">
        <v>43671</v>
      </c>
      <c r="I1078" s="61">
        <v>37830.980000000003</v>
      </c>
    </row>
    <row r="1079" spans="2:9">
      <c r="B1079" s="86">
        <v>44174</v>
      </c>
      <c r="C1079" s="61">
        <v>19186.95</v>
      </c>
      <c r="H1079" s="86">
        <v>43672</v>
      </c>
      <c r="I1079" s="61">
        <v>37882.79</v>
      </c>
    </row>
    <row r="1080" spans="2:9">
      <c r="B1080" s="86">
        <v>44173</v>
      </c>
      <c r="C1080" s="61">
        <v>18993.86</v>
      </c>
      <c r="H1080" s="86">
        <v>43675</v>
      </c>
      <c r="I1080" s="61">
        <v>37686.370000000003</v>
      </c>
    </row>
    <row r="1081" spans="2:9">
      <c r="B1081" s="86">
        <v>44172</v>
      </c>
      <c r="C1081" s="61">
        <v>18941.150000000001</v>
      </c>
      <c r="H1081" s="86">
        <v>43676</v>
      </c>
      <c r="I1081" s="61">
        <v>37397.24</v>
      </c>
    </row>
    <row r="1082" spans="2:9">
      <c r="B1082" s="86">
        <v>44169</v>
      </c>
      <c r="C1082" s="61">
        <v>18803.27</v>
      </c>
      <c r="H1082" s="86">
        <v>43677</v>
      </c>
      <c r="I1082" s="61">
        <v>37481.120000000003</v>
      </c>
    </row>
    <row r="1083" spans="2:9">
      <c r="B1083" s="86">
        <v>44168</v>
      </c>
      <c r="C1083" s="61">
        <v>18626.53</v>
      </c>
      <c r="H1083" s="86">
        <v>43678</v>
      </c>
      <c r="I1083" s="61">
        <v>37018.32</v>
      </c>
    </row>
    <row r="1084" spans="2:9">
      <c r="B1084" s="86">
        <v>44167</v>
      </c>
      <c r="C1084" s="61">
        <v>18597.900000000001</v>
      </c>
      <c r="H1084" s="86">
        <v>43679</v>
      </c>
      <c r="I1084" s="61">
        <v>37118.22</v>
      </c>
    </row>
    <row r="1085" spans="2:9">
      <c r="B1085" s="86">
        <v>44166</v>
      </c>
      <c r="C1085" s="61">
        <v>18591.25</v>
      </c>
      <c r="H1085" s="86">
        <v>43682</v>
      </c>
      <c r="I1085" s="61">
        <v>36699.839999999997</v>
      </c>
    </row>
    <row r="1086" spans="2:9">
      <c r="B1086" s="86">
        <v>44162</v>
      </c>
      <c r="C1086" s="61">
        <v>18392.54</v>
      </c>
      <c r="H1086" s="86">
        <v>43683</v>
      </c>
      <c r="I1086" s="61">
        <v>36976.85</v>
      </c>
    </row>
    <row r="1087" spans="2:9">
      <c r="B1087" s="86">
        <v>44161</v>
      </c>
      <c r="C1087" s="61">
        <v>18418.16</v>
      </c>
      <c r="H1087" s="86">
        <v>43684</v>
      </c>
      <c r="I1087" s="61">
        <v>36690.5</v>
      </c>
    </row>
    <row r="1088" spans="2:9">
      <c r="B1088" s="86">
        <v>44160</v>
      </c>
      <c r="C1088" s="61">
        <v>18235.759999999998</v>
      </c>
      <c r="H1088" s="86">
        <v>43685</v>
      </c>
      <c r="I1088" s="61">
        <v>37327.360000000001</v>
      </c>
    </row>
    <row r="1089" spans="2:9">
      <c r="B1089" s="86">
        <v>44159</v>
      </c>
      <c r="C1089" s="61">
        <v>18514.82</v>
      </c>
      <c r="H1089" s="86">
        <v>43686</v>
      </c>
      <c r="I1089" s="61">
        <v>37581.910000000003</v>
      </c>
    </row>
    <row r="1090" spans="2:9">
      <c r="B1090" s="86">
        <v>44158</v>
      </c>
      <c r="C1090" s="61">
        <v>18332.330000000002</v>
      </c>
      <c r="H1090" s="86">
        <v>43690</v>
      </c>
      <c r="I1090" s="61">
        <v>36958.160000000003</v>
      </c>
    </row>
    <row r="1091" spans="2:9">
      <c r="B1091" s="86">
        <v>44155</v>
      </c>
      <c r="C1091" s="61">
        <v>18236.68</v>
      </c>
      <c r="H1091" s="86">
        <v>43691</v>
      </c>
      <c r="I1091" s="61">
        <v>37311.53</v>
      </c>
    </row>
    <row r="1092" spans="2:9">
      <c r="B1092" s="86">
        <v>44154</v>
      </c>
      <c r="C1092" s="61">
        <v>18112.830000000002</v>
      </c>
      <c r="H1092" s="86">
        <v>43693</v>
      </c>
      <c r="I1092" s="61">
        <v>37350.33</v>
      </c>
    </row>
    <row r="1093" spans="2:9">
      <c r="B1093" s="86">
        <v>44153</v>
      </c>
      <c r="C1093" s="61">
        <v>18349.02</v>
      </c>
      <c r="H1093" s="86">
        <v>43696</v>
      </c>
      <c r="I1093" s="61">
        <v>37402.49</v>
      </c>
    </row>
    <row r="1094" spans="2:9">
      <c r="B1094" s="86">
        <v>44152</v>
      </c>
      <c r="C1094" s="61">
        <v>18258.23</v>
      </c>
      <c r="H1094" s="86">
        <v>43697</v>
      </c>
      <c r="I1094" s="61">
        <v>37328.01</v>
      </c>
    </row>
    <row r="1095" spans="2:9">
      <c r="B1095" s="86">
        <v>44149</v>
      </c>
      <c r="C1095" s="61">
        <v>18124.93</v>
      </c>
      <c r="H1095" s="86">
        <v>43698</v>
      </c>
      <c r="I1095" s="61">
        <v>37060.370000000003</v>
      </c>
    </row>
    <row r="1096" spans="2:9">
      <c r="B1096" s="86">
        <v>44148</v>
      </c>
      <c r="C1096" s="61">
        <v>18039.439999999999</v>
      </c>
      <c r="H1096" s="86">
        <v>43699</v>
      </c>
      <c r="I1096" s="61">
        <v>36472.93</v>
      </c>
    </row>
    <row r="1097" spans="2:9">
      <c r="B1097" s="86">
        <v>44147</v>
      </c>
      <c r="C1097" s="61">
        <v>17998.11</v>
      </c>
      <c r="H1097" s="86">
        <v>43700</v>
      </c>
      <c r="I1097" s="61">
        <v>36701.160000000003</v>
      </c>
    </row>
    <row r="1098" spans="2:9">
      <c r="B1098" s="86">
        <v>44146</v>
      </c>
      <c r="C1098" s="61">
        <v>18080.84</v>
      </c>
      <c r="H1098" s="86">
        <v>43703</v>
      </c>
      <c r="I1098" s="61">
        <v>37494.120000000003</v>
      </c>
    </row>
    <row r="1099" spans="2:9">
      <c r="B1099" s="86">
        <v>44145</v>
      </c>
      <c r="C1099" s="61">
        <v>17913.400000000001</v>
      </c>
      <c r="H1099" s="86">
        <v>43704</v>
      </c>
      <c r="I1099" s="61">
        <v>37641.269999999997</v>
      </c>
    </row>
    <row r="1100" spans="2:9">
      <c r="B1100" s="86">
        <v>44144</v>
      </c>
      <c r="C1100" s="61">
        <v>17672.25</v>
      </c>
      <c r="H1100" s="86">
        <v>43705</v>
      </c>
      <c r="I1100" s="61">
        <v>37451.839999999997</v>
      </c>
    </row>
    <row r="1101" spans="2:9">
      <c r="B1101" s="86">
        <v>44141</v>
      </c>
      <c r="C1101" s="61">
        <v>17392.14</v>
      </c>
      <c r="H1101" s="86">
        <v>43706</v>
      </c>
      <c r="I1101" s="61">
        <v>37068.93</v>
      </c>
    </row>
    <row r="1102" spans="2:9">
      <c r="B1102" s="86">
        <v>44140</v>
      </c>
      <c r="C1102" s="61">
        <v>17189.03</v>
      </c>
      <c r="H1102" s="86">
        <v>43707</v>
      </c>
      <c r="I1102" s="61">
        <v>37332.79</v>
      </c>
    </row>
    <row r="1103" spans="2:9">
      <c r="B1103" s="86">
        <v>44139</v>
      </c>
      <c r="C1103" s="61">
        <v>16888.650000000001</v>
      </c>
      <c r="H1103" s="86">
        <v>43711</v>
      </c>
      <c r="I1103" s="61">
        <v>36562.910000000003</v>
      </c>
    </row>
    <row r="1104" spans="2:9">
      <c r="B1104" s="86">
        <v>44138</v>
      </c>
      <c r="C1104" s="61">
        <v>16746.75</v>
      </c>
      <c r="H1104" s="86">
        <v>43712</v>
      </c>
      <c r="I1104" s="61">
        <v>36724.74</v>
      </c>
    </row>
    <row r="1105" spans="2:9">
      <c r="B1105" s="86">
        <v>44137</v>
      </c>
      <c r="C1105" s="61">
        <v>16542.080000000002</v>
      </c>
      <c r="H1105" s="86">
        <v>43713</v>
      </c>
      <c r="I1105" s="61">
        <v>36644.42</v>
      </c>
    </row>
    <row r="1106" spans="2:9">
      <c r="B1106" s="86">
        <v>44134</v>
      </c>
      <c r="C1106" s="61">
        <v>16504.16</v>
      </c>
      <c r="H1106" s="86">
        <v>43714</v>
      </c>
      <c r="I1106" s="61">
        <v>36981.769999999997</v>
      </c>
    </row>
    <row r="1107" spans="2:9">
      <c r="B1107" s="86">
        <v>44133</v>
      </c>
      <c r="C1107" s="61">
        <v>16544.45</v>
      </c>
      <c r="H1107" s="86">
        <v>43717</v>
      </c>
      <c r="I1107" s="61">
        <v>37145.449999999997</v>
      </c>
    </row>
    <row r="1108" spans="2:9">
      <c r="B1108" s="86">
        <v>44132</v>
      </c>
      <c r="C1108" s="61">
        <v>16623.13</v>
      </c>
      <c r="H1108" s="86">
        <v>43719</v>
      </c>
      <c r="I1108" s="61">
        <v>37270.82</v>
      </c>
    </row>
    <row r="1109" spans="2:9">
      <c r="B1109" s="86">
        <v>44131</v>
      </c>
      <c r="C1109" s="61">
        <v>16844.96</v>
      </c>
      <c r="H1109" s="86">
        <v>43720</v>
      </c>
      <c r="I1109" s="61">
        <v>37104.28</v>
      </c>
    </row>
    <row r="1110" spans="2:9">
      <c r="B1110" s="86">
        <v>44130</v>
      </c>
      <c r="C1110" s="61">
        <v>16672.62</v>
      </c>
      <c r="H1110" s="86">
        <v>43721</v>
      </c>
      <c r="I1110" s="61">
        <v>37384.99</v>
      </c>
    </row>
    <row r="1111" spans="2:9">
      <c r="B1111" s="86">
        <v>44127</v>
      </c>
      <c r="C1111" s="61">
        <v>16902.96</v>
      </c>
      <c r="H1111" s="86">
        <v>43724</v>
      </c>
      <c r="I1111" s="61">
        <v>37123.31</v>
      </c>
    </row>
    <row r="1112" spans="2:9">
      <c r="B1112" s="86">
        <v>44126</v>
      </c>
      <c r="C1112" s="61">
        <v>16840.52</v>
      </c>
      <c r="H1112" s="86">
        <v>43725</v>
      </c>
      <c r="I1112" s="61">
        <v>36481.089999999997</v>
      </c>
    </row>
    <row r="1113" spans="2:9">
      <c r="B1113" s="86">
        <v>44125</v>
      </c>
      <c r="C1113" s="61">
        <v>16897.43</v>
      </c>
      <c r="H1113" s="86">
        <v>43726</v>
      </c>
      <c r="I1113" s="61">
        <v>36563.879999999997</v>
      </c>
    </row>
    <row r="1114" spans="2:9">
      <c r="B1114" s="86">
        <v>44124</v>
      </c>
      <c r="C1114" s="61">
        <v>16839.599999999999</v>
      </c>
      <c r="H1114" s="86">
        <v>43727</v>
      </c>
      <c r="I1114" s="61">
        <v>36093.47</v>
      </c>
    </row>
    <row r="1115" spans="2:9">
      <c r="B1115" s="86">
        <v>44123</v>
      </c>
      <c r="C1115" s="61">
        <v>16805.97</v>
      </c>
      <c r="H1115" s="86">
        <v>43728</v>
      </c>
      <c r="I1115" s="61">
        <v>38014.620000000003</v>
      </c>
    </row>
    <row r="1116" spans="2:9">
      <c r="B1116" s="86">
        <v>44120</v>
      </c>
      <c r="C1116" s="61">
        <v>16649.46</v>
      </c>
      <c r="H1116" s="86">
        <v>43731</v>
      </c>
      <c r="I1116" s="61">
        <v>39090.03</v>
      </c>
    </row>
    <row r="1117" spans="2:9">
      <c r="B1117" s="86">
        <v>44119</v>
      </c>
      <c r="C1117" s="61">
        <v>16533.240000000002</v>
      </c>
      <c r="H1117" s="86">
        <v>43732</v>
      </c>
      <c r="I1117" s="61">
        <v>39097.14</v>
      </c>
    </row>
    <row r="1118" spans="2:9">
      <c r="B1118" s="86">
        <v>44118</v>
      </c>
      <c r="C1118" s="61">
        <v>16944.73</v>
      </c>
      <c r="H1118" s="86">
        <v>43733</v>
      </c>
      <c r="I1118" s="61">
        <v>38593.519999999997</v>
      </c>
    </row>
    <row r="1119" spans="2:9">
      <c r="B1119" s="86">
        <v>44117</v>
      </c>
      <c r="C1119" s="61">
        <v>16888.87</v>
      </c>
      <c r="H1119" s="86">
        <v>43734</v>
      </c>
      <c r="I1119" s="61">
        <v>38989.74</v>
      </c>
    </row>
    <row r="1120" spans="2:9">
      <c r="B1120" s="86">
        <v>44116</v>
      </c>
      <c r="C1120" s="61">
        <v>16883.84</v>
      </c>
      <c r="H1120" s="86">
        <v>43735</v>
      </c>
      <c r="I1120" s="61">
        <v>38822.57</v>
      </c>
    </row>
    <row r="1121" spans="2:9">
      <c r="B1121" s="86">
        <v>44113</v>
      </c>
      <c r="C1121" s="61">
        <v>16860.11</v>
      </c>
      <c r="H1121" s="86">
        <v>43738</v>
      </c>
      <c r="I1121" s="61">
        <v>38667.33</v>
      </c>
    </row>
    <row r="1122" spans="2:9">
      <c r="B1122" s="86">
        <v>44112</v>
      </c>
      <c r="C1122" s="61">
        <v>16747.48</v>
      </c>
      <c r="H1122" s="86">
        <v>43739</v>
      </c>
      <c r="I1122" s="61">
        <v>38305.410000000003</v>
      </c>
    </row>
    <row r="1123" spans="2:9">
      <c r="B1123" s="86">
        <v>44111</v>
      </c>
      <c r="C1123" s="61">
        <v>16611.96</v>
      </c>
      <c r="H1123" s="86">
        <v>43741</v>
      </c>
      <c r="I1123" s="61">
        <v>38106.870000000003</v>
      </c>
    </row>
    <row r="1124" spans="2:9">
      <c r="B1124" s="86">
        <v>44110</v>
      </c>
      <c r="C1124" s="61">
        <v>16503.77</v>
      </c>
      <c r="H1124" s="86">
        <v>43742</v>
      </c>
      <c r="I1124" s="61">
        <v>37673.31</v>
      </c>
    </row>
    <row r="1125" spans="2:9">
      <c r="B1125" s="86">
        <v>44109</v>
      </c>
      <c r="C1125" s="61">
        <v>16278.72</v>
      </c>
      <c r="H1125" s="86">
        <v>43745</v>
      </c>
      <c r="I1125" s="61">
        <v>37531.980000000003</v>
      </c>
    </row>
    <row r="1126" spans="2:9">
      <c r="B1126" s="86">
        <v>44105</v>
      </c>
      <c r="C1126" s="61">
        <v>16156.44</v>
      </c>
      <c r="H1126" s="86">
        <v>43747</v>
      </c>
      <c r="I1126" s="61">
        <v>38177.949999999997</v>
      </c>
    </row>
    <row r="1127" spans="2:9">
      <c r="B1127" s="86">
        <v>44104</v>
      </c>
      <c r="C1127" s="61">
        <v>15916.72</v>
      </c>
      <c r="H1127" s="86">
        <v>43748</v>
      </c>
      <c r="I1127" s="61">
        <v>37880.400000000001</v>
      </c>
    </row>
    <row r="1128" spans="2:9">
      <c r="B1128" s="86">
        <v>44103</v>
      </c>
      <c r="C1128" s="61">
        <v>15881.16</v>
      </c>
      <c r="H1128" s="86">
        <v>43749</v>
      </c>
      <c r="I1128" s="61">
        <v>38127.08</v>
      </c>
    </row>
    <row r="1129" spans="2:9">
      <c r="B1129" s="86">
        <v>44102</v>
      </c>
      <c r="C1129" s="61">
        <v>15888.44</v>
      </c>
      <c r="H1129" s="86">
        <v>43752</v>
      </c>
      <c r="I1129" s="61">
        <v>38214.47</v>
      </c>
    </row>
    <row r="1130" spans="2:9">
      <c r="B1130" s="86">
        <v>44099</v>
      </c>
      <c r="C1130" s="61">
        <v>15637.53</v>
      </c>
      <c r="H1130" s="86">
        <v>43753</v>
      </c>
      <c r="I1130" s="61">
        <v>38506.089999999997</v>
      </c>
    </row>
    <row r="1131" spans="2:9">
      <c r="B1131" s="86">
        <v>44098</v>
      </c>
      <c r="C1131" s="61">
        <v>15291.25</v>
      </c>
      <c r="H1131" s="86">
        <v>43754</v>
      </c>
      <c r="I1131" s="61">
        <v>38598.99</v>
      </c>
    </row>
    <row r="1132" spans="2:9">
      <c r="B1132" s="86">
        <v>44097</v>
      </c>
      <c r="C1132" s="61">
        <v>15752.97</v>
      </c>
      <c r="H1132" s="86">
        <v>43755</v>
      </c>
      <c r="I1132" s="61">
        <v>39052.06</v>
      </c>
    </row>
    <row r="1133" spans="2:9">
      <c r="B1133" s="86">
        <v>44096</v>
      </c>
      <c r="C1133" s="61">
        <v>15783.87</v>
      </c>
      <c r="H1133" s="86">
        <v>43756</v>
      </c>
      <c r="I1133" s="61">
        <v>39298.379999999997</v>
      </c>
    </row>
    <row r="1134" spans="2:9">
      <c r="B1134" s="86">
        <v>44095</v>
      </c>
      <c r="C1134" s="61">
        <v>15920.99</v>
      </c>
      <c r="H1134" s="86">
        <v>43760</v>
      </c>
      <c r="I1134" s="61">
        <v>38963.839999999997</v>
      </c>
    </row>
    <row r="1135" spans="2:9">
      <c r="B1135" s="86">
        <v>44092</v>
      </c>
      <c r="C1135" s="61">
        <v>16281</v>
      </c>
      <c r="H1135" s="86">
        <v>43761</v>
      </c>
      <c r="I1135" s="61">
        <v>39058.83</v>
      </c>
    </row>
    <row r="1136" spans="2:9">
      <c r="B1136" s="86">
        <v>44091</v>
      </c>
      <c r="C1136" s="61">
        <v>16296.78</v>
      </c>
      <c r="H1136" s="86">
        <v>43762</v>
      </c>
      <c r="I1136" s="61">
        <v>39020.39</v>
      </c>
    </row>
    <row r="1137" spans="2:9">
      <c r="B1137" s="86">
        <v>44090</v>
      </c>
      <c r="C1137" s="61">
        <v>16421.95</v>
      </c>
      <c r="H1137" s="86">
        <v>43763</v>
      </c>
      <c r="I1137" s="61">
        <v>39058.06</v>
      </c>
    </row>
    <row r="1138" spans="2:9">
      <c r="B1138" s="86">
        <v>44089</v>
      </c>
      <c r="C1138" s="61">
        <v>16304.84</v>
      </c>
      <c r="H1138" s="86">
        <v>43765</v>
      </c>
      <c r="I1138" s="61">
        <v>39250.199999999997</v>
      </c>
    </row>
    <row r="1139" spans="2:9">
      <c r="B1139" s="86">
        <v>44088</v>
      </c>
      <c r="C1139" s="61">
        <v>16189.14</v>
      </c>
      <c r="H1139" s="86">
        <v>43767</v>
      </c>
      <c r="I1139" s="61">
        <v>39831.839999999997</v>
      </c>
    </row>
    <row r="1140" spans="2:9">
      <c r="B1140" s="86">
        <v>44085</v>
      </c>
      <c r="C1140" s="61">
        <v>16222.92</v>
      </c>
      <c r="H1140" s="86">
        <v>43768</v>
      </c>
      <c r="I1140" s="61">
        <v>40051.870000000003</v>
      </c>
    </row>
    <row r="1141" spans="2:9">
      <c r="B1141" s="86">
        <v>44084</v>
      </c>
      <c r="C1141" s="61">
        <v>16201.44</v>
      </c>
      <c r="H1141" s="86">
        <v>43769</v>
      </c>
      <c r="I1141" s="61">
        <v>40129.050000000003</v>
      </c>
    </row>
    <row r="1142" spans="2:9">
      <c r="B1142" s="86">
        <v>44083</v>
      </c>
      <c r="C1142" s="61">
        <v>15958.99</v>
      </c>
      <c r="H1142" s="86">
        <v>43770</v>
      </c>
      <c r="I1142" s="61">
        <v>40165.03</v>
      </c>
    </row>
    <row r="1143" spans="2:9">
      <c r="B1143" s="86">
        <v>44082</v>
      </c>
      <c r="C1143" s="61">
        <v>16014.67</v>
      </c>
      <c r="H1143" s="86">
        <v>43773</v>
      </c>
      <c r="I1143" s="61">
        <v>40301.96</v>
      </c>
    </row>
    <row r="1144" spans="2:9">
      <c r="B1144" s="86">
        <v>44081</v>
      </c>
      <c r="C1144" s="61">
        <v>16068.06</v>
      </c>
      <c r="H1144" s="86">
        <v>43774</v>
      </c>
      <c r="I1144" s="61">
        <v>40248.230000000003</v>
      </c>
    </row>
    <row r="1145" spans="2:9">
      <c r="B1145" s="86">
        <v>44078</v>
      </c>
      <c r="C1145" s="61">
        <v>16038.07</v>
      </c>
      <c r="H1145" s="86">
        <v>43775</v>
      </c>
      <c r="I1145" s="61">
        <v>40469.78</v>
      </c>
    </row>
    <row r="1146" spans="2:9">
      <c r="B1146" s="86">
        <v>44077</v>
      </c>
      <c r="C1146" s="61">
        <v>16311.99</v>
      </c>
      <c r="H1146" s="86">
        <v>43776</v>
      </c>
      <c r="I1146" s="61">
        <v>40653.74</v>
      </c>
    </row>
    <row r="1147" spans="2:9">
      <c r="B1147" s="86">
        <v>44076</v>
      </c>
      <c r="C1147" s="61">
        <v>16322.17</v>
      </c>
      <c r="H1147" s="86">
        <v>43777</v>
      </c>
      <c r="I1147" s="61">
        <v>40323.61</v>
      </c>
    </row>
    <row r="1148" spans="2:9">
      <c r="B1148" s="86">
        <v>44075</v>
      </c>
      <c r="C1148" s="61">
        <v>16227.14</v>
      </c>
      <c r="H1148" s="86">
        <v>43780</v>
      </c>
      <c r="I1148" s="61">
        <v>40345.08</v>
      </c>
    </row>
    <row r="1149" spans="2:9">
      <c r="B1149" s="86">
        <v>44074</v>
      </c>
      <c r="C1149" s="61">
        <v>16110.07</v>
      </c>
      <c r="H1149" s="86">
        <v>43782</v>
      </c>
      <c r="I1149" s="61">
        <v>40116.06</v>
      </c>
    </row>
    <row r="1150" spans="2:9">
      <c r="B1150" s="86">
        <v>44071</v>
      </c>
      <c r="C1150" s="61">
        <v>16478.009999999998</v>
      </c>
      <c r="H1150" s="86">
        <v>43783</v>
      </c>
      <c r="I1150" s="61">
        <v>40286.480000000003</v>
      </c>
    </row>
    <row r="1151" spans="2:9">
      <c r="B1151" s="86">
        <v>44070</v>
      </c>
      <c r="C1151" s="61">
        <v>16353.08</v>
      </c>
      <c r="H1151" s="86">
        <v>43784</v>
      </c>
      <c r="I1151" s="61">
        <v>40356.69</v>
      </c>
    </row>
    <row r="1152" spans="2:9">
      <c r="B1152" s="86">
        <v>44069</v>
      </c>
      <c r="C1152" s="61">
        <v>16339.41</v>
      </c>
      <c r="H1152" s="86">
        <v>43787</v>
      </c>
      <c r="I1152" s="61">
        <v>40284.19</v>
      </c>
    </row>
    <row r="1153" spans="2:9">
      <c r="B1153" s="86">
        <v>44068</v>
      </c>
      <c r="C1153" s="61">
        <v>16226.2</v>
      </c>
      <c r="H1153" s="86">
        <v>43788</v>
      </c>
      <c r="I1153" s="61">
        <v>40469.699999999997</v>
      </c>
    </row>
    <row r="1154" spans="2:9">
      <c r="B1154" s="86">
        <v>44067</v>
      </c>
      <c r="C1154" s="61">
        <v>16218.02</v>
      </c>
      <c r="H1154" s="86">
        <v>43789</v>
      </c>
      <c r="I1154" s="61">
        <v>40651.64</v>
      </c>
    </row>
    <row r="1155" spans="2:9">
      <c r="B1155" s="86">
        <v>44064</v>
      </c>
      <c r="C1155" s="61">
        <v>16083.84</v>
      </c>
      <c r="H1155" s="86">
        <v>43790</v>
      </c>
      <c r="I1155" s="61">
        <v>40575.17</v>
      </c>
    </row>
    <row r="1156" spans="2:9">
      <c r="B1156" s="86">
        <v>44063</v>
      </c>
      <c r="C1156" s="61">
        <v>15999.86</v>
      </c>
      <c r="H1156" s="86">
        <v>43791</v>
      </c>
      <c r="I1156" s="61">
        <v>40359.410000000003</v>
      </c>
    </row>
    <row r="1157" spans="2:9">
      <c r="B1157" s="86">
        <v>44062</v>
      </c>
      <c r="C1157" s="61">
        <v>16135.89</v>
      </c>
      <c r="H1157" s="86">
        <v>43794</v>
      </c>
      <c r="I1157" s="61">
        <v>40889.230000000003</v>
      </c>
    </row>
    <row r="1158" spans="2:9">
      <c r="B1158" s="86">
        <v>44061</v>
      </c>
      <c r="C1158" s="61">
        <v>16101.86</v>
      </c>
      <c r="H1158" s="86">
        <v>43795</v>
      </c>
      <c r="I1158" s="61">
        <v>40821.300000000003</v>
      </c>
    </row>
    <row r="1159" spans="2:9">
      <c r="B1159" s="86">
        <v>44060</v>
      </c>
      <c r="C1159" s="61">
        <v>15906.29</v>
      </c>
      <c r="H1159" s="86">
        <v>43796</v>
      </c>
      <c r="I1159" s="61">
        <v>41020.61</v>
      </c>
    </row>
    <row r="1160" spans="2:9">
      <c r="B1160" s="86">
        <v>44057</v>
      </c>
      <c r="C1160" s="61">
        <v>15809.17</v>
      </c>
      <c r="H1160" s="86">
        <v>43797</v>
      </c>
      <c r="I1160" s="61">
        <v>41130.17</v>
      </c>
    </row>
    <row r="1161" spans="2:9">
      <c r="B1161" s="86">
        <v>44056</v>
      </c>
      <c r="C1161" s="61">
        <v>15981.73</v>
      </c>
      <c r="H1161" s="86">
        <v>43798</v>
      </c>
      <c r="I1161" s="61">
        <v>40793.81</v>
      </c>
    </row>
    <row r="1162" spans="2:9">
      <c r="B1162" s="86">
        <v>44055</v>
      </c>
      <c r="C1162" s="61">
        <v>15986.03</v>
      </c>
      <c r="H1162" s="86">
        <v>43801</v>
      </c>
      <c r="I1162" s="61">
        <v>40802.17</v>
      </c>
    </row>
    <row r="1163" spans="2:9">
      <c r="B1163" s="86">
        <v>44054</v>
      </c>
      <c r="C1163" s="61">
        <v>16005.99</v>
      </c>
      <c r="H1163" s="86">
        <v>43802</v>
      </c>
      <c r="I1163" s="61">
        <v>40675.449999999997</v>
      </c>
    </row>
    <row r="1164" spans="2:9">
      <c r="B1164" s="86">
        <v>44053</v>
      </c>
      <c r="C1164" s="61">
        <v>15931.97</v>
      </c>
      <c r="H1164" s="86">
        <v>43803</v>
      </c>
      <c r="I1164" s="61">
        <v>40850.29</v>
      </c>
    </row>
    <row r="1165" spans="2:9">
      <c r="B1165" s="86">
        <v>44050</v>
      </c>
      <c r="C1165" s="61">
        <v>15852.65</v>
      </c>
      <c r="H1165" s="86">
        <v>43804</v>
      </c>
      <c r="I1165" s="61">
        <v>40779.589999999997</v>
      </c>
    </row>
    <row r="1166" spans="2:9">
      <c r="B1166" s="86">
        <v>44049</v>
      </c>
      <c r="C1166" s="61">
        <v>15833.02</v>
      </c>
      <c r="H1166" s="86">
        <v>43805</v>
      </c>
      <c r="I1166" s="61">
        <v>40445.15</v>
      </c>
    </row>
    <row r="1167" spans="2:9">
      <c r="B1167" s="86">
        <v>44048</v>
      </c>
      <c r="C1167" s="61">
        <v>15689.69</v>
      </c>
      <c r="H1167" s="86">
        <v>43808</v>
      </c>
      <c r="I1167" s="61">
        <v>40487.43</v>
      </c>
    </row>
    <row r="1168" spans="2:9">
      <c r="B1168" s="86">
        <v>44047</v>
      </c>
      <c r="C1168" s="61">
        <v>15676.74</v>
      </c>
      <c r="H1168" s="86">
        <v>43809</v>
      </c>
      <c r="I1168" s="61">
        <v>40239.879999999997</v>
      </c>
    </row>
    <row r="1169" spans="2:9">
      <c r="B1169" s="86">
        <v>44046</v>
      </c>
      <c r="C1169" s="61">
        <v>15388.98</v>
      </c>
      <c r="H1169" s="86">
        <v>43810</v>
      </c>
      <c r="I1169" s="61">
        <v>40412.57</v>
      </c>
    </row>
    <row r="1170" spans="2:9">
      <c r="B1170" s="86">
        <v>44043</v>
      </c>
      <c r="C1170" s="61">
        <v>15645.34</v>
      </c>
      <c r="H1170" s="86">
        <v>43811</v>
      </c>
      <c r="I1170" s="61">
        <v>40581.71</v>
      </c>
    </row>
    <row r="1171" spans="2:9">
      <c r="B1171" s="86">
        <v>44042</v>
      </c>
      <c r="C1171" s="61">
        <v>15685.92</v>
      </c>
      <c r="H1171" s="86">
        <v>43812</v>
      </c>
      <c r="I1171" s="61">
        <v>41009.71</v>
      </c>
    </row>
    <row r="1172" spans="2:9">
      <c r="B1172" s="86">
        <v>44041</v>
      </c>
      <c r="C1172" s="61">
        <v>15824.19</v>
      </c>
      <c r="H1172" s="86">
        <v>43815</v>
      </c>
      <c r="I1172" s="61">
        <v>40938.720000000001</v>
      </c>
    </row>
    <row r="1173" spans="2:9">
      <c r="B1173" s="86">
        <v>44040</v>
      </c>
      <c r="C1173" s="61">
        <v>15961.7</v>
      </c>
      <c r="H1173" s="86">
        <v>43816</v>
      </c>
      <c r="I1173" s="61">
        <v>41352.17</v>
      </c>
    </row>
    <row r="1174" spans="2:9">
      <c r="B1174" s="86">
        <v>44039</v>
      </c>
      <c r="C1174" s="61">
        <v>15723.39</v>
      </c>
      <c r="H1174" s="86">
        <v>43817</v>
      </c>
      <c r="I1174" s="61">
        <v>41558.57</v>
      </c>
    </row>
    <row r="1175" spans="2:9">
      <c r="B1175" s="86">
        <v>44036</v>
      </c>
      <c r="C1175" s="61">
        <v>15811.4</v>
      </c>
      <c r="H1175" s="86">
        <v>43818</v>
      </c>
      <c r="I1175" s="61">
        <v>41673.919999999998</v>
      </c>
    </row>
    <row r="1176" spans="2:9">
      <c r="B1176" s="86">
        <v>44035</v>
      </c>
      <c r="C1176" s="61">
        <v>15841.48</v>
      </c>
      <c r="H1176" s="86">
        <v>43819</v>
      </c>
      <c r="I1176" s="61">
        <v>41681.54</v>
      </c>
    </row>
    <row r="1177" spans="2:9">
      <c r="B1177" s="86">
        <v>44034</v>
      </c>
      <c r="C1177" s="61">
        <v>15722.51</v>
      </c>
      <c r="H1177" s="86">
        <v>43822</v>
      </c>
      <c r="I1177" s="61">
        <v>41642.660000000003</v>
      </c>
    </row>
    <row r="1178" spans="2:9">
      <c r="B1178" s="86">
        <v>44033</v>
      </c>
      <c r="C1178" s="61">
        <v>15764.41</v>
      </c>
      <c r="H1178" s="86">
        <v>43823</v>
      </c>
      <c r="I1178" s="61">
        <v>41461.26</v>
      </c>
    </row>
    <row r="1179" spans="2:9">
      <c r="B1179" s="86">
        <v>44032</v>
      </c>
      <c r="C1179" s="61">
        <v>15566.56</v>
      </c>
      <c r="H1179" s="86">
        <v>43825</v>
      </c>
      <c r="I1179" s="61">
        <v>41163.760000000002</v>
      </c>
    </row>
    <row r="1180" spans="2:9">
      <c r="B1180" s="86">
        <v>44029</v>
      </c>
      <c r="C1180" s="61">
        <v>15396.44</v>
      </c>
      <c r="H1180" s="86">
        <v>43826</v>
      </c>
      <c r="I1180" s="61">
        <v>41575.14</v>
      </c>
    </row>
    <row r="1181" spans="2:9">
      <c r="B1181" s="86">
        <v>44028</v>
      </c>
      <c r="C1181" s="61">
        <v>15167.99</v>
      </c>
      <c r="H1181" s="86">
        <v>43829</v>
      </c>
      <c r="I1181" s="61">
        <v>41558</v>
      </c>
    </row>
    <row r="1182" spans="2:9">
      <c r="B1182" s="86">
        <v>44027</v>
      </c>
      <c r="C1182" s="61">
        <v>14993.52</v>
      </c>
      <c r="H1182" s="86">
        <v>43830</v>
      </c>
      <c r="I1182" s="61">
        <v>41253.74</v>
      </c>
    </row>
    <row r="1183" spans="2:9">
      <c r="B1183" s="86">
        <v>44026</v>
      </c>
      <c r="C1183" s="61">
        <v>14978.23</v>
      </c>
      <c r="H1183" s="86">
        <v>43831</v>
      </c>
      <c r="I1183" s="61">
        <v>41306.019999999997</v>
      </c>
    </row>
    <row r="1184" spans="2:9">
      <c r="B1184" s="86">
        <v>44025</v>
      </c>
      <c r="C1184" s="61">
        <v>15254.09</v>
      </c>
      <c r="H1184" s="86">
        <v>43832</v>
      </c>
      <c r="I1184" s="61">
        <v>41626.639999999999</v>
      </c>
    </row>
    <row r="1185" spans="2:9">
      <c r="B1185" s="86">
        <v>44022</v>
      </c>
      <c r="C1185" s="61">
        <v>15204.13</v>
      </c>
      <c r="H1185" s="86">
        <v>43833</v>
      </c>
      <c r="I1185" s="61">
        <v>41464.61</v>
      </c>
    </row>
    <row r="1186" spans="2:9">
      <c r="B1186" s="86">
        <v>44021</v>
      </c>
      <c r="C1186" s="61">
        <v>15268.19</v>
      </c>
      <c r="H1186" s="86">
        <v>43836</v>
      </c>
      <c r="I1186" s="61">
        <v>40676.629999999997</v>
      </c>
    </row>
    <row r="1187" spans="2:9">
      <c r="B1187" s="86">
        <v>44020</v>
      </c>
      <c r="C1187" s="61">
        <v>15104.09</v>
      </c>
      <c r="H1187" s="86">
        <v>43837</v>
      </c>
      <c r="I1187" s="61">
        <v>40869.47</v>
      </c>
    </row>
    <row r="1188" spans="2:9">
      <c r="B1188" s="86">
        <v>44019</v>
      </c>
      <c r="C1188" s="61">
        <v>15236.58</v>
      </c>
      <c r="H1188" s="86">
        <v>43838</v>
      </c>
      <c r="I1188" s="61">
        <v>40817.74</v>
      </c>
    </row>
    <row r="1189" spans="2:9">
      <c r="B1189" s="86">
        <v>44018</v>
      </c>
      <c r="C1189" s="61">
        <v>15185.78</v>
      </c>
      <c r="H1189" s="86">
        <v>43839</v>
      </c>
      <c r="I1189" s="61">
        <v>41452.35</v>
      </c>
    </row>
    <row r="1190" spans="2:9">
      <c r="B1190" s="86">
        <v>44015</v>
      </c>
      <c r="C1190" s="61">
        <v>14964.59</v>
      </c>
      <c r="H1190" s="86">
        <v>43840</v>
      </c>
      <c r="I1190" s="61">
        <v>41599.72</v>
      </c>
    </row>
    <row r="1191" spans="2:9">
      <c r="B1191" s="86">
        <v>44014</v>
      </c>
      <c r="C1191" s="61">
        <v>14886.06</v>
      </c>
      <c r="H1191" s="86">
        <v>43843</v>
      </c>
      <c r="I1191" s="61">
        <v>41859.69</v>
      </c>
    </row>
    <row r="1192" spans="2:9">
      <c r="B1192" s="86">
        <v>44013</v>
      </c>
      <c r="C1192" s="61">
        <v>14707.64</v>
      </c>
      <c r="H1192" s="86">
        <v>43844</v>
      </c>
      <c r="I1192" s="61">
        <v>41952.63</v>
      </c>
    </row>
    <row r="1193" spans="2:9">
      <c r="B1193" s="86">
        <v>44012</v>
      </c>
      <c r="C1193" s="61">
        <v>14527.18</v>
      </c>
      <c r="H1193" s="86">
        <v>43845</v>
      </c>
      <c r="I1193" s="61">
        <v>41872.730000000003</v>
      </c>
    </row>
    <row r="1194" spans="2:9">
      <c r="B1194" s="86">
        <v>44011</v>
      </c>
      <c r="C1194" s="61">
        <v>14541.76</v>
      </c>
      <c r="H1194" s="86">
        <v>43846</v>
      </c>
      <c r="I1194" s="61">
        <v>41932.559999999998</v>
      </c>
    </row>
    <row r="1195" spans="2:9">
      <c r="B1195" s="86">
        <v>44008</v>
      </c>
      <c r="C1195" s="61">
        <v>14641.26</v>
      </c>
      <c r="H1195" s="86">
        <v>43847</v>
      </c>
      <c r="I1195" s="61">
        <v>41945.37</v>
      </c>
    </row>
    <row r="1196" spans="2:9">
      <c r="B1196" s="86">
        <v>44007</v>
      </c>
      <c r="C1196" s="61">
        <v>14508.61</v>
      </c>
      <c r="H1196" s="86">
        <v>43850</v>
      </c>
      <c r="I1196" s="61">
        <v>41528.910000000003</v>
      </c>
    </row>
    <row r="1197" spans="2:9">
      <c r="B1197" s="86">
        <v>44006</v>
      </c>
      <c r="C1197" s="61">
        <v>14531.72</v>
      </c>
      <c r="H1197" s="86">
        <v>43851</v>
      </c>
      <c r="I1197" s="61">
        <v>41323.81</v>
      </c>
    </row>
    <row r="1198" spans="2:9">
      <c r="B1198" s="86">
        <v>44005</v>
      </c>
      <c r="C1198" s="61">
        <v>14765.36</v>
      </c>
      <c r="H1198" s="86">
        <v>43852</v>
      </c>
      <c r="I1198" s="61">
        <v>41115.379999999997</v>
      </c>
    </row>
    <row r="1199" spans="2:9">
      <c r="B1199" s="86">
        <v>44004</v>
      </c>
      <c r="C1199" s="61">
        <v>14540.07</v>
      </c>
      <c r="H1199" s="86">
        <v>43853</v>
      </c>
      <c r="I1199" s="61">
        <v>41386.400000000001</v>
      </c>
    </row>
    <row r="1200" spans="2:9">
      <c r="B1200" s="86">
        <v>44001</v>
      </c>
      <c r="C1200" s="61">
        <v>14445.87</v>
      </c>
      <c r="H1200" s="86">
        <v>43854</v>
      </c>
      <c r="I1200" s="61">
        <v>41613.19</v>
      </c>
    </row>
    <row r="1201" spans="2:9">
      <c r="B1201" s="86">
        <v>44000</v>
      </c>
      <c r="C1201" s="61">
        <v>14227.14</v>
      </c>
      <c r="H1201" s="86">
        <v>43857</v>
      </c>
      <c r="I1201" s="61">
        <v>41155.120000000003</v>
      </c>
    </row>
    <row r="1202" spans="2:9">
      <c r="B1202" s="86">
        <v>43999</v>
      </c>
      <c r="C1202" s="61">
        <v>13930.35</v>
      </c>
      <c r="H1202" s="86">
        <v>43858</v>
      </c>
      <c r="I1202" s="61">
        <v>40966.86</v>
      </c>
    </row>
    <row r="1203" spans="2:9">
      <c r="B1203" s="86">
        <v>43998</v>
      </c>
      <c r="C1203" s="61">
        <v>13976.63</v>
      </c>
      <c r="H1203" s="86">
        <v>43859</v>
      </c>
      <c r="I1203" s="61">
        <v>41198.660000000003</v>
      </c>
    </row>
    <row r="1204" spans="2:9">
      <c r="B1204" s="86">
        <v>43997</v>
      </c>
      <c r="C1204" s="61">
        <v>13835.27</v>
      </c>
      <c r="H1204" s="86">
        <v>43860</v>
      </c>
      <c r="I1204" s="61">
        <v>40913.82</v>
      </c>
    </row>
    <row r="1205" spans="2:9">
      <c r="B1205" s="86">
        <v>43994</v>
      </c>
      <c r="C1205" s="61">
        <v>14059.69</v>
      </c>
      <c r="H1205" s="86">
        <v>43861</v>
      </c>
      <c r="I1205" s="61">
        <v>40723.49</v>
      </c>
    </row>
    <row r="1206" spans="2:9">
      <c r="B1206" s="86">
        <v>43993</v>
      </c>
      <c r="C1206" s="61">
        <v>13959.73</v>
      </c>
      <c r="H1206" s="86">
        <v>43862</v>
      </c>
      <c r="I1206" s="61">
        <v>39735.53</v>
      </c>
    </row>
    <row r="1207" spans="2:9">
      <c r="B1207" s="86">
        <v>43992</v>
      </c>
      <c r="C1207" s="61">
        <v>14260.91</v>
      </c>
      <c r="H1207" s="86">
        <v>43864</v>
      </c>
      <c r="I1207" s="61">
        <v>39872.31</v>
      </c>
    </row>
    <row r="1208" spans="2:9">
      <c r="B1208" s="86">
        <v>43991</v>
      </c>
      <c r="C1208" s="61">
        <v>14162.9</v>
      </c>
      <c r="H1208" s="86">
        <v>43865</v>
      </c>
      <c r="I1208" s="61">
        <v>40789.379999999997</v>
      </c>
    </row>
    <row r="1209" spans="2:9">
      <c r="B1209" s="86">
        <v>43990</v>
      </c>
      <c r="C1209" s="61">
        <v>14333.2</v>
      </c>
      <c r="H1209" s="86">
        <v>43866</v>
      </c>
      <c r="I1209" s="61">
        <v>41142.660000000003</v>
      </c>
    </row>
    <row r="1210" spans="2:9">
      <c r="B1210" s="86">
        <v>43987</v>
      </c>
      <c r="C1210" s="61">
        <v>14297.55</v>
      </c>
      <c r="H1210" s="86">
        <v>43867</v>
      </c>
      <c r="I1210" s="61">
        <v>41306.03</v>
      </c>
    </row>
    <row r="1211" spans="2:9">
      <c r="B1211" s="86">
        <v>43986</v>
      </c>
      <c r="C1211" s="61">
        <v>14138.19</v>
      </c>
      <c r="H1211" s="86">
        <v>43868</v>
      </c>
      <c r="I1211" s="61">
        <v>41141.85</v>
      </c>
    </row>
    <row r="1212" spans="2:9">
      <c r="B1212" s="86">
        <v>43985</v>
      </c>
      <c r="C1212" s="61">
        <v>14183.95</v>
      </c>
      <c r="H1212" s="86">
        <v>43871</v>
      </c>
      <c r="I1212" s="61">
        <v>40979.620000000003</v>
      </c>
    </row>
    <row r="1213" spans="2:9">
      <c r="B1213" s="86">
        <v>43984</v>
      </c>
      <c r="C1213" s="61">
        <v>14065.56</v>
      </c>
      <c r="H1213" s="86">
        <v>43872</v>
      </c>
      <c r="I1213" s="61">
        <v>41216.14</v>
      </c>
    </row>
    <row r="1214" spans="2:9">
      <c r="B1214" s="86">
        <v>43983</v>
      </c>
      <c r="C1214" s="61">
        <v>13850</v>
      </c>
      <c r="H1214" s="86">
        <v>43873</v>
      </c>
      <c r="I1214" s="61">
        <v>41565.9</v>
      </c>
    </row>
    <row r="1215" spans="2:9">
      <c r="B1215" s="86">
        <v>43980</v>
      </c>
      <c r="C1215" s="61">
        <v>13503.45</v>
      </c>
      <c r="H1215" s="86">
        <v>43874</v>
      </c>
      <c r="I1215" s="61">
        <v>41459.79</v>
      </c>
    </row>
    <row r="1216" spans="2:9">
      <c r="B1216" s="86">
        <v>43979</v>
      </c>
      <c r="C1216" s="61">
        <v>13364.65</v>
      </c>
      <c r="H1216" s="86">
        <v>43875</v>
      </c>
      <c r="I1216" s="61">
        <v>41257.74</v>
      </c>
    </row>
    <row r="1217" spans="2:9">
      <c r="B1217" s="86">
        <v>43978</v>
      </c>
      <c r="C1217" s="61">
        <v>13117.99</v>
      </c>
      <c r="H1217" s="86">
        <v>43878</v>
      </c>
      <c r="I1217" s="61">
        <v>41055.69</v>
      </c>
    </row>
    <row r="1218" spans="2:9">
      <c r="B1218" s="86">
        <v>43977</v>
      </c>
      <c r="C1218" s="61">
        <v>12715.39</v>
      </c>
      <c r="H1218" s="86">
        <v>43879</v>
      </c>
      <c r="I1218" s="61">
        <v>40894.379999999997</v>
      </c>
    </row>
    <row r="1219" spans="2:9">
      <c r="B1219" s="86">
        <v>43973</v>
      </c>
      <c r="C1219" s="61">
        <v>12729.74</v>
      </c>
      <c r="H1219" s="86">
        <v>43880</v>
      </c>
      <c r="I1219" s="61">
        <v>41323</v>
      </c>
    </row>
    <row r="1220" spans="2:9">
      <c r="B1220" s="86">
        <v>43972</v>
      </c>
      <c r="C1220" s="61">
        <v>12824.12</v>
      </c>
      <c r="H1220" s="86">
        <v>43881</v>
      </c>
      <c r="I1220" s="61">
        <v>41170.120000000003</v>
      </c>
    </row>
    <row r="1221" spans="2:9">
      <c r="B1221" s="86">
        <v>43971</v>
      </c>
      <c r="C1221" s="61">
        <v>12768.2</v>
      </c>
      <c r="H1221" s="86">
        <v>43885</v>
      </c>
      <c r="I1221" s="61">
        <v>40363.230000000003</v>
      </c>
    </row>
    <row r="1222" spans="2:9">
      <c r="B1222" s="86">
        <v>43970</v>
      </c>
      <c r="C1222" s="61">
        <v>12504.22</v>
      </c>
      <c r="H1222" s="86">
        <v>43886</v>
      </c>
      <c r="I1222" s="61">
        <v>40281.199999999997</v>
      </c>
    </row>
    <row r="1223" spans="2:9">
      <c r="B1223" s="86">
        <v>43969</v>
      </c>
      <c r="C1223" s="61">
        <v>12425.57</v>
      </c>
      <c r="H1223" s="86">
        <v>43887</v>
      </c>
      <c r="I1223" s="61">
        <v>39888.959999999999</v>
      </c>
    </row>
    <row r="1224" spans="2:9">
      <c r="B1224" s="86">
        <v>43966</v>
      </c>
      <c r="C1224" s="61">
        <v>12867.16</v>
      </c>
      <c r="H1224" s="86">
        <v>43888</v>
      </c>
      <c r="I1224" s="61">
        <v>39745.660000000003</v>
      </c>
    </row>
    <row r="1225" spans="2:9">
      <c r="B1225" s="86">
        <v>43965</v>
      </c>
      <c r="C1225" s="61">
        <v>12875.51</v>
      </c>
      <c r="H1225" s="86">
        <v>43889</v>
      </c>
      <c r="I1225" s="61">
        <v>38297.29</v>
      </c>
    </row>
    <row r="1226" spans="2:9">
      <c r="B1226" s="86">
        <v>43964</v>
      </c>
      <c r="C1226" s="61">
        <v>13214.58</v>
      </c>
      <c r="H1226" s="86">
        <v>43892</v>
      </c>
      <c r="I1226" s="61">
        <v>38144.019999999997</v>
      </c>
    </row>
    <row r="1227" spans="2:9">
      <c r="B1227" s="86">
        <v>43963</v>
      </c>
      <c r="C1227" s="61">
        <v>12951.29</v>
      </c>
      <c r="H1227" s="86">
        <v>43893</v>
      </c>
      <c r="I1227" s="61">
        <v>38623.699999999997</v>
      </c>
    </row>
    <row r="1228" spans="2:9">
      <c r="B1228" s="86">
        <v>43962</v>
      </c>
      <c r="C1228" s="61">
        <v>13011.35</v>
      </c>
      <c r="H1228" s="86">
        <v>43894</v>
      </c>
      <c r="I1228" s="61">
        <v>38409.480000000003</v>
      </c>
    </row>
    <row r="1229" spans="2:9">
      <c r="B1229" s="86">
        <v>43959</v>
      </c>
      <c r="C1229" s="61">
        <v>13028.62</v>
      </c>
      <c r="H1229" s="86">
        <v>43895</v>
      </c>
      <c r="I1229" s="61">
        <v>38470.61</v>
      </c>
    </row>
    <row r="1230" spans="2:9">
      <c r="B1230" s="86">
        <v>43958</v>
      </c>
      <c r="C1230" s="61">
        <v>12954.81</v>
      </c>
      <c r="H1230" s="86">
        <v>43896</v>
      </c>
      <c r="I1230" s="61">
        <v>37576.620000000003</v>
      </c>
    </row>
    <row r="1231" spans="2:9">
      <c r="B1231" s="86">
        <v>43957</v>
      </c>
      <c r="C1231" s="61">
        <v>13055.99</v>
      </c>
      <c r="H1231" s="86">
        <v>43899</v>
      </c>
      <c r="I1231" s="61">
        <v>35634.949999999997</v>
      </c>
    </row>
    <row r="1232" spans="2:9">
      <c r="B1232" s="86">
        <v>43956</v>
      </c>
      <c r="C1232" s="61">
        <v>12963.99</v>
      </c>
      <c r="H1232" s="86">
        <v>43901</v>
      </c>
      <c r="I1232" s="61">
        <v>35697.4</v>
      </c>
    </row>
    <row r="1233" spans="2:9">
      <c r="B1233" s="86">
        <v>43955</v>
      </c>
      <c r="C1233" s="61">
        <v>13086.63</v>
      </c>
      <c r="H1233" s="86">
        <v>43902</v>
      </c>
      <c r="I1233" s="61">
        <v>32778.14</v>
      </c>
    </row>
    <row r="1234" spans="2:9">
      <c r="B1234" s="86">
        <v>43951</v>
      </c>
      <c r="C1234" s="61">
        <v>13884.18</v>
      </c>
      <c r="H1234" s="86">
        <v>43903</v>
      </c>
      <c r="I1234" s="61">
        <v>34103.480000000003</v>
      </c>
    </row>
    <row r="1235" spans="2:9">
      <c r="B1235" s="86">
        <v>43950</v>
      </c>
      <c r="C1235" s="61">
        <v>13452.51</v>
      </c>
      <c r="H1235" s="86">
        <v>43906</v>
      </c>
      <c r="I1235" s="61">
        <v>31390.07</v>
      </c>
    </row>
    <row r="1236" spans="2:9">
      <c r="B1236" s="86">
        <v>43949</v>
      </c>
      <c r="C1236" s="61">
        <v>13208.29</v>
      </c>
      <c r="H1236" s="86">
        <v>43907</v>
      </c>
      <c r="I1236" s="61">
        <v>30579.09</v>
      </c>
    </row>
    <row r="1237" spans="2:9">
      <c r="B1237" s="86">
        <v>43948</v>
      </c>
      <c r="C1237" s="61">
        <v>13069.49</v>
      </c>
      <c r="H1237" s="86">
        <v>43908</v>
      </c>
      <c r="I1237" s="61">
        <v>28869.51</v>
      </c>
    </row>
    <row r="1238" spans="2:9">
      <c r="B1238" s="86">
        <v>43945</v>
      </c>
      <c r="C1238" s="61">
        <v>12889.39</v>
      </c>
      <c r="H1238" s="86">
        <v>43909</v>
      </c>
      <c r="I1238" s="61">
        <v>28288.23</v>
      </c>
    </row>
    <row r="1239" spans="2:9">
      <c r="B1239" s="86">
        <v>43944</v>
      </c>
      <c r="C1239" s="61">
        <v>13113.97</v>
      </c>
      <c r="H1239" s="86">
        <v>43910</v>
      </c>
      <c r="I1239" s="61">
        <v>29915.96</v>
      </c>
    </row>
    <row r="1240" spans="2:9">
      <c r="B1240" s="86">
        <v>43943</v>
      </c>
      <c r="C1240" s="61">
        <v>12935.73</v>
      </c>
      <c r="H1240" s="86">
        <v>43913</v>
      </c>
      <c r="I1240" s="61">
        <v>25981.24</v>
      </c>
    </row>
    <row r="1241" spans="2:9">
      <c r="B1241" s="86">
        <v>43942</v>
      </c>
      <c r="C1241" s="61">
        <v>12645.91</v>
      </c>
      <c r="H1241" s="86">
        <v>43914</v>
      </c>
      <c r="I1241" s="61">
        <v>26674.03</v>
      </c>
    </row>
    <row r="1242" spans="2:9">
      <c r="B1242" s="86">
        <v>43941</v>
      </c>
      <c r="C1242" s="61">
        <v>13040.65</v>
      </c>
      <c r="H1242" s="86">
        <v>43915</v>
      </c>
      <c r="I1242" s="61">
        <v>28535.78</v>
      </c>
    </row>
    <row r="1243" spans="2:9">
      <c r="B1243" s="86">
        <v>43938</v>
      </c>
      <c r="C1243" s="61">
        <v>13047.57</v>
      </c>
      <c r="H1243" s="86">
        <v>43916</v>
      </c>
      <c r="I1243" s="61">
        <v>29946.77</v>
      </c>
    </row>
    <row r="1244" spans="2:9">
      <c r="B1244" s="86">
        <v>43937</v>
      </c>
      <c r="C1244" s="61">
        <v>12661.83</v>
      </c>
      <c r="H1244" s="86">
        <v>43917</v>
      </c>
      <c r="I1244" s="61">
        <v>29815.59</v>
      </c>
    </row>
    <row r="1245" spans="2:9">
      <c r="B1245" s="86">
        <v>43936</v>
      </c>
      <c r="C1245" s="61">
        <v>12566.85</v>
      </c>
      <c r="H1245" s="86">
        <v>43920</v>
      </c>
      <c r="I1245" s="61">
        <v>28440.32</v>
      </c>
    </row>
    <row r="1246" spans="2:9">
      <c r="B1246" s="86">
        <v>43934</v>
      </c>
      <c r="C1246" s="61">
        <v>12663.31</v>
      </c>
      <c r="H1246" s="86">
        <v>43921</v>
      </c>
      <c r="I1246" s="61">
        <v>29468.49</v>
      </c>
    </row>
    <row r="1247" spans="2:9">
      <c r="B1247" s="86">
        <v>43930</v>
      </c>
      <c r="C1247" s="61">
        <v>12829.57</v>
      </c>
      <c r="H1247" s="86">
        <v>43922</v>
      </c>
      <c r="I1247" s="61">
        <v>28265.31</v>
      </c>
    </row>
    <row r="1248" spans="2:9">
      <c r="B1248" s="86">
        <v>43929</v>
      </c>
      <c r="C1248" s="61">
        <v>12318.25</v>
      </c>
      <c r="H1248" s="86">
        <v>43924</v>
      </c>
      <c r="I1248" s="61">
        <v>27590.95</v>
      </c>
    </row>
    <row r="1249" spans="2:9">
      <c r="B1249" s="86">
        <v>43928</v>
      </c>
      <c r="C1249" s="61">
        <v>12379.42</v>
      </c>
      <c r="H1249" s="86">
        <v>43928</v>
      </c>
      <c r="I1249" s="61">
        <v>30067.21</v>
      </c>
    </row>
    <row r="1250" spans="2:9">
      <c r="B1250" s="86">
        <v>43924</v>
      </c>
      <c r="C1250" s="61">
        <v>11382.02</v>
      </c>
      <c r="H1250" s="86">
        <v>43929</v>
      </c>
      <c r="I1250" s="61">
        <v>29893.96</v>
      </c>
    </row>
    <row r="1251" spans="2:9">
      <c r="B1251" s="86">
        <v>43922</v>
      </c>
      <c r="C1251" s="61">
        <v>11621.35</v>
      </c>
      <c r="H1251" s="86">
        <v>43930</v>
      </c>
      <c r="I1251" s="61">
        <v>31159.62</v>
      </c>
    </row>
    <row r="1252" spans="2:9">
      <c r="B1252" s="86">
        <v>43921</v>
      </c>
      <c r="C1252" s="61">
        <v>12105.66</v>
      </c>
      <c r="H1252" s="86">
        <v>43934</v>
      </c>
      <c r="I1252" s="61">
        <v>30690.02</v>
      </c>
    </row>
    <row r="1253" spans="2:9">
      <c r="B1253" s="86">
        <v>43920</v>
      </c>
      <c r="C1253" s="61">
        <v>11659.76</v>
      </c>
      <c r="H1253" s="86">
        <v>43936</v>
      </c>
      <c r="I1253" s="61">
        <v>30379.81</v>
      </c>
    </row>
    <row r="1254" spans="2:9">
      <c r="B1254" s="86">
        <v>43917</v>
      </c>
      <c r="C1254" s="61">
        <v>12193.62</v>
      </c>
      <c r="H1254" s="86">
        <v>43937</v>
      </c>
      <c r="I1254" s="61">
        <v>30602.61</v>
      </c>
    </row>
    <row r="1255" spans="2:9">
      <c r="B1255" s="86">
        <v>43916</v>
      </c>
      <c r="C1255" s="61">
        <v>12167.15</v>
      </c>
      <c r="H1255" s="86">
        <v>43938</v>
      </c>
      <c r="I1255" s="61">
        <v>31588.720000000001</v>
      </c>
    </row>
    <row r="1256" spans="2:9">
      <c r="B1256" s="86">
        <v>43915</v>
      </c>
      <c r="C1256" s="61">
        <v>11710.71</v>
      </c>
      <c r="H1256" s="86">
        <v>43941</v>
      </c>
      <c r="I1256" s="61">
        <v>31648</v>
      </c>
    </row>
    <row r="1257" spans="2:9">
      <c r="B1257" s="86">
        <v>43914</v>
      </c>
      <c r="C1257" s="61">
        <v>10983.15</v>
      </c>
      <c r="H1257" s="86">
        <v>43942</v>
      </c>
      <c r="I1257" s="61">
        <v>30636.71</v>
      </c>
    </row>
    <row r="1258" spans="2:9">
      <c r="B1258" s="86">
        <v>43913</v>
      </c>
      <c r="C1258" s="61">
        <v>10710.41</v>
      </c>
      <c r="H1258" s="86">
        <v>43943</v>
      </c>
      <c r="I1258" s="61">
        <v>31379.55</v>
      </c>
    </row>
    <row r="1259" spans="2:9">
      <c r="B1259" s="86">
        <v>43910</v>
      </c>
      <c r="C1259" s="61">
        <v>12298.74</v>
      </c>
      <c r="H1259" s="86">
        <v>43944</v>
      </c>
      <c r="I1259" s="61">
        <v>31863.08</v>
      </c>
    </row>
    <row r="1260" spans="2:9">
      <c r="B1260" s="86">
        <v>43909</v>
      </c>
      <c r="C1260" s="61">
        <v>11620.92</v>
      </c>
      <c r="H1260" s="86">
        <v>43945</v>
      </c>
      <c r="I1260" s="61">
        <v>31327.22</v>
      </c>
    </row>
    <row r="1261" spans="2:9">
      <c r="B1261" s="86">
        <v>43908</v>
      </c>
      <c r="C1261" s="61">
        <v>11904.02</v>
      </c>
      <c r="H1261" s="86">
        <v>43948</v>
      </c>
      <c r="I1261" s="61">
        <v>31743.08</v>
      </c>
    </row>
    <row r="1262" spans="2:9">
      <c r="B1262" s="86">
        <v>43907</v>
      </c>
      <c r="C1262" s="61">
        <v>12604.41</v>
      </c>
      <c r="H1262" s="86">
        <v>43949</v>
      </c>
      <c r="I1262" s="61">
        <v>32114.52</v>
      </c>
    </row>
    <row r="1263" spans="2:9">
      <c r="B1263" s="86">
        <v>43906</v>
      </c>
      <c r="C1263" s="61">
        <v>12928.18</v>
      </c>
      <c r="H1263" s="86">
        <v>43950</v>
      </c>
      <c r="I1263" s="61">
        <v>32720.16</v>
      </c>
    </row>
    <row r="1264" spans="2:9">
      <c r="B1264" s="86">
        <v>43903</v>
      </c>
      <c r="C1264" s="61">
        <v>13987.31</v>
      </c>
      <c r="H1264" s="86">
        <v>43951</v>
      </c>
      <c r="I1264" s="61">
        <v>33717.620000000003</v>
      </c>
    </row>
    <row r="1265" spans="2:9">
      <c r="B1265" s="86">
        <v>43902</v>
      </c>
      <c r="C1265" s="61">
        <v>13474.38</v>
      </c>
      <c r="H1265" s="86">
        <v>43955</v>
      </c>
      <c r="I1265" s="61">
        <v>31715.35</v>
      </c>
    </row>
    <row r="1266" spans="2:9">
      <c r="B1266" s="86">
        <v>43901</v>
      </c>
      <c r="C1266" s="61">
        <v>14694.31</v>
      </c>
      <c r="H1266" s="86">
        <v>43956</v>
      </c>
      <c r="I1266" s="61">
        <v>31453.51</v>
      </c>
    </row>
    <row r="1267" spans="2:9">
      <c r="B1267" s="86">
        <v>43899</v>
      </c>
      <c r="C1267" s="61">
        <v>14684.56</v>
      </c>
      <c r="H1267" s="86">
        <v>43957</v>
      </c>
      <c r="I1267" s="61">
        <v>31685.75</v>
      </c>
    </row>
    <row r="1268" spans="2:9">
      <c r="B1268" s="86">
        <v>43896</v>
      </c>
      <c r="C1268" s="61">
        <v>15440.48</v>
      </c>
      <c r="H1268" s="86">
        <v>43958</v>
      </c>
      <c r="I1268" s="61">
        <v>31443.38</v>
      </c>
    </row>
    <row r="1269" spans="2:9">
      <c r="B1269" s="86">
        <v>43895</v>
      </c>
      <c r="C1269" s="61">
        <v>15833.21</v>
      </c>
      <c r="H1269" s="86">
        <v>43959</v>
      </c>
      <c r="I1269" s="61">
        <v>31642.7</v>
      </c>
    </row>
    <row r="1270" spans="2:9">
      <c r="B1270" s="86">
        <v>43894</v>
      </c>
      <c r="C1270" s="61">
        <v>15805.53</v>
      </c>
      <c r="H1270" s="86">
        <v>43962</v>
      </c>
      <c r="I1270" s="61">
        <v>31561.22</v>
      </c>
    </row>
    <row r="1271" spans="2:9">
      <c r="B1271" s="86">
        <v>43893</v>
      </c>
      <c r="C1271" s="61">
        <v>15878.98</v>
      </c>
      <c r="H1271" s="86">
        <v>43963</v>
      </c>
      <c r="I1271" s="61">
        <v>31371.119999999999</v>
      </c>
    </row>
    <row r="1272" spans="2:9">
      <c r="B1272" s="86">
        <v>43892</v>
      </c>
      <c r="C1272" s="61">
        <v>15632.14</v>
      </c>
      <c r="H1272" s="86">
        <v>43964</v>
      </c>
      <c r="I1272" s="61">
        <v>32008.61</v>
      </c>
    </row>
    <row r="1273" spans="2:9">
      <c r="B1273" s="86">
        <v>43889</v>
      </c>
      <c r="C1273" s="61">
        <v>15726.92</v>
      </c>
      <c r="H1273" s="86">
        <v>43965</v>
      </c>
      <c r="I1273" s="61">
        <v>31122.89</v>
      </c>
    </row>
    <row r="1274" spans="2:9">
      <c r="B1274" s="86">
        <v>43888</v>
      </c>
      <c r="C1274" s="61">
        <v>16332.81</v>
      </c>
      <c r="H1274" s="86">
        <v>43966</v>
      </c>
      <c r="I1274" s="61">
        <v>31097.73</v>
      </c>
    </row>
    <row r="1275" spans="2:9">
      <c r="B1275" s="86">
        <v>43887</v>
      </c>
      <c r="C1275" s="61">
        <v>16396.23</v>
      </c>
      <c r="H1275" s="86">
        <v>43969</v>
      </c>
      <c r="I1275" s="61">
        <v>30028.98</v>
      </c>
    </row>
    <row r="1276" spans="2:9">
      <c r="B1276" s="86">
        <v>43886</v>
      </c>
      <c r="C1276" s="61">
        <v>16563.91</v>
      </c>
      <c r="H1276" s="86">
        <v>43970</v>
      </c>
      <c r="I1276" s="61">
        <v>30196.17</v>
      </c>
    </row>
    <row r="1277" spans="2:9">
      <c r="B1277" s="86">
        <v>43885</v>
      </c>
      <c r="C1277" s="61">
        <v>16608.12</v>
      </c>
      <c r="H1277" s="86">
        <v>43971</v>
      </c>
      <c r="I1277" s="61">
        <v>30818.61</v>
      </c>
    </row>
    <row r="1278" spans="2:9">
      <c r="B1278" s="86">
        <v>43881</v>
      </c>
      <c r="C1278" s="61">
        <v>16961.16</v>
      </c>
      <c r="H1278" s="86">
        <v>43972</v>
      </c>
      <c r="I1278" s="61">
        <v>30932.9</v>
      </c>
    </row>
    <row r="1279" spans="2:9">
      <c r="B1279" s="86">
        <v>43880</v>
      </c>
      <c r="C1279" s="61">
        <v>17024.41</v>
      </c>
      <c r="H1279" s="86">
        <v>43973</v>
      </c>
      <c r="I1279" s="61">
        <v>30672.59</v>
      </c>
    </row>
    <row r="1280" spans="2:9">
      <c r="B1280" s="86">
        <v>43879</v>
      </c>
      <c r="C1280" s="61">
        <v>16837.080000000002</v>
      </c>
      <c r="H1280" s="86">
        <v>43977</v>
      </c>
      <c r="I1280" s="61">
        <v>30609.3</v>
      </c>
    </row>
    <row r="1281" spans="2:9">
      <c r="B1281" s="86">
        <v>43878</v>
      </c>
      <c r="C1281" s="61">
        <v>16911.919999999998</v>
      </c>
      <c r="H1281" s="86">
        <v>43978</v>
      </c>
      <c r="I1281" s="61">
        <v>31605.22</v>
      </c>
    </row>
    <row r="1282" spans="2:9">
      <c r="B1282" s="86">
        <v>43875</v>
      </c>
      <c r="C1282" s="61">
        <v>17002.89</v>
      </c>
      <c r="H1282" s="86">
        <v>43979</v>
      </c>
      <c r="I1282" s="61">
        <v>32200.59</v>
      </c>
    </row>
    <row r="1283" spans="2:9">
      <c r="B1283" s="86">
        <v>43874</v>
      </c>
      <c r="C1283" s="61">
        <v>17088.84</v>
      </c>
      <c r="H1283" s="86">
        <v>43980</v>
      </c>
      <c r="I1283" s="61">
        <v>32424.1</v>
      </c>
    </row>
    <row r="1284" spans="2:9">
      <c r="B1284" s="86">
        <v>43873</v>
      </c>
      <c r="C1284" s="61">
        <v>17126.07</v>
      </c>
      <c r="H1284" s="86">
        <v>43983</v>
      </c>
      <c r="I1284" s="61">
        <v>33303.519999999997</v>
      </c>
    </row>
    <row r="1285" spans="2:9">
      <c r="B1285" s="86">
        <v>43872</v>
      </c>
      <c r="C1285" s="61">
        <v>16995.099999999999</v>
      </c>
      <c r="H1285" s="86">
        <v>43984</v>
      </c>
      <c r="I1285" s="61">
        <v>33825.53</v>
      </c>
    </row>
    <row r="1286" spans="2:9">
      <c r="B1286" s="86">
        <v>43871</v>
      </c>
      <c r="C1286" s="61">
        <v>16887.86</v>
      </c>
      <c r="H1286" s="86">
        <v>43985</v>
      </c>
      <c r="I1286" s="61">
        <v>34109.54</v>
      </c>
    </row>
    <row r="1287" spans="2:9">
      <c r="B1287" s="86">
        <v>43868</v>
      </c>
      <c r="C1287" s="61">
        <v>16981.75</v>
      </c>
      <c r="H1287" s="86">
        <v>43986</v>
      </c>
      <c r="I1287" s="61">
        <v>33980.699999999997</v>
      </c>
    </row>
    <row r="1288" spans="2:9">
      <c r="B1288" s="86">
        <v>43867</v>
      </c>
      <c r="C1288" s="61">
        <v>17037.28</v>
      </c>
      <c r="H1288" s="86">
        <v>43987</v>
      </c>
      <c r="I1288" s="61">
        <v>34287.24</v>
      </c>
    </row>
    <row r="1289" spans="2:9">
      <c r="B1289" s="86">
        <v>43866</v>
      </c>
      <c r="C1289" s="61">
        <v>16968.830000000002</v>
      </c>
      <c r="H1289" s="86">
        <v>43990</v>
      </c>
      <c r="I1289" s="61">
        <v>34370.58</v>
      </c>
    </row>
    <row r="1290" spans="2:9">
      <c r="B1290" s="86">
        <v>43865</v>
      </c>
      <c r="C1290" s="61">
        <v>16815.12</v>
      </c>
      <c r="H1290" s="86">
        <v>43991</v>
      </c>
      <c r="I1290" s="61">
        <v>33956.69</v>
      </c>
    </row>
    <row r="1291" spans="2:9">
      <c r="B1291" s="86">
        <v>43864</v>
      </c>
      <c r="C1291" s="61">
        <v>16433.650000000001</v>
      </c>
      <c r="H1291" s="86">
        <v>43992</v>
      </c>
      <c r="I1291" s="61">
        <v>34247.050000000003</v>
      </c>
    </row>
    <row r="1292" spans="2:9">
      <c r="B1292" s="86">
        <v>43862</v>
      </c>
      <c r="C1292" s="61">
        <v>16369</v>
      </c>
      <c r="H1292" s="86">
        <v>43993</v>
      </c>
      <c r="I1292" s="61">
        <v>33538.370000000003</v>
      </c>
    </row>
    <row r="1293" spans="2:9">
      <c r="B1293" s="86">
        <v>43861</v>
      </c>
      <c r="C1293" s="61">
        <v>16790.45</v>
      </c>
      <c r="H1293" s="86">
        <v>43994</v>
      </c>
      <c r="I1293" s="61">
        <v>33780.89</v>
      </c>
    </row>
    <row r="1294" spans="2:9">
      <c r="B1294" s="86">
        <v>43860</v>
      </c>
      <c r="C1294" s="61">
        <v>16893.91</v>
      </c>
      <c r="H1294" s="86">
        <v>43997</v>
      </c>
      <c r="I1294" s="61">
        <v>33228.800000000003</v>
      </c>
    </row>
    <row r="1295" spans="2:9">
      <c r="B1295" s="86">
        <v>43859</v>
      </c>
      <c r="C1295" s="61">
        <v>17025.46</v>
      </c>
      <c r="H1295" s="86">
        <v>43998</v>
      </c>
      <c r="I1295" s="61">
        <v>33605.22</v>
      </c>
    </row>
    <row r="1296" spans="2:9">
      <c r="B1296" s="86">
        <v>43858</v>
      </c>
      <c r="C1296" s="61">
        <v>16922.009999999998</v>
      </c>
      <c r="H1296" s="86">
        <v>43999</v>
      </c>
      <c r="I1296" s="61">
        <v>33507.919999999998</v>
      </c>
    </row>
    <row r="1297" spans="2:9">
      <c r="B1297" s="86">
        <v>43857</v>
      </c>
      <c r="C1297" s="61">
        <v>17010.7</v>
      </c>
      <c r="H1297" s="86">
        <v>44000</v>
      </c>
      <c r="I1297" s="61">
        <v>34208.050000000003</v>
      </c>
    </row>
    <row r="1298" spans="2:9">
      <c r="B1298" s="86">
        <v>43854</v>
      </c>
      <c r="C1298" s="61">
        <v>17192.150000000001</v>
      </c>
      <c r="H1298" s="86">
        <v>44001</v>
      </c>
      <c r="I1298" s="61">
        <v>34731.730000000003</v>
      </c>
    </row>
    <row r="1299" spans="2:9">
      <c r="B1299" s="86">
        <v>43853</v>
      </c>
      <c r="C1299" s="61">
        <v>17095.61</v>
      </c>
      <c r="H1299" s="86">
        <v>44004</v>
      </c>
      <c r="I1299" s="61">
        <v>34911.32</v>
      </c>
    </row>
    <row r="1300" spans="2:9">
      <c r="B1300" s="86">
        <v>43852</v>
      </c>
      <c r="C1300" s="61">
        <v>16990.68</v>
      </c>
      <c r="H1300" s="86">
        <v>44005</v>
      </c>
      <c r="I1300" s="61">
        <v>35430.43</v>
      </c>
    </row>
    <row r="1301" spans="2:9">
      <c r="B1301" s="86">
        <v>43851</v>
      </c>
      <c r="C1301" s="61">
        <v>17079.07</v>
      </c>
      <c r="H1301" s="86">
        <v>44006</v>
      </c>
      <c r="I1301" s="61">
        <v>34868.980000000003</v>
      </c>
    </row>
    <row r="1302" spans="2:9">
      <c r="B1302" s="86">
        <v>43850</v>
      </c>
      <c r="C1302" s="61">
        <v>17155.830000000002</v>
      </c>
      <c r="H1302" s="86">
        <v>44007</v>
      </c>
      <c r="I1302" s="61">
        <v>34842.1</v>
      </c>
    </row>
    <row r="1303" spans="2:9">
      <c r="B1303" s="86">
        <v>43847</v>
      </c>
      <c r="C1303" s="61">
        <v>17335.2</v>
      </c>
      <c r="H1303" s="86">
        <v>44008</v>
      </c>
      <c r="I1303" s="61">
        <v>35171.269999999997</v>
      </c>
    </row>
    <row r="1304" spans="2:9">
      <c r="B1304" s="86">
        <v>43846</v>
      </c>
      <c r="C1304" s="61">
        <v>17339.57</v>
      </c>
      <c r="H1304" s="86">
        <v>44011</v>
      </c>
      <c r="I1304" s="61">
        <v>34961.519999999997</v>
      </c>
    </row>
    <row r="1305" spans="2:9">
      <c r="B1305" s="86">
        <v>43845</v>
      </c>
      <c r="C1305" s="61">
        <v>17322.5</v>
      </c>
      <c r="H1305" s="86">
        <v>44012</v>
      </c>
      <c r="I1305" s="61">
        <v>34915.800000000003</v>
      </c>
    </row>
    <row r="1306" spans="2:9">
      <c r="B1306" s="86">
        <v>43844</v>
      </c>
      <c r="C1306" s="61">
        <v>17349.12</v>
      </c>
      <c r="H1306" s="86">
        <v>44013</v>
      </c>
      <c r="I1306" s="61">
        <v>35414.449999999997</v>
      </c>
    </row>
    <row r="1307" spans="2:9">
      <c r="B1307" s="86">
        <v>43843</v>
      </c>
      <c r="C1307" s="61">
        <v>17303.2</v>
      </c>
      <c r="H1307" s="86">
        <v>44014</v>
      </c>
      <c r="I1307" s="61">
        <v>35843.699999999997</v>
      </c>
    </row>
    <row r="1308" spans="2:9">
      <c r="B1308" s="86">
        <v>43840</v>
      </c>
      <c r="C1308" s="61">
        <v>17201.080000000002</v>
      </c>
      <c r="H1308" s="86">
        <v>44015</v>
      </c>
      <c r="I1308" s="61">
        <v>36021.42</v>
      </c>
    </row>
    <row r="1309" spans="2:9">
      <c r="B1309" s="86">
        <v>43839</v>
      </c>
      <c r="C1309" s="61">
        <v>17143.650000000001</v>
      </c>
      <c r="H1309" s="86">
        <v>44018</v>
      </c>
      <c r="I1309" s="61">
        <v>36487.279999999999</v>
      </c>
    </row>
    <row r="1310" spans="2:9">
      <c r="B1310" s="86">
        <v>43838</v>
      </c>
      <c r="C1310" s="61">
        <v>16876.240000000002</v>
      </c>
      <c r="H1310" s="86">
        <v>44019</v>
      </c>
      <c r="I1310" s="61">
        <v>36674.519999999997</v>
      </c>
    </row>
    <row r="1311" spans="2:9">
      <c r="B1311" s="86">
        <v>43837</v>
      </c>
      <c r="C1311" s="61">
        <v>16915.03</v>
      </c>
      <c r="H1311" s="86">
        <v>44020</v>
      </c>
      <c r="I1311" s="61">
        <v>36329.01</v>
      </c>
    </row>
    <row r="1312" spans="2:9">
      <c r="B1312" s="86">
        <v>43836</v>
      </c>
      <c r="C1312" s="61">
        <v>16830.93</v>
      </c>
      <c r="H1312" s="86">
        <v>44021</v>
      </c>
      <c r="I1312" s="61">
        <v>36737.69</v>
      </c>
    </row>
    <row r="1313" spans="2:9">
      <c r="B1313" s="86">
        <v>43833</v>
      </c>
      <c r="C1313" s="61">
        <v>17158.75</v>
      </c>
      <c r="H1313" s="86">
        <v>44022</v>
      </c>
      <c r="I1313" s="61">
        <v>36594.33</v>
      </c>
    </row>
    <row r="1314" spans="2:9">
      <c r="B1314" s="86">
        <v>43832</v>
      </c>
      <c r="C1314" s="61">
        <v>17236.7</v>
      </c>
      <c r="H1314" s="86">
        <v>44025</v>
      </c>
      <c r="I1314" s="61">
        <v>36693.69</v>
      </c>
    </row>
    <row r="1315" spans="2:9">
      <c r="B1315" s="86">
        <v>43831</v>
      </c>
      <c r="C1315" s="61">
        <v>17096.830000000002</v>
      </c>
      <c r="H1315" s="86">
        <v>44026</v>
      </c>
      <c r="I1315" s="61">
        <v>36033.06</v>
      </c>
    </row>
    <row r="1316" spans="2:9">
      <c r="B1316" s="86">
        <v>43830</v>
      </c>
      <c r="C1316" s="61">
        <v>17077.060000000001</v>
      </c>
      <c r="H1316" s="86">
        <v>44027</v>
      </c>
      <c r="I1316" s="61">
        <v>36051.81</v>
      </c>
    </row>
    <row r="1317" spans="2:9">
      <c r="B1317" s="86">
        <v>43829</v>
      </c>
      <c r="C1317" s="61">
        <v>17199.73</v>
      </c>
      <c r="H1317" s="86">
        <v>44028</v>
      </c>
      <c r="I1317" s="61">
        <v>36471.68</v>
      </c>
    </row>
    <row r="1318" spans="2:9">
      <c r="B1318" s="86">
        <v>43826</v>
      </c>
      <c r="C1318" s="61">
        <v>17185.66</v>
      </c>
      <c r="H1318" s="86">
        <v>44029</v>
      </c>
      <c r="I1318" s="61">
        <v>37020.14</v>
      </c>
    </row>
    <row r="1319" spans="2:9">
      <c r="B1319" s="86">
        <v>43825</v>
      </c>
      <c r="C1319" s="61">
        <v>17018.259999999998</v>
      </c>
      <c r="H1319" s="86">
        <v>44032</v>
      </c>
      <c r="I1319" s="61">
        <v>37418.99</v>
      </c>
    </row>
    <row r="1320" spans="2:9">
      <c r="B1320" s="86">
        <v>43823</v>
      </c>
      <c r="C1320" s="61">
        <v>17141.8</v>
      </c>
      <c r="H1320" s="86">
        <v>44033</v>
      </c>
      <c r="I1320" s="61">
        <v>37930.33</v>
      </c>
    </row>
    <row r="1321" spans="2:9">
      <c r="B1321" s="86">
        <v>43822</v>
      </c>
      <c r="C1321" s="61">
        <v>17209.400000000001</v>
      </c>
      <c r="H1321" s="86">
        <v>44034</v>
      </c>
      <c r="I1321" s="61">
        <v>37871.519999999997</v>
      </c>
    </row>
    <row r="1322" spans="2:9">
      <c r="B1322" s="86">
        <v>43819</v>
      </c>
      <c r="C1322" s="61">
        <v>17222.14</v>
      </c>
      <c r="H1322" s="86">
        <v>44035</v>
      </c>
      <c r="I1322" s="61">
        <v>38140.47</v>
      </c>
    </row>
    <row r="1323" spans="2:9">
      <c r="B1323" s="86">
        <v>43818</v>
      </c>
      <c r="C1323" s="61">
        <v>17205.12</v>
      </c>
      <c r="H1323" s="86">
        <v>44036</v>
      </c>
      <c r="I1323" s="61">
        <v>38128.9</v>
      </c>
    </row>
    <row r="1324" spans="2:9">
      <c r="B1324" s="86">
        <v>43817</v>
      </c>
      <c r="C1324" s="61">
        <v>17150.93</v>
      </c>
      <c r="H1324" s="86">
        <v>44039</v>
      </c>
      <c r="I1324" s="61">
        <v>37934.730000000003</v>
      </c>
    </row>
    <row r="1325" spans="2:9">
      <c r="B1325" s="86">
        <v>43816</v>
      </c>
      <c r="C1325" s="61">
        <v>17071.490000000002</v>
      </c>
      <c r="H1325" s="86">
        <v>44040</v>
      </c>
      <c r="I1325" s="61">
        <v>38492.949999999997</v>
      </c>
    </row>
    <row r="1326" spans="2:9">
      <c r="B1326" s="86">
        <v>43815</v>
      </c>
      <c r="C1326" s="61">
        <v>16915.650000000001</v>
      </c>
      <c r="H1326" s="86">
        <v>44041</v>
      </c>
      <c r="I1326" s="61">
        <v>38071.129999999997</v>
      </c>
    </row>
    <row r="1327" spans="2:9">
      <c r="B1327" s="86">
        <v>43812</v>
      </c>
      <c r="C1327" s="61">
        <v>16961.560000000001</v>
      </c>
      <c r="H1327" s="86">
        <v>44042</v>
      </c>
      <c r="I1327" s="61">
        <v>37736.07</v>
      </c>
    </row>
    <row r="1328" spans="2:9">
      <c r="B1328" s="86">
        <v>43811</v>
      </c>
      <c r="C1328" s="61">
        <v>16800.36</v>
      </c>
      <c r="H1328" s="86">
        <v>44043</v>
      </c>
      <c r="I1328" s="61">
        <v>37606.89</v>
      </c>
    </row>
    <row r="1329" spans="2:9">
      <c r="B1329" s="86">
        <v>43810</v>
      </c>
      <c r="C1329" s="61">
        <v>16713.79</v>
      </c>
      <c r="H1329" s="86">
        <v>44046</v>
      </c>
      <c r="I1329" s="61">
        <v>36939.599999999999</v>
      </c>
    </row>
    <row r="1330" spans="2:9">
      <c r="B1330" s="86">
        <v>43809</v>
      </c>
      <c r="C1330" s="61">
        <v>16638.939999999999</v>
      </c>
      <c r="H1330" s="86">
        <v>44047</v>
      </c>
      <c r="I1330" s="61">
        <v>37687.910000000003</v>
      </c>
    </row>
    <row r="1331" spans="2:9">
      <c r="B1331" s="86">
        <v>43808</v>
      </c>
      <c r="C1331" s="61">
        <v>16751.53</v>
      </c>
      <c r="H1331" s="86">
        <v>44048</v>
      </c>
      <c r="I1331" s="61">
        <v>37663.33</v>
      </c>
    </row>
    <row r="1332" spans="2:9">
      <c r="B1332" s="86">
        <v>43805</v>
      </c>
      <c r="C1332" s="61">
        <v>16729.080000000002</v>
      </c>
      <c r="H1332" s="86">
        <v>44049</v>
      </c>
      <c r="I1332" s="61">
        <v>38025.449999999997</v>
      </c>
    </row>
    <row r="1333" spans="2:9">
      <c r="B1333" s="86">
        <v>43804</v>
      </c>
      <c r="C1333" s="61">
        <v>16865.04</v>
      </c>
      <c r="H1333" s="86">
        <v>44050</v>
      </c>
      <c r="I1333" s="61">
        <v>38040.57</v>
      </c>
    </row>
    <row r="1334" spans="2:9">
      <c r="B1334" s="86">
        <v>43803</v>
      </c>
      <c r="C1334" s="61">
        <v>16899.88</v>
      </c>
      <c r="H1334" s="86">
        <v>44053</v>
      </c>
      <c r="I1334" s="61">
        <v>38182.080000000002</v>
      </c>
    </row>
    <row r="1335" spans="2:9">
      <c r="B1335" s="86">
        <v>43802</v>
      </c>
      <c r="C1335" s="61">
        <v>16831.11</v>
      </c>
      <c r="H1335" s="86">
        <v>44054</v>
      </c>
      <c r="I1335" s="61">
        <v>38407.01</v>
      </c>
    </row>
    <row r="1336" spans="2:9">
      <c r="B1336" s="86">
        <v>43801</v>
      </c>
      <c r="C1336" s="61">
        <v>16906.88</v>
      </c>
      <c r="H1336" s="86">
        <v>44055</v>
      </c>
      <c r="I1336" s="61">
        <v>38369.629999999997</v>
      </c>
    </row>
    <row r="1337" spans="2:9">
      <c r="B1337" s="86">
        <v>43798</v>
      </c>
      <c r="C1337" s="61">
        <v>16917.89</v>
      </c>
      <c r="H1337" s="86">
        <v>44056</v>
      </c>
      <c r="I1337" s="61">
        <v>38310.49</v>
      </c>
    </row>
    <row r="1338" spans="2:9">
      <c r="B1338" s="86">
        <v>43797</v>
      </c>
      <c r="C1338" s="61">
        <v>17051.310000000001</v>
      </c>
      <c r="H1338" s="86">
        <v>44057</v>
      </c>
      <c r="I1338" s="61">
        <v>37877.339999999997</v>
      </c>
    </row>
    <row r="1339" spans="2:9">
      <c r="B1339" s="86">
        <v>43796</v>
      </c>
      <c r="C1339" s="61">
        <v>16980.54</v>
      </c>
      <c r="H1339" s="86">
        <v>44060</v>
      </c>
      <c r="I1339" s="61">
        <v>38050.78</v>
      </c>
    </row>
    <row r="1340" spans="2:9">
      <c r="B1340" s="86">
        <v>43795</v>
      </c>
      <c r="C1340" s="61">
        <v>16892.150000000001</v>
      </c>
      <c r="H1340" s="86">
        <v>44061</v>
      </c>
      <c r="I1340" s="61">
        <v>38528.32</v>
      </c>
    </row>
    <row r="1341" spans="2:9">
      <c r="B1341" s="86">
        <v>43794</v>
      </c>
      <c r="C1341" s="61">
        <v>16942.7</v>
      </c>
      <c r="H1341" s="86">
        <v>44062</v>
      </c>
      <c r="I1341" s="61">
        <v>38614.79</v>
      </c>
    </row>
    <row r="1342" spans="2:9">
      <c r="B1342" s="86">
        <v>43791</v>
      </c>
      <c r="C1342" s="61">
        <v>16719.11</v>
      </c>
      <c r="H1342" s="86">
        <v>44063</v>
      </c>
      <c r="I1342" s="61">
        <v>38220.39</v>
      </c>
    </row>
    <row r="1343" spans="2:9">
      <c r="B1343" s="86">
        <v>43790</v>
      </c>
      <c r="C1343" s="61">
        <v>16794.86</v>
      </c>
      <c r="H1343" s="86">
        <v>44064</v>
      </c>
      <c r="I1343" s="61">
        <v>38434.720000000001</v>
      </c>
    </row>
    <row r="1344" spans="2:9">
      <c r="B1344" s="86">
        <v>43789</v>
      </c>
      <c r="C1344" s="61">
        <v>16837.96</v>
      </c>
      <c r="H1344" s="86">
        <v>44067</v>
      </c>
      <c r="I1344" s="61">
        <v>38799.08</v>
      </c>
    </row>
    <row r="1345" spans="2:9">
      <c r="B1345" s="86">
        <v>43788</v>
      </c>
      <c r="C1345" s="61">
        <v>16755.150000000001</v>
      </c>
      <c r="H1345" s="86">
        <v>44068</v>
      </c>
      <c r="I1345" s="61">
        <v>38843.879999999997</v>
      </c>
    </row>
    <row r="1346" spans="2:9">
      <c r="B1346" s="86">
        <v>43787</v>
      </c>
      <c r="C1346" s="61">
        <v>16677.14</v>
      </c>
      <c r="H1346" s="86">
        <v>44069</v>
      </c>
      <c r="I1346" s="61">
        <v>39073.919999999998</v>
      </c>
    </row>
    <row r="1347" spans="2:9">
      <c r="B1347" s="86">
        <v>43784</v>
      </c>
      <c r="C1347" s="61">
        <v>16692.52</v>
      </c>
      <c r="H1347" s="86">
        <v>44070</v>
      </c>
      <c r="I1347" s="61">
        <v>39113.47</v>
      </c>
    </row>
    <row r="1348" spans="2:9">
      <c r="B1348" s="86">
        <v>43783</v>
      </c>
      <c r="C1348" s="61">
        <v>16659.78</v>
      </c>
      <c r="H1348" s="86">
        <v>44071</v>
      </c>
      <c r="I1348" s="61">
        <v>39467.31</v>
      </c>
    </row>
    <row r="1349" spans="2:9">
      <c r="B1349" s="86">
        <v>43782</v>
      </c>
      <c r="C1349" s="61">
        <v>16615.37</v>
      </c>
      <c r="H1349" s="86">
        <v>44074</v>
      </c>
      <c r="I1349" s="61">
        <v>38628.29</v>
      </c>
    </row>
    <row r="1350" spans="2:9">
      <c r="B1350" s="86">
        <v>43780</v>
      </c>
      <c r="C1350" s="61">
        <v>16717.75</v>
      </c>
      <c r="H1350" s="86">
        <v>44075</v>
      </c>
      <c r="I1350" s="61">
        <v>38900.800000000003</v>
      </c>
    </row>
    <row r="1351" spans="2:9">
      <c r="B1351" s="86">
        <v>43777</v>
      </c>
      <c r="C1351" s="61">
        <v>16710.37</v>
      </c>
      <c r="H1351" s="86">
        <v>44076</v>
      </c>
      <c r="I1351" s="61">
        <v>39086.03</v>
      </c>
    </row>
    <row r="1352" spans="2:9">
      <c r="B1352" s="86">
        <v>43776</v>
      </c>
      <c r="C1352" s="61">
        <v>16856.169999999998</v>
      </c>
      <c r="H1352" s="86">
        <v>44077</v>
      </c>
      <c r="I1352" s="61">
        <v>38990.94</v>
      </c>
    </row>
    <row r="1353" spans="2:9">
      <c r="B1353" s="86">
        <v>43775</v>
      </c>
      <c r="C1353" s="61">
        <v>16791.61</v>
      </c>
      <c r="H1353" s="86">
        <v>44078</v>
      </c>
      <c r="I1353" s="61">
        <v>38357.18</v>
      </c>
    </row>
    <row r="1354" spans="2:9">
      <c r="B1354" s="86">
        <v>43774</v>
      </c>
      <c r="C1354" s="61">
        <v>16723.060000000001</v>
      </c>
      <c r="H1354" s="86">
        <v>44081</v>
      </c>
      <c r="I1354" s="61">
        <v>38417.230000000003</v>
      </c>
    </row>
    <row r="1355" spans="2:9">
      <c r="B1355" s="86">
        <v>43773</v>
      </c>
      <c r="C1355" s="61">
        <v>16756.87</v>
      </c>
      <c r="H1355" s="86">
        <v>44082</v>
      </c>
      <c r="I1355" s="61">
        <v>38365.35</v>
      </c>
    </row>
    <row r="1356" spans="2:9">
      <c r="B1356" s="86">
        <v>43770</v>
      </c>
      <c r="C1356" s="61">
        <v>16685.73</v>
      </c>
      <c r="H1356" s="86">
        <v>44083</v>
      </c>
      <c r="I1356" s="61">
        <v>38193.919999999998</v>
      </c>
    </row>
    <row r="1357" spans="2:9">
      <c r="B1357" s="86">
        <v>43769</v>
      </c>
      <c r="C1357" s="61">
        <v>16667.29</v>
      </c>
      <c r="H1357" s="86">
        <v>44084</v>
      </c>
      <c r="I1357" s="61">
        <v>38840.32</v>
      </c>
    </row>
    <row r="1358" spans="2:9">
      <c r="B1358" s="86">
        <v>43768</v>
      </c>
      <c r="C1358" s="61">
        <v>16620.07</v>
      </c>
      <c r="H1358" s="86">
        <v>44085</v>
      </c>
      <c r="I1358" s="61">
        <v>38854.550000000003</v>
      </c>
    </row>
    <row r="1359" spans="2:9">
      <c r="B1359" s="86">
        <v>43767</v>
      </c>
      <c r="C1359" s="61">
        <v>16539.23</v>
      </c>
      <c r="H1359" s="86">
        <v>44088</v>
      </c>
      <c r="I1359" s="61">
        <v>38756.629999999997</v>
      </c>
    </row>
    <row r="1360" spans="2:9">
      <c r="B1360" s="86">
        <v>43765</v>
      </c>
      <c r="C1360" s="61">
        <v>16315.17</v>
      </c>
      <c r="H1360" s="86">
        <v>44089</v>
      </c>
      <c r="I1360" s="61">
        <v>39044.35</v>
      </c>
    </row>
    <row r="1361" spans="2:9">
      <c r="B1361" s="86">
        <v>43763</v>
      </c>
      <c r="C1361" s="61">
        <v>16254.45</v>
      </c>
      <c r="H1361" s="86">
        <v>44090</v>
      </c>
      <c r="I1361" s="61">
        <v>39302.85</v>
      </c>
    </row>
    <row r="1362" spans="2:9">
      <c r="B1362" s="86">
        <v>43762</v>
      </c>
      <c r="C1362" s="61">
        <v>16252.63</v>
      </c>
      <c r="H1362" s="86">
        <v>44091</v>
      </c>
      <c r="I1362" s="61">
        <v>38979.85</v>
      </c>
    </row>
    <row r="1363" spans="2:9">
      <c r="B1363" s="86">
        <v>43761</v>
      </c>
      <c r="C1363" s="61">
        <v>16282.84</v>
      </c>
      <c r="H1363" s="86">
        <v>44092</v>
      </c>
      <c r="I1363" s="61">
        <v>38845.82</v>
      </c>
    </row>
    <row r="1364" spans="2:9">
      <c r="B1364" s="86">
        <v>43760</v>
      </c>
      <c r="C1364" s="61">
        <v>16248.11</v>
      </c>
      <c r="H1364" s="86">
        <v>44095</v>
      </c>
      <c r="I1364" s="61">
        <v>38034.14</v>
      </c>
    </row>
    <row r="1365" spans="2:9">
      <c r="B1365" s="86">
        <v>43756</v>
      </c>
      <c r="C1365" s="61">
        <v>16351.16</v>
      </c>
      <c r="H1365" s="86">
        <v>44096</v>
      </c>
      <c r="I1365" s="61">
        <v>37734.080000000002</v>
      </c>
    </row>
    <row r="1366" spans="2:9">
      <c r="B1366" s="86">
        <v>43755</v>
      </c>
      <c r="C1366" s="61">
        <v>16245.31</v>
      </c>
      <c r="H1366" s="86">
        <v>44097</v>
      </c>
      <c r="I1366" s="61">
        <v>37668.42</v>
      </c>
    </row>
    <row r="1367" spans="2:9">
      <c r="B1367" s="86">
        <v>43754</v>
      </c>
      <c r="C1367" s="61">
        <v>16057.85</v>
      </c>
      <c r="H1367" s="86">
        <v>44098</v>
      </c>
      <c r="I1367" s="61">
        <v>36553.599999999999</v>
      </c>
    </row>
    <row r="1368" spans="2:9">
      <c r="B1368" s="86">
        <v>43753</v>
      </c>
      <c r="C1368" s="61">
        <v>16007.83</v>
      </c>
      <c r="H1368" s="86">
        <v>44099</v>
      </c>
      <c r="I1368" s="61">
        <v>37388.660000000003</v>
      </c>
    </row>
    <row r="1369" spans="2:9">
      <c r="B1369" s="86">
        <v>43752</v>
      </c>
      <c r="C1369" s="61">
        <v>15885.74</v>
      </c>
      <c r="H1369" s="86">
        <v>44102</v>
      </c>
      <c r="I1369" s="61">
        <v>37981.629999999997</v>
      </c>
    </row>
    <row r="1370" spans="2:9">
      <c r="B1370" s="86">
        <v>43749</v>
      </c>
      <c r="C1370" s="61">
        <v>15835.17</v>
      </c>
      <c r="H1370" s="86">
        <v>44103</v>
      </c>
      <c r="I1370" s="61">
        <v>37973.22</v>
      </c>
    </row>
    <row r="1371" spans="2:9">
      <c r="B1371" s="86">
        <v>43748</v>
      </c>
      <c r="C1371" s="61">
        <v>15736.44</v>
      </c>
      <c r="H1371" s="86">
        <v>44104</v>
      </c>
      <c r="I1371" s="61">
        <v>38067.93</v>
      </c>
    </row>
    <row r="1372" spans="2:9">
      <c r="B1372" s="86">
        <v>43747</v>
      </c>
      <c r="C1372" s="61">
        <v>15846.77</v>
      </c>
      <c r="H1372" s="86">
        <v>44105</v>
      </c>
      <c r="I1372" s="61">
        <v>38697.050000000003</v>
      </c>
    </row>
    <row r="1373" spans="2:9">
      <c r="B1373" s="86">
        <v>43745</v>
      </c>
      <c r="C1373" s="61">
        <v>15584.94</v>
      </c>
      <c r="H1373" s="86">
        <v>44109</v>
      </c>
      <c r="I1373" s="61">
        <v>38973.699999999997</v>
      </c>
    </row>
    <row r="1374" spans="2:9">
      <c r="B1374" s="86">
        <v>43742</v>
      </c>
      <c r="C1374" s="61">
        <v>15652.7</v>
      </c>
      <c r="H1374" s="86">
        <v>44110</v>
      </c>
      <c r="I1374" s="61">
        <v>39574.57</v>
      </c>
    </row>
    <row r="1375" spans="2:9">
      <c r="B1375" s="86">
        <v>43741</v>
      </c>
      <c r="C1375" s="61">
        <v>15847.7</v>
      </c>
      <c r="H1375" s="86">
        <v>44111</v>
      </c>
      <c r="I1375" s="61">
        <v>39878.949999999997</v>
      </c>
    </row>
    <row r="1376" spans="2:9">
      <c r="B1376" s="86">
        <v>43739</v>
      </c>
      <c r="C1376" s="61">
        <v>15912.03</v>
      </c>
      <c r="H1376" s="86">
        <v>44112</v>
      </c>
      <c r="I1376" s="61">
        <v>40182.67</v>
      </c>
    </row>
    <row r="1377" spans="2:9">
      <c r="B1377" s="86">
        <v>43738</v>
      </c>
      <c r="C1377" s="61">
        <v>16072.5</v>
      </c>
      <c r="H1377" s="86">
        <v>44113</v>
      </c>
      <c r="I1377" s="61">
        <v>40509.49</v>
      </c>
    </row>
    <row r="1378" spans="2:9">
      <c r="B1378" s="86">
        <v>43735</v>
      </c>
      <c r="C1378" s="61">
        <v>16125.65</v>
      </c>
      <c r="H1378" s="86">
        <v>44116</v>
      </c>
      <c r="I1378" s="61">
        <v>40593.800000000003</v>
      </c>
    </row>
    <row r="1379" spans="2:9">
      <c r="B1379" s="86">
        <v>43734</v>
      </c>
      <c r="C1379" s="61">
        <v>16207.96</v>
      </c>
      <c r="H1379" s="86">
        <v>44117</v>
      </c>
      <c r="I1379" s="61">
        <v>40625.51</v>
      </c>
    </row>
    <row r="1380" spans="2:9">
      <c r="B1380" s="86">
        <v>43733</v>
      </c>
      <c r="C1380" s="61">
        <v>16024.49</v>
      </c>
      <c r="H1380" s="86">
        <v>44118</v>
      </c>
      <c r="I1380" s="61">
        <v>40794.74</v>
      </c>
    </row>
    <row r="1381" spans="2:9">
      <c r="B1381" s="86">
        <v>43732</v>
      </c>
      <c r="C1381" s="61">
        <v>16231.83</v>
      </c>
      <c r="H1381" s="86">
        <v>44119</v>
      </c>
      <c r="I1381" s="61">
        <v>39728.410000000003</v>
      </c>
    </row>
    <row r="1382" spans="2:9">
      <c r="B1382" s="86">
        <v>43731</v>
      </c>
      <c r="C1382" s="61">
        <v>16248.62</v>
      </c>
      <c r="H1382" s="86">
        <v>44120</v>
      </c>
      <c r="I1382" s="61">
        <v>39982.980000000003</v>
      </c>
    </row>
    <row r="1383" spans="2:9">
      <c r="B1383" s="86">
        <v>43728</v>
      </c>
      <c r="C1383" s="61">
        <v>15791.99</v>
      </c>
      <c r="H1383" s="86">
        <v>44123</v>
      </c>
      <c r="I1383" s="61">
        <v>40431.599999999999</v>
      </c>
    </row>
    <row r="1384" spans="2:9">
      <c r="B1384" s="86">
        <v>43727</v>
      </c>
      <c r="C1384" s="61">
        <v>14994.39</v>
      </c>
      <c r="H1384" s="86">
        <v>44124</v>
      </c>
      <c r="I1384" s="61">
        <v>40544.370000000003</v>
      </c>
    </row>
    <row r="1385" spans="2:9">
      <c r="B1385" s="86">
        <v>43726</v>
      </c>
      <c r="C1385" s="61">
        <v>15184.69</v>
      </c>
      <c r="H1385" s="86">
        <v>44125</v>
      </c>
      <c r="I1385" s="61">
        <v>40707.31</v>
      </c>
    </row>
    <row r="1386" spans="2:9">
      <c r="B1386" s="86">
        <v>43725</v>
      </c>
      <c r="C1386" s="61">
        <v>15152.39</v>
      </c>
      <c r="H1386" s="86">
        <v>44126</v>
      </c>
      <c r="I1386" s="61">
        <v>40558.49</v>
      </c>
    </row>
    <row r="1387" spans="2:9">
      <c r="B1387" s="86">
        <v>43724</v>
      </c>
      <c r="C1387" s="61">
        <v>15412.83</v>
      </c>
      <c r="H1387" s="86">
        <v>44127</v>
      </c>
      <c r="I1387" s="61">
        <v>40685.5</v>
      </c>
    </row>
    <row r="1388" spans="2:9">
      <c r="B1388" s="86">
        <v>43721</v>
      </c>
      <c r="C1388" s="61">
        <v>15514.2</v>
      </c>
      <c r="H1388" s="86">
        <v>44130</v>
      </c>
      <c r="I1388" s="61">
        <v>40145.5</v>
      </c>
    </row>
    <row r="1389" spans="2:9">
      <c r="B1389" s="86">
        <v>43720</v>
      </c>
      <c r="C1389" s="61">
        <v>15383.82</v>
      </c>
      <c r="H1389" s="86">
        <v>44131</v>
      </c>
      <c r="I1389" s="61">
        <v>40522.1</v>
      </c>
    </row>
    <row r="1390" spans="2:9">
      <c r="B1390" s="86">
        <v>43719</v>
      </c>
      <c r="C1390" s="61">
        <v>15457.9</v>
      </c>
      <c r="H1390" s="86">
        <v>44132</v>
      </c>
      <c r="I1390" s="61">
        <v>39922.46</v>
      </c>
    </row>
    <row r="1391" spans="2:9">
      <c r="B1391" s="86">
        <v>43717</v>
      </c>
      <c r="C1391" s="61">
        <v>15412.14</v>
      </c>
      <c r="H1391" s="86">
        <v>44133</v>
      </c>
      <c r="I1391" s="61">
        <v>39749.85</v>
      </c>
    </row>
    <row r="1392" spans="2:9">
      <c r="B1392" s="86">
        <v>43714</v>
      </c>
      <c r="C1392" s="61">
        <v>15332.57</v>
      </c>
      <c r="H1392" s="86">
        <v>44134</v>
      </c>
      <c r="I1392" s="61">
        <v>39614.07</v>
      </c>
    </row>
    <row r="1393" spans="2:9">
      <c r="B1393" s="86">
        <v>43713</v>
      </c>
      <c r="C1393" s="61">
        <v>15194.86</v>
      </c>
      <c r="H1393" s="86">
        <v>44137</v>
      </c>
      <c r="I1393" s="61">
        <v>39757.58</v>
      </c>
    </row>
    <row r="1394" spans="2:9">
      <c r="B1394" s="86">
        <v>43712</v>
      </c>
      <c r="C1394" s="61">
        <v>15190.3</v>
      </c>
      <c r="H1394" s="86">
        <v>44138</v>
      </c>
      <c r="I1394" s="61">
        <v>40261.129999999997</v>
      </c>
    </row>
    <row r="1395" spans="2:9">
      <c r="B1395" s="86">
        <v>43711</v>
      </c>
      <c r="C1395" s="61">
        <v>15124.8</v>
      </c>
      <c r="H1395" s="86">
        <v>44139</v>
      </c>
      <c r="I1395" s="61">
        <v>40616.14</v>
      </c>
    </row>
    <row r="1396" spans="2:9">
      <c r="B1396" s="86">
        <v>43707</v>
      </c>
      <c r="C1396" s="61">
        <v>15440.47</v>
      </c>
      <c r="H1396" s="86">
        <v>44140</v>
      </c>
      <c r="I1396" s="61">
        <v>41340.160000000003</v>
      </c>
    </row>
    <row r="1397" spans="2:9">
      <c r="B1397" s="86">
        <v>43706</v>
      </c>
      <c r="C1397" s="61">
        <v>15335.45</v>
      </c>
      <c r="H1397" s="86">
        <v>44141</v>
      </c>
      <c r="I1397" s="61">
        <v>41893.06</v>
      </c>
    </row>
    <row r="1398" spans="2:9">
      <c r="B1398" s="86">
        <v>43705</v>
      </c>
      <c r="C1398" s="61">
        <v>15472.44</v>
      </c>
      <c r="H1398" s="86">
        <v>44144</v>
      </c>
      <c r="I1398" s="61">
        <v>42597.43</v>
      </c>
    </row>
    <row r="1399" spans="2:9">
      <c r="B1399" s="86">
        <v>43704</v>
      </c>
      <c r="C1399" s="61">
        <v>15555.44</v>
      </c>
      <c r="H1399" s="86">
        <v>44145</v>
      </c>
      <c r="I1399" s="61">
        <v>43277.65</v>
      </c>
    </row>
    <row r="1400" spans="2:9">
      <c r="B1400" s="86">
        <v>43703</v>
      </c>
      <c r="C1400" s="61">
        <v>15488.96</v>
      </c>
      <c r="H1400" s="86">
        <v>44146</v>
      </c>
      <c r="I1400" s="61">
        <v>43593.67</v>
      </c>
    </row>
    <row r="1401" spans="2:9">
      <c r="B1401" s="86">
        <v>43700</v>
      </c>
      <c r="C1401" s="61">
        <v>15168.88</v>
      </c>
      <c r="H1401" s="86">
        <v>44147</v>
      </c>
      <c r="I1401" s="61">
        <v>43357.19</v>
      </c>
    </row>
    <row r="1402" spans="2:9">
      <c r="B1402" s="86">
        <v>43699</v>
      </c>
      <c r="C1402" s="61">
        <v>15045.62</v>
      </c>
      <c r="H1402" s="86">
        <v>44148</v>
      </c>
      <c r="I1402" s="61">
        <v>43443</v>
      </c>
    </row>
    <row r="1403" spans="2:9">
      <c r="B1403" s="86">
        <v>43698</v>
      </c>
      <c r="C1403" s="61">
        <v>15290.85</v>
      </c>
      <c r="H1403" s="86">
        <v>44149</v>
      </c>
      <c r="I1403" s="61">
        <v>43637.98</v>
      </c>
    </row>
    <row r="1404" spans="2:9">
      <c r="B1404" s="86">
        <v>43697</v>
      </c>
      <c r="C1404" s="61">
        <v>15425.45</v>
      </c>
      <c r="H1404" s="86">
        <v>44152</v>
      </c>
      <c r="I1404" s="61">
        <v>43952.71</v>
      </c>
    </row>
    <row r="1405" spans="2:9">
      <c r="B1405" s="86">
        <v>43696</v>
      </c>
      <c r="C1405" s="61">
        <v>15476.07</v>
      </c>
      <c r="H1405" s="86">
        <v>44153</v>
      </c>
      <c r="I1405" s="61">
        <v>44180.05</v>
      </c>
    </row>
    <row r="1406" spans="2:9">
      <c r="B1406" s="86">
        <v>43693</v>
      </c>
      <c r="C1406" s="61">
        <v>15464.58</v>
      </c>
      <c r="H1406" s="86">
        <v>44154</v>
      </c>
      <c r="I1406" s="61">
        <v>43599.96</v>
      </c>
    </row>
    <row r="1407" spans="2:9">
      <c r="B1407" s="86">
        <v>43691</v>
      </c>
      <c r="C1407" s="61">
        <v>15438.86</v>
      </c>
      <c r="H1407" s="86">
        <v>44155</v>
      </c>
      <c r="I1407" s="61">
        <v>43882.25</v>
      </c>
    </row>
    <row r="1408" spans="2:9">
      <c r="B1408" s="86">
        <v>43690</v>
      </c>
      <c r="C1408" s="61">
        <v>15289.35</v>
      </c>
      <c r="H1408" s="86">
        <v>44158</v>
      </c>
      <c r="I1408" s="61">
        <v>44077.15</v>
      </c>
    </row>
    <row r="1409" spans="2:9">
      <c r="B1409" s="86">
        <v>43686</v>
      </c>
      <c r="C1409" s="61">
        <v>15542.72</v>
      </c>
      <c r="H1409" s="86">
        <v>44159</v>
      </c>
      <c r="I1409" s="61">
        <v>44523.02</v>
      </c>
    </row>
    <row r="1410" spans="2:9">
      <c r="B1410" s="86">
        <v>43685</v>
      </c>
      <c r="C1410" s="61">
        <v>15434.73</v>
      </c>
      <c r="H1410" s="86">
        <v>44160</v>
      </c>
      <c r="I1410" s="61">
        <v>43828.1</v>
      </c>
    </row>
    <row r="1411" spans="2:9">
      <c r="B1411" s="86">
        <v>43684</v>
      </c>
      <c r="C1411" s="61">
        <v>15184.34</v>
      </c>
      <c r="H1411" s="86">
        <v>44161</v>
      </c>
      <c r="I1411" s="61">
        <v>44259.74</v>
      </c>
    </row>
    <row r="1412" spans="2:9">
      <c r="B1412" s="86">
        <v>43683</v>
      </c>
      <c r="C1412" s="61">
        <v>15314.03</v>
      </c>
      <c r="H1412" s="86">
        <v>44162</v>
      </c>
      <c r="I1412" s="61">
        <v>44149.72</v>
      </c>
    </row>
    <row r="1413" spans="2:9">
      <c r="B1413" s="86">
        <v>43682</v>
      </c>
      <c r="C1413" s="61">
        <v>15194.27</v>
      </c>
      <c r="H1413" s="86">
        <v>44166</v>
      </c>
      <c r="I1413" s="61">
        <v>44655.44</v>
      </c>
    </row>
    <row r="1414" spans="2:9">
      <c r="B1414" s="86">
        <v>43679</v>
      </c>
      <c r="C1414" s="61">
        <v>15382.73</v>
      </c>
      <c r="H1414" s="86">
        <v>44167</v>
      </c>
      <c r="I1414" s="61">
        <v>44618.04</v>
      </c>
    </row>
    <row r="1415" spans="2:9">
      <c r="B1415" s="86">
        <v>43678</v>
      </c>
      <c r="C1415" s="61">
        <v>15350.83</v>
      </c>
      <c r="H1415" s="86">
        <v>44168</v>
      </c>
      <c r="I1415" s="61">
        <v>44632.65</v>
      </c>
    </row>
    <row r="1416" spans="2:9">
      <c r="B1416" s="86">
        <v>43677</v>
      </c>
      <c r="C1416" s="61">
        <v>15539.43</v>
      </c>
      <c r="H1416" s="86">
        <v>44169</v>
      </c>
      <c r="I1416" s="61">
        <v>45079.55</v>
      </c>
    </row>
    <row r="1417" spans="2:9">
      <c r="B1417" s="86">
        <v>43676</v>
      </c>
      <c r="C1417" s="61">
        <v>15493.33</v>
      </c>
      <c r="H1417" s="86">
        <v>44172</v>
      </c>
      <c r="I1417" s="61">
        <v>45426.97</v>
      </c>
    </row>
    <row r="1418" spans="2:9">
      <c r="B1418" s="86">
        <v>43675</v>
      </c>
      <c r="C1418" s="61">
        <v>15638.42</v>
      </c>
      <c r="H1418" s="86">
        <v>44173</v>
      </c>
      <c r="I1418" s="61">
        <v>45608.51</v>
      </c>
    </row>
    <row r="1419" spans="2:9">
      <c r="B1419" s="86">
        <v>43672</v>
      </c>
      <c r="C1419" s="61">
        <v>15770.63</v>
      </c>
      <c r="H1419" s="86">
        <v>44174</v>
      </c>
      <c r="I1419" s="61">
        <v>46103.5</v>
      </c>
    </row>
    <row r="1420" spans="2:9">
      <c r="B1420" s="86">
        <v>43671</v>
      </c>
      <c r="C1420" s="61">
        <v>15725.6</v>
      </c>
      <c r="H1420" s="86">
        <v>44175</v>
      </c>
      <c r="I1420" s="61">
        <v>45959.88</v>
      </c>
    </row>
    <row r="1421" spans="2:9">
      <c r="B1421" s="86">
        <v>43670</v>
      </c>
      <c r="C1421" s="61">
        <v>15749.37</v>
      </c>
      <c r="H1421" s="86">
        <v>44176</v>
      </c>
      <c r="I1421" s="61">
        <v>46099.01</v>
      </c>
    </row>
    <row r="1422" spans="2:9">
      <c r="B1422" s="86">
        <v>43669</v>
      </c>
      <c r="C1422" s="61">
        <v>15824.55</v>
      </c>
      <c r="H1422" s="86">
        <v>44179</v>
      </c>
      <c r="I1422" s="61">
        <v>46253.46</v>
      </c>
    </row>
    <row r="1423" spans="2:9">
      <c r="B1423" s="86">
        <v>43668</v>
      </c>
      <c r="C1423" s="61">
        <v>15845.74</v>
      </c>
      <c r="H1423" s="86">
        <v>44180</v>
      </c>
      <c r="I1423" s="61">
        <v>46263.17</v>
      </c>
    </row>
    <row r="1424" spans="2:9">
      <c r="B1424" s="86">
        <v>43665</v>
      </c>
      <c r="C1424" s="61">
        <v>15945.55</v>
      </c>
      <c r="H1424" s="86">
        <v>44181</v>
      </c>
      <c r="I1424" s="61">
        <v>46666.46</v>
      </c>
    </row>
    <row r="1425" spans="2:9">
      <c r="B1425" s="86">
        <v>43664</v>
      </c>
      <c r="C1425" s="61">
        <v>16183.16</v>
      </c>
      <c r="H1425" s="86">
        <v>44182</v>
      </c>
      <c r="I1425" s="61">
        <v>46890.34</v>
      </c>
    </row>
    <row r="1426" spans="2:9">
      <c r="B1426" s="86">
        <v>43663</v>
      </c>
      <c r="C1426" s="61">
        <v>16306.82</v>
      </c>
      <c r="H1426" s="86">
        <v>44183</v>
      </c>
      <c r="I1426" s="61">
        <v>46960.69</v>
      </c>
    </row>
    <row r="1427" spans="2:9">
      <c r="B1427" s="86">
        <v>43662</v>
      </c>
      <c r="C1427" s="61">
        <v>16272.08</v>
      </c>
      <c r="H1427" s="86">
        <v>44186</v>
      </c>
      <c r="I1427" s="61">
        <v>45553.96</v>
      </c>
    </row>
    <row r="1428" spans="2:9">
      <c r="B1428" s="86">
        <v>43661</v>
      </c>
      <c r="C1428" s="61">
        <v>16165.28</v>
      </c>
      <c r="H1428" s="86">
        <v>44187</v>
      </c>
      <c r="I1428" s="61">
        <v>46006.69</v>
      </c>
    </row>
    <row r="1429" spans="2:9">
      <c r="B1429" s="86">
        <v>43658</v>
      </c>
      <c r="C1429" s="61">
        <v>16113.75</v>
      </c>
      <c r="H1429" s="86">
        <v>44188</v>
      </c>
      <c r="I1429" s="61">
        <v>46444.18</v>
      </c>
    </row>
    <row r="1430" spans="2:9">
      <c r="B1430" s="86">
        <v>43657</v>
      </c>
      <c r="C1430" s="61">
        <v>16155.78</v>
      </c>
      <c r="H1430" s="86">
        <v>44189</v>
      </c>
      <c r="I1430" s="61">
        <v>46973.54</v>
      </c>
    </row>
    <row r="1431" spans="2:9">
      <c r="B1431" s="86">
        <v>43656</v>
      </c>
      <c r="C1431" s="61">
        <v>16035.44</v>
      </c>
      <c r="H1431" s="86">
        <v>44193</v>
      </c>
      <c r="I1431" s="61">
        <v>47353.75</v>
      </c>
    </row>
    <row r="1432" spans="2:9">
      <c r="B1432" s="86">
        <v>43655</v>
      </c>
      <c r="C1432" s="61">
        <v>16114.46</v>
      </c>
      <c r="H1432" s="86">
        <v>44194</v>
      </c>
      <c r="I1432" s="61">
        <v>47613.08</v>
      </c>
    </row>
    <row r="1433" spans="2:9">
      <c r="B1433" s="86">
        <v>43654</v>
      </c>
      <c r="C1433" s="61">
        <v>16118.27</v>
      </c>
      <c r="H1433" s="86">
        <v>44195</v>
      </c>
      <c r="I1433" s="61">
        <v>47746.22</v>
      </c>
    </row>
    <row r="1434" spans="2:9">
      <c r="B1434" s="86">
        <v>43651</v>
      </c>
      <c r="C1434" s="61">
        <v>16468.990000000002</v>
      </c>
      <c r="H1434" s="86">
        <v>44196</v>
      </c>
      <c r="I1434" s="61">
        <v>47751.33</v>
      </c>
    </row>
    <row r="1435" spans="2:9">
      <c r="B1435" s="86">
        <v>43650</v>
      </c>
      <c r="C1435" s="61">
        <v>16658.04</v>
      </c>
      <c r="H1435" s="86">
        <v>44197</v>
      </c>
      <c r="I1435" s="61">
        <v>47868.98</v>
      </c>
    </row>
    <row r="1436" spans="2:9">
      <c r="B1436" s="86">
        <v>43649</v>
      </c>
      <c r="C1436" s="61">
        <v>16612.16</v>
      </c>
      <c r="H1436" s="86">
        <v>44200</v>
      </c>
      <c r="I1436" s="61">
        <v>48176.800000000003</v>
      </c>
    </row>
    <row r="1437" spans="2:9">
      <c r="B1437" s="86">
        <v>43648</v>
      </c>
      <c r="C1437" s="61">
        <v>16603.169999999998</v>
      </c>
      <c r="H1437" s="86">
        <v>44201</v>
      </c>
      <c r="I1437" s="61">
        <v>48437.78</v>
      </c>
    </row>
    <row r="1438" spans="2:9">
      <c r="B1438" s="86">
        <v>43647</v>
      </c>
      <c r="C1438" s="61">
        <v>16540.88</v>
      </c>
      <c r="H1438" s="86">
        <v>44202</v>
      </c>
      <c r="I1438" s="61">
        <v>48174.06</v>
      </c>
    </row>
    <row r="1439" spans="2:9">
      <c r="B1439" s="86">
        <v>43644</v>
      </c>
      <c r="C1439" s="61">
        <v>16433.849999999999</v>
      </c>
      <c r="H1439" s="86">
        <v>44203</v>
      </c>
      <c r="I1439" s="61">
        <v>48093.32</v>
      </c>
    </row>
    <row r="1440" spans="2:9">
      <c r="B1440" s="86">
        <v>43643</v>
      </c>
      <c r="C1440" s="61">
        <v>16507.34</v>
      </c>
      <c r="H1440" s="86">
        <v>44204</v>
      </c>
      <c r="I1440" s="61">
        <v>48782.51</v>
      </c>
    </row>
    <row r="1441" spans="2:9">
      <c r="B1441" s="86">
        <v>43642</v>
      </c>
      <c r="C1441" s="61">
        <v>16515.68</v>
      </c>
      <c r="H1441" s="86">
        <v>44207</v>
      </c>
      <c r="I1441" s="61">
        <v>49269.32</v>
      </c>
    </row>
    <row r="1442" spans="2:9">
      <c r="B1442" s="86">
        <v>43641</v>
      </c>
      <c r="C1442" s="61">
        <v>16444.46</v>
      </c>
      <c r="H1442" s="86">
        <v>44208</v>
      </c>
      <c r="I1442" s="61">
        <v>49517.11</v>
      </c>
    </row>
    <row r="1443" spans="2:9">
      <c r="B1443" s="86">
        <v>43640</v>
      </c>
      <c r="C1443" s="61">
        <v>16309.52</v>
      </c>
      <c r="H1443" s="86">
        <v>44209</v>
      </c>
      <c r="I1443" s="61">
        <v>49492.32</v>
      </c>
    </row>
    <row r="1444" spans="2:9">
      <c r="B1444" s="86">
        <v>43637</v>
      </c>
      <c r="C1444" s="61">
        <v>16343.59</v>
      </c>
      <c r="H1444" s="86">
        <v>44210</v>
      </c>
      <c r="I1444" s="61">
        <v>49584.160000000003</v>
      </c>
    </row>
    <row r="1445" spans="2:9">
      <c r="B1445" s="86">
        <v>43636</v>
      </c>
      <c r="C1445" s="61">
        <v>16493.650000000001</v>
      </c>
      <c r="H1445" s="86">
        <v>44211</v>
      </c>
      <c r="I1445" s="61">
        <v>49034.67</v>
      </c>
    </row>
    <row r="1446" spans="2:9">
      <c r="B1446" s="86">
        <v>43635</v>
      </c>
      <c r="C1446" s="61">
        <v>16283.94</v>
      </c>
      <c r="H1446" s="86">
        <v>44214</v>
      </c>
      <c r="I1446" s="61">
        <v>48564.27</v>
      </c>
    </row>
    <row r="1447" spans="2:9">
      <c r="B1447" s="86">
        <v>43634</v>
      </c>
      <c r="C1447" s="61">
        <v>16283.98</v>
      </c>
      <c r="H1447" s="86">
        <v>44215</v>
      </c>
      <c r="I1447" s="61">
        <v>49398.29</v>
      </c>
    </row>
    <row r="1448" spans="2:9">
      <c r="B1448" s="86">
        <v>43633</v>
      </c>
      <c r="C1448" s="61">
        <v>16257.06</v>
      </c>
      <c r="H1448" s="86">
        <v>44216</v>
      </c>
      <c r="I1448" s="61">
        <v>49792.12</v>
      </c>
    </row>
    <row r="1449" spans="2:9">
      <c r="B1449" s="86">
        <v>43630</v>
      </c>
      <c r="C1449" s="61">
        <v>16467.55</v>
      </c>
      <c r="H1449" s="86">
        <v>44217</v>
      </c>
      <c r="I1449" s="61">
        <v>49624.76</v>
      </c>
    </row>
    <row r="1450" spans="2:9">
      <c r="B1450" s="86">
        <v>43629</v>
      </c>
      <c r="C1450" s="61">
        <v>16593.97</v>
      </c>
      <c r="H1450" s="86">
        <v>44218</v>
      </c>
      <c r="I1450" s="61">
        <v>48878.54</v>
      </c>
    </row>
    <row r="1451" spans="2:9">
      <c r="B1451" s="86">
        <v>43628</v>
      </c>
      <c r="C1451" s="61">
        <v>16568.09</v>
      </c>
      <c r="H1451" s="86">
        <v>44221</v>
      </c>
      <c r="I1451" s="61">
        <v>48347.59</v>
      </c>
    </row>
    <row r="1452" spans="2:9">
      <c r="B1452" s="86">
        <v>43627</v>
      </c>
      <c r="C1452" s="61">
        <v>16650.75</v>
      </c>
      <c r="H1452" s="86">
        <v>44223</v>
      </c>
      <c r="I1452" s="61">
        <v>47409.93</v>
      </c>
    </row>
    <row r="1453" spans="2:9">
      <c r="B1453" s="86">
        <v>43626</v>
      </c>
      <c r="C1453" s="61">
        <v>16590.990000000002</v>
      </c>
      <c r="H1453" s="86">
        <v>44224</v>
      </c>
      <c r="I1453" s="61">
        <v>46874.36</v>
      </c>
    </row>
    <row r="1454" spans="2:9">
      <c r="B1454" s="86">
        <v>43623</v>
      </c>
      <c r="C1454" s="61">
        <v>16518.62</v>
      </c>
      <c r="H1454" s="86">
        <v>44225</v>
      </c>
      <c r="I1454" s="61">
        <v>46285.77</v>
      </c>
    </row>
    <row r="1455" spans="2:9">
      <c r="B1455" s="86">
        <v>43622</v>
      </c>
      <c r="C1455" s="61">
        <v>16481.14</v>
      </c>
      <c r="H1455" s="86">
        <v>44228</v>
      </c>
      <c r="I1455" s="61">
        <v>48600.61</v>
      </c>
    </row>
    <row r="1456" spans="2:9">
      <c r="B1456" s="86">
        <v>43620</v>
      </c>
      <c r="C1456" s="61">
        <v>16728.740000000002</v>
      </c>
      <c r="H1456" s="86">
        <v>44229</v>
      </c>
      <c r="I1456" s="61">
        <v>49797.72</v>
      </c>
    </row>
    <row r="1457" spans="2:9">
      <c r="B1457" s="86">
        <v>43619</v>
      </c>
      <c r="C1457" s="61">
        <v>16815.25</v>
      </c>
      <c r="H1457" s="86">
        <v>44230</v>
      </c>
      <c r="I1457" s="61">
        <v>50255.75</v>
      </c>
    </row>
    <row r="1458" spans="2:9">
      <c r="B1458" s="86">
        <v>43616</v>
      </c>
      <c r="C1458" s="61">
        <v>16583.46</v>
      </c>
      <c r="H1458" s="86">
        <v>44231</v>
      </c>
      <c r="I1458" s="61">
        <v>50614.29</v>
      </c>
    </row>
    <row r="1459" spans="2:9">
      <c r="B1459" s="86">
        <v>43615</v>
      </c>
      <c r="C1459" s="61">
        <v>16615.59</v>
      </c>
      <c r="H1459" s="86">
        <v>44232</v>
      </c>
      <c r="I1459" s="61">
        <v>50731.63</v>
      </c>
    </row>
    <row r="1460" spans="2:9">
      <c r="B1460" s="86">
        <v>43614</v>
      </c>
      <c r="C1460" s="61">
        <v>16497.62</v>
      </c>
      <c r="H1460" s="86">
        <v>44235</v>
      </c>
      <c r="I1460" s="61">
        <v>51348.77</v>
      </c>
    </row>
    <row r="1461" spans="2:9">
      <c r="B1461" s="86">
        <v>43613</v>
      </c>
      <c r="C1461" s="61">
        <v>16591.7</v>
      </c>
      <c r="H1461" s="86">
        <v>44236</v>
      </c>
      <c r="I1461" s="61">
        <v>51329.08</v>
      </c>
    </row>
    <row r="1462" spans="2:9">
      <c r="B1462" s="86">
        <v>43612</v>
      </c>
      <c r="C1462" s="61">
        <v>16585.13</v>
      </c>
      <c r="H1462" s="86">
        <v>44237</v>
      </c>
      <c r="I1462" s="61">
        <v>51309.39</v>
      </c>
    </row>
    <row r="1463" spans="2:9">
      <c r="B1463" s="86">
        <v>43609</v>
      </c>
      <c r="C1463" s="61">
        <v>16472.95</v>
      </c>
      <c r="H1463" s="86">
        <v>44238</v>
      </c>
      <c r="I1463" s="61">
        <v>51531.519999999997</v>
      </c>
    </row>
    <row r="1464" spans="2:9">
      <c r="B1464" s="86">
        <v>43608</v>
      </c>
      <c r="C1464" s="61">
        <v>16212.78</v>
      </c>
      <c r="H1464" s="86">
        <v>44239</v>
      </c>
      <c r="I1464" s="61">
        <v>51544.3</v>
      </c>
    </row>
    <row r="1465" spans="2:9">
      <c r="B1465" s="86">
        <v>43607</v>
      </c>
      <c r="C1465" s="61">
        <v>16325.28</v>
      </c>
      <c r="H1465" s="86">
        <v>44242</v>
      </c>
      <c r="I1465" s="61">
        <v>52154.13</v>
      </c>
    </row>
    <row r="1466" spans="2:9">
      <c r="B1466" s="86">
        <v>43606</v>
      </c>
      <c r="C1466" s="61">
        <v>16268.26</v>
      </c>
      <c r="H1466" s="86">
        <v>44243</v>
      </c>
      <c r="I1466" s="61">
        <v>52104.17</v>
      </c>
    </row>
    <row r="1467" spans="2:9">
      <c r="B1467" s="86">
        <v>43605</v>
      </c>
      <c r="C1467" s="61">
        <v>16433.77</v>
      </c>
      <c r="H1467" s="86">
        <v>44244</v>
      </c>
      <c r="I1467" s="61">
        <v>51703.83</v>
      </c>
    </row>
    <row r="1468" spans="2:9">
      <c r="B1468" s="86">
        <v>43602</v>
      </c>
      <c r="C1468" s="61">
        <v>15848.71</v>
      </c>
      <c r="H1468" s="86">
        <v>44245</v>
      </c>
      <c r="I1468" s="61">
        <v>51324.69</v>
      </c>
    </row>
    <row r="1469" spans="2:9">
      <c r="B1469" s="86">
        <v>43601</v>
      </c>
      <c r="C1469" s="61">
        <v>15640.22</v>
      </c>
      <c r="H1469" s="86">
        <v>44246</v>
      </c>
      <c r="I1469" s="61">
        <v>50889.760000000002</v>
      </c>
    </row>
    <row r="1470" spans="2:9">
      <c r="B1470" s="86">
        <v>43600</v>
      </c>
      <c r="C1470" s="61">
        <v>15500.82</v>
      </c>
      <c r="H1470" s="86">
        <v>44249</v>
      </c>
      <c r="I1470" s="61">
        <v>49744.32</v>
      </c>
    </row>
    <row r="1471" spans="2:9">
      <c r="B1471" s="86">
        <v>43599</v>
      </c>
      <c r="C1471" s="61">
        <v>15591.19</v>
      </c>
      <c r="H1471" s="86">
        <v>44250</v>
      </c>
      <c r="I1471" s="61">
        <v>49751.41</v>
      </c>
    </row>
    <row r="1472" spans="2:9">
      <c r="B1472" s="86">
        <v>43598</v>
      </c>
      <c r="C1472" s="61">
        <v>15488.6</v>
      </c>
      <c r="H1472" s="86">
        <v>44251</v>
      </c>
      <c r="I1472" s="61">
        <v>50781.69</v>
      </c>
    </row>
    <row r="1473" spans="2:9">
      <c r="B1473" s="86">
        <v>43595</v>
      </c>
      <c r="C1473" s="61">
        <v>15670.18</v>
      </c>
      <c r="H1473" s="86">
        <v>44252</v>
      </c>
      <c r="I1473" s="61">
        <v>51039.31</v>
      </c>
    </row>
    <row r="1474" spans="2:9">
      <c r="B1474" s="86">
        <v>43594</v>
      </c>
      <c r="C1474" s="61">
        <v>15701.95</v>
      </c>
      <c r="H1474" s="86">
        <v>44253</v>
      </c>
      <c r="I1474" s="61">
        <v>49099.99</v>
      </c>
    </row>
    <row r="1475" spans="2:9">
      <c r="B1475" s="86">
        <v>43593</v>
      </c>
      <c r="C1475" s="61">
        <v>15782.09</v>
      </c>
      <c r="H1475" s="86">
        <v>44256</v>
      </c>
      <c r="I1475" s="61">
        <v>49849.84</v>
      </c>
    </row>
    <row r="1476" spans="2:9">
      <c r="B1476" s="86">
        <v>43592</v>
      </c>
      <c r="C1476" s="61">
        <v>15974.41</v>
      </c>
      <c r="H1476" s="86">
        <v>44257</v>
      </c>
      <c r="I1476" s="61">
        <v>50296.89</v>
      </c>
    </row>
    <row r="1477" spans="2:9">
      <c r="B1477" s="86">
        <v>43591</v>
      </c>
      <c r="C1477" s="61">
        <v>16110.44</v>
      </c>
      <c r="H1477" s="86">
        <v>44258</v>
      </c>
      <c r="I1477" s="61">
        <v>51444.65</v>
      </c>
    </row>
    <row r="1478" spans="2:9">
      <c r="B1478" s="86">
        <v>43588</v>
      </c>
      <c r="C1478" s="61">
        <v>16268.79</v>
      </c>
      <c r="H1478" s="86">
        <v>44259</v>
      </c>
      <c r="I1478" s="61">
        <v>50846.080000000002</v>
      </c>
    </row>
    <row r="1479" spans="2:9">
      <c r="B1479" s="86">
        <v>43587</v>
      </c>
      <c r="C1479" s="61">
        <v>16286.18</v>
      </c>
      <c r="H1479" s="86">
        <v>44260</v>
      </c>
      <c r="I1479" s="61">
        <v>50405.32</v>
      </c>
    </row>
    <row r="1480" spans="2:9">
      <c r="B1480" s="86">
        <v>43585</v>
      </c>
      <c r="C1480" s="61">
        <v>16318.66</v>
      </c>
      <c r="H1480" s="86">
        <v>44263</v>
      </c>
      <c r="I1480" s="61">
        <v>50441.07</v>
      </c>
    </row>
    <row r="1481" spans="2:9">
      <c r="B1481" s="86">
        <v>43581</v>
      </c>
      <c r="C1481" s="61">
        <v>16327.7</v>
      </c>
      <c r="H1481" s="86">
        <v>44264</v>
      </c>
      <c r="I1481" s="61">
        <v>51025.48</v>
      </c>
    </row>
    <row r="1482" spans="2:9">
      <c r="B1482" s="86">
        <v>43580</v>
      </c>
      <c r="C1482" s="61">
        <v>16170.98</v>
      </c>
      <c r="H1482" s="86">
        <v>44265</v>
      </c>
      <c r="I1482" s="61">
        <v>51279.51</v>
      </c>
    </row>
    <row r="1483" spans="2:9">
      <c r="B1483" s="86">
        <v>43579</v>
      </c>
      <c r="C1483" s="61">
        <v>16288.16</v>
      </c>
      <c r="H1483" s="86">
        <v>44267</v>
      </c>
      <c r="I1483" s="61">
        <v>50792.08</v>
      </c>
    </row>
    <row r="1484" spans="2:9">
      <c r="B1484" s="86">
        <v>43578</v>
      </c>
      <c r="C1484" s="61">
        <v>16079.51</v>
      </c>
      <c r="H1484" s="86">
        <v>44270</v>
      </c>
      <c r="I1484" s="61">
        <v>50395.08</v>
      </c>
    </row>
    <row r="1485" spans="2:9">
      <c r="B1485" s="86">
        <v>43577</v>
      </c>
      <c r="C1485" s="61">
        <v>16105.19</v>
      </c>
      <c r="H1485" s="86">
        <v>44271</v>
      </c>
      <c r="I1485" s="61">
        <v>50363.96</v>
      </c>
    </row>
    <row r="1486" spans="2:9">
      <c r="B1486" s="86">
        <v>43573</v>
      </c>
      <c r="C1486" s="61">
        <v>16325.13</v>
      </c>
      <c r="H1486" s="86">
        <v>44272</v>
      </c>
      <c r="I1486" s="61">
        <v>49801.62</v>
      </c>
    </row>
    <row r="1487" spans="2:9">
      <c r="B1487" s="86">
        <v>43571</v>
      </c>
      <c r="C1487" s="61">
        <v>16372.86</v>
      </c>
      <c r="H1487" s="86">
        <v>44273</v>
      </c>
      <c r="I1487" s="61">
        <v>49216.52</v>
      </c>
    </row>
    <row r="1488" spans="2:9">
      <c r="B1488" s="86">
        <v>43570</v>
      </c>
      <c r="C1488" s="61">
        <v>16238.41</v>
      </c>
      <c r="H1488" s="86">
        <v>44274</v>
      </c>
      <c r="I1488" s="61">
        <v>49858.239999999998</v>
      </c>
    </row>
    <row r="1489" spans="2:9">
      <c r="B1489" s="86">
        <v>43567</v>
      </c>
      <c r="C1489" s="61">
        <v>16173.27</v>
      </c>
      <c r="H1489" s="86">
        <v>44277</v>
      </c>
      <c r="I1489" s="61">
        <v>49771.29</v>
      </c>
    </row>
    <row r="1490" spans="2:9">
      <c r="B1490" s="86">
        <v>43566</v>
      </c>
      <c r="C1490" s="61">
        <v>16108.32</v>
      </c>
      <c r="H1490" s="86">
        <v>44278</v>
      </c>
      <c r="I1490" s="61">
        <v>50051.44</v>
      </c>
    </row>
    <row r="1491" spans="2:9">
      <c r="B1491" s="86">
        <v>43565</v>
      </c>
      <c r="C1491" s="61">
        <v>16091.08</v>
      </c>
      <c r="H1491" s="86">
        <v>44279</v>
      </c>
      <c r="I1491" s="61">
        <v>49180.31</v>
      </c>
    </row>
    <row r="1492" spans="2:9">
      <c r="B1492" s="86">
        <v>43564</v>
      </c>
      <c r="C1492" s="61">
        <v>16212.81</v>
      </c>
      <c r="H1492" s="86">
        <v>44280</v>
      </c>
      <c r="I1492" s="61">
        <v>48440.12</v>
      </c>
    </row>
    <row r="1493" spans="2:9">
      <c r="B1493" s="86">
        <v>43563</v>
      </c>
      <c r="C1493" s="61">
        <v>16119.14</v>
      </c>
      <c r="H1493" s="86">
        <v>44281</v>
      </c>
      <c r="I1493" s="61">
        <v>49008.5</v>
      </c>
    </row>
    <row r="1494" spans="2:9">
      <c r="B1494" s="86">
        <v>43560</v>
      </c>
      <c r="C1494" s="61">
        <v>16204.48</v>
      </c>
      <c r="H1494" s="86">
        <v>44285</v>
      </c>
      <c r="I1494" s="61">
        <v>50136.58</v>
      </c>
    </row>
    <row r="1495" spans="2:9">
      <c r="B1495" s="86">
        <v>43559</v>
      </c>
      <c r="C1495" s="61">
        <v>16110.09</v>
      </c>
      <c r="H1495" s="86">
        <v>44286</v>
      </c>
      <c r="I1495" s="61">
        <v>49509.15</v>
      </c>
    </row>
    <row r="1496" spans="2:9">
      <c r="B1496" s="86">
        <v>43558</v>
      </c>
      <c r="C1496" s="61">
        <v>16173.92</v>
      </c>
      <c r="H1496" s="86">
        <v>44287</v>
      </c>
      <c r="I1496" s="61">
        <v>50029.83</v>
      </c>
    </row>
    <row r="1497" spans="2:9">
      <c r="B1497" s="86">
        <v>43557</v>
      </c>
      <c r="C1497" s="61">
        <v>16270.13</v>
      </c>
      <c r="H1497" s="86">
        <v>44291</v>
      </c>
      <c r="I1497" s="61">
        <v>49159.32</v>
      </c>
    </row>
    <row r="1498" spans="2:9">
      <c r="B1498" s="86">
        <v>43556</v>
      </c>
      <c r="C1498" s="61">
        <v>16208.94</v>
      </c>
      <c r="H1498" s="86">
        <v>44292</v>
      </c>
      <c r="I1498" s="61">
        <v>49201.39</v>
      </c>
    </row>
    <row r="1499" spans="2:9">
      <c r="B1499" s="86">
        <v>43553</v>
      </c>
      <c r="C1499" s="61">
        <v>16146.11</v>
      </c>
      <c r="H1499" s="86">
        <v>44293</v>
      </c>
      <c r="I1499" s="61">
        <v>49661.760000000002</v>
      </c>
    </row>
    <row r="1500" spans="2:9">
      <c r="B1500" s="86">
        <v>43552</v>
      </c>
      <c r="C1500" s="61">
        <v>16071.26</v>
      </c>
      <c r="H1500" s="86">
        <v>44294</v>
      </c>
      <c r="I1500" s="61">
        <v>49746.21</v>
      </c>
    </row>
    <row r="1501" spans="2:9">
      <c r="B1501" s="86">
        <v>43551</v>
      </c>
      <c r="C1501" s="61">
        <v>15897.65</v>
      </c>
      <c r="H1501" s="86">
        <v>44295</v>
      </c>
      <c r="I1501" s="61">
        <v>49591.32</v>
      </c>
    </row>
    <row r="1502" spans="2:9">
      <c r="B1502" s="86">
        <v>43550</v>
      </c>
      <c r="C1502" s="61">
        <v>15949.46</v>
      </c>
      <c r="H1502" s="86">
        <v>44298</v>
      </c>
      <c r="I1502" s="61">
        <v>47883.38</v>
      </c>
    </row>
    <row r="1503" spans="2:9">
      <c r="B1503" s="86">
        <v>43549</v>
      </c>
      <c r="C1503" s="61">
        <v>15770.26</v>
      </c>
      <c r="H1503" s="86">
        <v>44299</v>
      </c>
      <c r="I1503" s="61">
        <v>48544.06</v>
      </c>
    </row>
    <row r="1504" spans="2:9">
      <c r="B1504" s="86">
        <v>43546</v>
      </c>
      <c r="C1504" s="61">
        <v>15912.88</v>
      </c>
      <c r="H1504" s="86">
        <v>44301</v>
      </c>
      <c r="I1504" s="61">
        <v>48803.68</v>
      </c>
    </row>
    <row r="1505" spans="2:9">
      <c r="B1505" s="86">
        <v>43544</v>
      </c>
      <c r="C1505" s="61">
        <v>15998.51</v>
      </c>
      <c r="H1505" s="86">
        <v>44302</v>
      </c>
      <c r="I1505" s="61">
        <v>48832.03</v>
      </c>
    </row>
    <row r="1506" spans="2:9">
      <c r="B1506" s="86">
        <v>43543</v>
      </c>
      <c r="C1506" s="61">
        <v>16014.33</v>
      </c>
      <c r="H1506" s="86">
        <v>44305</v>
      </c>
      <c r="I1506" s="61">
        <v>47949.42</v>
      </c>
    </row>
    <row r="1507" spans="2:9">
      <c r="B1507" s="86">
        <v>43542</v>
      </c>
      <c r="C1507" s="61">
        <v>15916.8</v>
      </c>
      <c r="H1507" s="86">
        <v>44306</v>
      </c>
      <c r="I1507" s="61">
        <v>47705.8</v>
      </c>
    </row>
    <row r="1508" spans="2:9">
      <c r="B1508" s="86">
        <v>43539</v>
      </c>
      <c r="C1508" s="61">
        <v>15867.74</v>
      </c>
      <c r="H1508" s="86">
        <v>44308</v>
      </c>
      <c r="I1508" s="61">
        <v>48080.67</v>
      </c>
    </row>
    <row r="1509" spans="2:9">
      <c r="B1509" s="86">
        <v>43538</v>
      </c>
      <c r="C1509" s="61">
        <v>15749.67</v>
      </c>
      <c r="H1509" s="86">
        <v>44309</v>
      </c>
      <c r="I1509" s="61">
        <v>47878.45</v>
      </c>
    </row>
    <row r="1510" spans="2:9">
      <c r="B1510" s="86">
        <v>43537</v>
      </c>
      <c r="C1510" s="61">
        <v>15742.86</v>
      </c>
      <c r="H1510" s="86">
        <v>44312</v>
      </c>
      <c r="I1510" s="61">
        <v>48386.51</v>
      </c>
    </row>
    <row r="1511" spans="2:9">
      <c r="B1511" s="86">
        <v>43536</v>
      </c>
      <c r="C1511" s="61">
        <v>15685.41</v>
      </c>
      <c r="H1511" s="86">
        <v>44313</v>
      </c>
      <c r="I1511" s="61">
        <v>48944.14</v>
      </c>
    </row>
    <row r="1512" spans="2:9">
      <c r="B1512" s="86">
        <v>43535</v>
      </c>
      <c r="C1512" s="61">
        <v>15500.61</v>
      </c>
      <c r="H1512" s="86">
        <v>44314</v>
      </c>
      <c r="I1512" s="61">
        <v>49733.84</v>
      </c>
    </row>
    <row r="1513" spans="2:9">
      <c r="B1513" s="86">
        <v>43532</v>
      </c>
      <c r="C1513" s="61">
        <v>15316.51</v>
      </c>
      <c r="H1513" s="86">
        <v>44315</v>
      </c>
      <c r="I1513" s="61">
        <v>49765.94</v>
      </c>
    </row>
    <row r="1514" spans="2:9">
      <c r="B1514" s="86">
        <v>43531</v>
      </c>
      <c r="C1514" s="61">
        <v>15348.14</v>
      </c>
      <c r="H1514" s="86">
        <v>44316</v>
      </c>
      <c r="I1514" s="61">
        <v>48782.36</v>
      </c>
    </row>
    <row r="1515" spans="2:9">
      <c r="B1515" s="86">
        <v>43530</v>
      </c>
      <c r="C1515" s="61">
        <v>15340.93</v>
      </c>
      <c r="H1515" s="86">
        <v>44319</v>
      </c>
      <c r="I1515" s="61">
        <v>48718.52</v>
      </c>
    </row>
    <row r="1516" spans="2:9">
      <c r="B1516" s="86">
        <v>43529</v>
      </c>
      <c r="C1516" s="61">
        <v>15249.97</v>
      </c>
      <c r="H1516" s="86">
        <v>44320</v>
      </c>
      <c r="I1516" s="61">
        <v>48253.51</v>
      </c>
    </row>
    <row r="1517" spans="2:9">
      <c r="B1517" s="86">
        <v>43525</v>
      </c>
      <c r="C1517" s="61">
        <v>15077.91</v>
      </c>
      <c r="H1517" s="86">
        <v>44321</v>
      </c>
      <c r="I1517" s="61">
        <v>48677.55</v>
      </c>
    </row>
    <row r="1518" spans="2:9">
      <c r="B1518" s="86">
        <v>43524</v>
      </c>
      <c r="C1518" s="61">
        <v>14979.39</v>
      </c>
      <c r="H1518" s="86">
        <v>44322</v>
      </c>
      <c r="I1518" s="61">
        <v>48949.760000000002</v>
      </c>
    </row>
    <row r="1519" spans="2:9">
      <c r="B1519" s="86">
        <v>43523</v>
      </c>
      <c r="C1519" s="61">
        <v>14993.45</v>
      </c>
      <c r="H1519" s="86">
        <v>44323</v>
      </c>
      <c r="I1519" s="61">
        <v>49206.47</v>
      </c>
    </row>
    <row r="1520" spans="2:9">
      <c r="B1520" s="86">
        <v>43522</v>
      </c>
      <c r="C1520" s="61">
        <v>15033.15</v>
      </c>
      <c r="H1520" s="86">
        <v>44326</v>
      </c>
      <c r="I1520" s="61">
        <v>49502.41</v>
      </c>
    </row>
    <row r="1521" spans="2:9">
      <c r="B1521" s="86">
        <v>43521</v>
      </c>
      <c r="C1521" s="61">
        <v>15095.33</v>
      </c>
      <c r="H1521" s="86">
        <v>44327</v>
      </c>
      <c r="I1521" s="61">
        <v>49161.81</v>
      </c>
    </row>
    <row r="1522" spans="2:9">
      <c r="B1522" s="86">
        <v>43518</v>
      </c>
      <c r="C1522" s="61">
        <v>14972.58</v>
      </c>
      <c r="H1522" s="86">
        <v>44328</v>
      </c>
      <c r="I1522" s="61">
        <v>48690.8</v>
      </c>
    </row>
    <row r="1523" spans="2:9">
      <c r="B1523" s="86">
        <v>43517</v>
      </c>
      <c r="C1523" s="61">
        <v>14970.12</v>
      </c>
      <c r="H1523" s="86">
        <v>44330</v>
      </c>
      <c r="I1523" s="61">
        <v>48732.55</v>
      </c>
    </row>
    <row r="1524" spans="2:9">
      <c r="B1524" s="86">
        <v>43516</v>
      </c>
      <c r="C1524" s="61">
        <v>14891.6</v>
      </c>
      <c r="H1524" s="86">
        <v>44333</v>
      </c>
      <c r="I1524" s="61">
        <v>49580.73</v>
      </c>
    </row>
    <row r="1525" spans="2:9">
      <c r="B1525" s="86">
        <v>43515</v>
      </c>
      <c r="C1525" s="61">
        <v>14709.75</v>
      </c>
      <c r="H1525" s="86">
        <v>44334</v>
      </c>
      <c r="I1525" s="61">
        <v>50193.33</v>
      </c>
    </row>
    <row r="1526" spans="2:9">
      <c r="B1526" s="86">
        <v>43514</v>
      </c>
      <c r="C1526" s="61">
        <v>14760.48</v>
      </c>
      <c r="H1526" s="86">
        <v>44335</v>
      </c>
      <c r="I1526" s="61">
        <v>49902.64</v>
      </c>
    </row>
    <row r="1527" spans="2:9">
      <c r="B1527" s="86">
        <v>43511</v>
      </c>
      <c r="C1527" s="61">
        <v>14876.27</v>
      </c>
      <c r="H1527" s="86">
        <v>44336</v>
      </c>
      <c r="I1527" s="61">
        <v>49564.86</v>
      </c>
    </row>
    <row r="1528" spans="2:9">
      <c r="B1528" s="86">
        <v>43510</v>
      </c>
      <c r="C1528" s="61">
        <v>14906.26</v>
      </c>
      <c r="H1528" s="86">
        <v>44337</v>
      </c>
      <c r="I1528" s="61">
        <v>50540.480000000003</v>
      </c>
    </row>
    <row r="1529" spans="2:9">
      <c r="B1529" s="86">
        <v>43509</v>
      </c>
      <c r="C1529" s="61">
        <v>14970.62</v>
      </c>
      <c r="H1529" s="86">
        <v>44340</v>
      </c>
      <c r="I1529" s="61">
        <v>50651.9</v>
      </c>
    </row>
    <row r="1530" spans="2:9">
      <c r="B1530" s="86">
        <v>43508</v>
      </c>
      <c r="C1530" s="61">
        <v>15023.02</v>
      </c>
      <c r="H1530" s="86">
        <v>44341</v>
      </c>
      <c r="I1530" s="61">
        <v>50637.53</v>
      </c>
    </row>
    <row r="1531" spans="2:9">
      <c r="B1531" s="86">
        <v>43507</v>
      </c>
      <c r="C1531" s="61">
        <v>15100.61</v>
      </c>
      <c r="H1531" s="86">
        <v>44342</v>
      </c>
      <c r="I1531" s="61">
        <v>51017.52</v>
      </c>
    </row>
    <row r="1532" spans="2:9">
      <c r="B1532" s="86">
        <v>43504</v>
      </c>
      <c r="C1532" s="61">
        <v>15173.02</v>
      </c>
      <c r="H1532" s="86">
        <v>44343</v>
      </c>
      <c r="I1532" s="61">
        <v>51115.22</v>
      </c>
    </row>
    <row r="1533" spans="2:9">
      <c r="B1533" s="86">
        <v>43503</v>
      </c>
      <c r="C1533" s="61">
        <v>15347.41</v>
      </c>
      <c r="H1533" s="86">
        <v>44344</v>
      </c>
      <c r="I1533" s="61">
        <v>51422.879999999997</v>
      </c>
    </row>
    <row r="1534" spans="2:9">
      <c r="B1534" s="86">
        <v>43502</v>
      </c>
      <c r="C1534" s="61">
        <v>15337.8</v>
      </c>
      <c r="H1534" s="86">
        <v>44347</v>
      </c>
      <c r="I1534" s="61">
        <v>51937.440000000002</v>
      </c>
    </row>
    <row r="1535" spans="2:9">
      <c r="B1535" s="86">
        <v>43501</v>
      </c>
      <c r="C1535" s="61">
        <v>15155.99</v>
      </c>
      <c r="H1535" s="86">
        <v>44348</v>
      </c>
      <c r="I1535" s="61">
        <v>51934.879999999997</v>
      </c>
    </row>
    <row r="1536" spans="2:9">
      <c r="B1536" s="86">
        <v>43500</v>
      </c>
      <c r="C1536" s="61">
        <v>15125.02</v>
      </c>
      <c r="H1536" s="86">
        <v>44349</v>
      </c>
      <c r="I1536" s="61">
        <v>51849.48</v>
      </c>
    </row>
    <row r="1537" spans="2:9">
      <c r="B1537" s="86">
        <v>43497</v>
      </c>
      <c r="C1537" s="61">
        <v>15099.21</v>
      </c>
      <c r="H1537" s="86">
        <v>44350</v>
      </c>
      <c r="I1537" s="61">
        <v>52232.43</v>
      </c>
    </row>
    <row r="1538" spans="2:9">
      <c r="B1538" s="86">
        <v>43496</v>
      </c>
      <c r="C1538" s="61">
        <v>15012.34</v>
      </c>
      <c r="H1538" s="86">
        <v>44351</v>
      </c>
      <c r="I1538" s="61">
        <v>52100.05</v>
      </c>
    </row>
    <row r="1539" spans="2:9">
      <c r="B1539" s="86">
        <v>43495</v>
      </c>
      <c r="C1539" s="61">
        <v>14764.02</v>
      </c>
      <c r="H1539" s="86">
        <v>44354</v>
      </c>
      <c r="I1539" s="61">
        <v>52328.51</v>
      </c>
    </row>
    <row r="1540" spans="2:9">
      <c r="B1540" s="86">
        <v>43494</v>
      </c>
      <c r="C1540" s="61">
        <v>14764.59</v>
      </c>
      <c r="H1540" s="86">
        <v>44355</v>
      </c>
      <c r="I1540" s="61">
        <v>52275.57</v>
      </c>
    </row>
    <row r="1541" spans="2:9">
      <c r="B1541" s="86">
        <v>43493</v>
      </c>
      <c r="C1541" s="61">
        <v>14777.11</v>
      </c>
      <c r="H1541" s="86">
        <v>44356</v>
      </c>
      <c r="I1541" s="61">
        <v>51941.64</v>
      </c>
    </row>
    <row r="1542" spans="2:9">
      <c r="B1542" s="86">
        <v>43490</v>
      </c>
      <c r="C1542" s="61">
        <v>14942.09</v>
      </c>
      <c r="H1542" s="86">
        <v>44357</v>
      </c>
      <c r="I1542" s="61">
        <v>52300.47</v>
      </c>
    </row>
    <row r="1543" spans="2:9">
      <c r="B1543" s="86">
        <v>43489</v>
      </c>
      <c r="C1543" s="61">
        <v>15038.07</v>
      </c>
      <c r="H1543" s="86">
        <v>44358</v>
      </c>
      <c r="I1543" s="61">
        <v>52474.76</v>
      </c>
    </row>
    <row r="1544" spans="2:9">
      <c r="B1544" s="86">
        <v>43488</v>
      </c>
      <c r="C1544" s="61">
        <v>15007.4</v>
      </c>
      <c r="H1544" s="86">
        <v>44361</v>
      </c>
      <c r="I1544" s="61">
        <v>52551.53</v>
      </c>
    </row>
    <row r="1545" spans="2:9">
      <c r="B1545" s="86">
        <v>43487</v>
      </c>
      <c r="C1545" s="61">
        <v>15133.83</v>
      </c>
      <c r="H1545" s="86">
        <v>44362</v>
      </c>
      <c r="I1545" s="61">
        <v>52773.05</v>
      </c>
    </row>
    <row r="1546" spans="2:9">
      <c r="B1546" s="86">
        <v>43486</v>
      </c>
      <c r="C1546" s="61">
        <v>15188</v>
      </c>
      <c r="H1546" s="86">
        <v>44363</v>
      </c>
      <c r="I1546" s="61">
        <v>52501.98</v>
      </c>
    </row>
    <row r="1547" spans="2:9">
      <c r="B1547" s="86">
        <v>43483</v>
      </c>
      <c r="C1547" s="61">
        <v>15111.95</v>
      </c>
      <c r="H1547" s="86">
        <v>44364</v>
      </c>
      <c r="I1547" s="61">
        <v>52323.33</v>
      </c>
    </row>
    <row r="1548" spans="2:9">
      <c r="B1548" s="86">
        <v>43482</v>
      </c>
      <c r="C1548" s="61">
        <v>15109.54</v>
      </c>
      <c r="H1548" s="86">
        <v>44365</v>
      </c>
      <c r="I1548" s="61">
        <v>52344.45</v>
      </c>
    </row>
    <row r="1549" spans="2:9">
      <c r="B1549" s="86">
        <v>43481</v>
      </c>
      <c r="C1549" s="61">
        <v>15087.41</v>
      </c>
      <c r="H1549" s="86">
        <v>44368</v>
      </c>
      <c r="I1549" s="61">
        <v>52574.46</v>
      </c>
    </row>
    <row r="1550" spans="2:9">
      <c r="B1550" s="86">
        <v>43480</v>
      </c>
      <c r="C1550" s="61">
        <v>15082.59</v>
      </c>
      <c r="H1550" s="86">
        <v>44369</v>
      </c>
      <c r="I1550" s="61">
        <v>52588.71</v>
      </c>
    </row>
    <row r="1551" spans="2:9">
      <c r="B1551" s="86">
        <v>43479</v>
      </c>
      <c r="C1551" s="61">
        <v>14875.92</v>
      </c>
      <c r="H1551" s="86">
        <v>44370</v>
      </c>
      <c r="I1551" s="61">
        <v>52306.080000000002</v>
      </c>
    </row>
    <row r="1552" spans="2:9">
      <c r="B1552" s="86">
        <v>43476</v>
      </c>
      <c r="C1552" s="61">
        <v>14955.33</v>
      </c>
      <c r="H1552" s="86">
        <v>44371</v>
      </c>
      <c r="I1552" s="61">
        <v>52699</v>
      </c>
    </row>
    <row r="1553" spans="2:9">
      <c r="B1553" s="86">
        <v>43475</v>
      </c>
      <c r="C1553" s="61">
        <v>14992.23</v>
      </c>
      <c r="H1553" s="86">
        <v>44372</v>
      </c>
      <c r="I1553" s="61">
        <v>52925.04</v>
      </c>
    </row>
    <row r="1554" spans="2:9">
      <c r="B1554" s="86">
        <v>43474</v>
      </c>
      <c r="C1554" s="61">
        <v>15038.74</v>
      </c>
      <c r="H1554" s="86">
        <v>44375</v>
      </c>
      <c r="I1554" s="61">
        <v>52735.59</v>
      </c>
    </row>
    <row r="1555" spans="2:9">
      <c r="B1555" s="86">
        <v>43473</v>
      </c>
      <c r="C1555" s="61">
        <v>14965.34</v>
      </c>
      <c r="H1555" s="86">
        <v>44376</v>
      </c>
      <c r="I1555" s="61">
        <v>52549.66</v>
      </c>
    </row>
    <row r="1556" spans="2:9">
      <c r="B1556" s="86">
        <v>43472</v>
      </c>
      <c r="C1556" s="61">
        <v>14923.27</v>
      </c>
      <c r="H1556" s="86">
        <v>44377</v>
      </c>
      <c r="I1556" s="61">
        <v>52482.71</v>
      </c>
    </row>
    <row r="1557" spans="2:9">
      <c r="B1557" s="86">
        <v>43469</v>
      </c>
      <c r="C1557" s="61">
        <v>14861.69</v>
      </c>
      <c r="H1557" s="86">
        <v>44378</v>
      </c>
      <c r="I1557" s="61">
        <v>52318.6</v>
      </c>
    </row>
    <row r="1558" spans="2:9">
      <c r="B1558" s="86">
        <v>43468</v>
      </c>
      <c r="C1558" s="61">
        <v>14785.38</v>
      </c>
      <c r="H1558" s="86">
        <v>44379</v>
      </c>
      <c r="I1558" s="61">
        <v>52484.67</v>
      </c>
    </row>
    <row r="1559" spans="2:9">
      <c r="B1559" s="86">
        <v>43467</v>
      </c>
      <c r="C1559" s="61">
        <v>14951.96</v>
      </c>
      <c r="H1559" s="86">
        <v>44382</v>
      </c>
      <c r="I1559" s="61">
        <v>52880</v>
      </c>
    </row>
    <row r="1560" spans="2:9">
      <c r="B1560" s="86">
        <v>43466</v>
      </c>
      <c r="C1560" s="61">
        <v>15114.9</v>
      </c>
      <c r="H1560" s="86">
        <v>44383</v>
      </c>
      <c r="I1560" s="61">
        <v>52861.18</v>
      </c>
    </row>
    <row r="1561" spans="2:9">
      <c r="B1561" s="86">
        <v>43465</v>
      </c>
      <c r="C1561" s="61">
        <v>15048.98</v>
      </c>
      <c r="H1561" s="86">
        <v>44384</v>
      </c>
      <c r="I1561" s="61">
        <v>53054.76</v>
      </c>
    </row>
    <row r="1562" spans="2:9">
      <c r="B1562" s="86">
        <v>43462</v>
      </c>
      <c r="C1562" s="61">
        <v>15045.34</v>
      </c>
      <c r="H1562" s="86">
        <v>44385</v>
      </c>
      <c r="I1562" s="61">
        <v>52568.94</v>
      </c>
    </row>
    <row r="1563" spans="2:9">
      <c r="B1563" s="86">
        <v>43461</v>
      </c>
      <c r="C1563" s="61">
        <v>14930.18</v>
      </c>
      <c r="H1563" s="86">
        <v>44386</v>
      </c>
      <c r="I1563" s="61">
        <v>52386.19</v>
      </c>
    </row>
    <row r="1564" spans="2:9">
      <c r="B1564" s="86">
        <v>43460</v>
      </c>
      <c r="C1564" s="61">
        <v>14860.97</v>
      </c>
      <c r="H1564" s="86">
        <v>44389</v>
      </c>
      <c r="I1564" s="61">
        <v>52372.69</v>
      </c>
    </row>
    <row r="1565" spans="2:9">
      <c r="B1565" s="86">
        <v>43458</v>
      </c>
      <c r="C1565" s="61">
        <v>14769.13</v>
      </c>
      <c r="H1565" s="86">
        <v>44390</v>
      </c>
      <c r="I1565" s="61">
        <v>52769.73</v>
      </c>
    </row>
    <row r="1566" spans="2:9">
      <c r="B1566" s="86">
        <v>43455</v>
      </c>
      <c r="C1566" s="61">
        <v>14894.42</v>
      </c>
      <c r="H1566" s="86">
        <v>44391</v>
      </c>
      <c r="I1566" s="61">
        <v>52904.05</v>
      </c>
    </row>
    <row r="1567" spans="2:9">
      <c r="B1567" s="86">
        <v>43454</v>
      </c>
      <c r="C1567" s="61">
        <v>15163.14</v>
      </c>
      <c r="H1567" s="86">
        <v>44392</v>
      </c>
      <c r="I1567" s="61">
        <v>53158.85</v>
      </c>
    </row>
    <row r="1568" spans="2:9">
      <c r="B1568" s="86">
        <v>43453</v>
      </c>
      <c r="C1568" s="61">
        <v>15184.78</v>
      </c>
      <c r="H1568" s="86">
        <v>44393</v>
      </c>
      <c r="I1568" s="61">
        <v>53140.06</v>
      </c>
    </row>
    <row r="1569" spans="2:9">
      <c r="B1569" s="86">
        <v>43452</v>
      </c>
      <c r="C1569" s="61">
        <v>15103.63</v>
      </c>
      <c r="H1569" s="86">
        <v>44396</v>
      </c>
      <c r="I1569" s="61">
        <v>52553.4</v>
      </c>
    </row>
    <row r="1570" spans="2:9">
      <c r="B1570" s="86">
        <v>43451</v>
      </c>
      <c r="C1570" s="61">
        <v>15075.46</v>
      </c>
      <c r="H1570" s="86">
        <v>44397</v>
      </c>
      <c r="I1570" s="61">
        <v>52198.51</v>
      </c>
    </row>
    <row r="1571" spans="2:9">
      <c r="B1571" s="86">
        <v>43448</v>
      </c>
      <c r="C1571" s="61">
        <v>14960.64</v>
      </c>
      <c r="H1571" s="86">
        <v>44399</v>
      </c>
      <c r="I1571" s="61">
        <v>52837.21</v>
      </c>
    </row>
    <row r="1572" spans="2:9">
      <c r="B1572" s="86">
        <v>43447</v>
      </c>
      <c r="C1572" s="61">
        <v>14941.4</v>
      </c>
      <c r="H1572" s="86">
        <v>44400</v>
      </c>
      <c r="I1572" s="61">
        <v>52975.8</v>
      </c>
    </row>
    <row r="1573" spans="2:9">
      <c r="B1573" s="86">
        <v>43446</v>
      </c>
      <c r="C1573" s="61">
        <v>14866.71</v>
      </c>
      <c r="H1573" s="86">
        <v>44403</v>
      </c>
      <c r="I1573" s="61">
        <v>52852.27</v>
      </c>
    </row>
    <row r="1574" spans="2:9">
      <c r="B1574" s="86">
        <v>43445</v>
      </c>
      <c r="C1574" s="61">
        <v>14605.79</v>
      </c>
      <c r="H1574" s="86">
        <v>44404</v>
      </c>
      <c r="I1574" s="61">
        <v>52578.76</v>
      </c>
    </row>
    <row r="1575" spans="2:9">
      <c r="B1575" s="86">
        <v>43444</v>
      </c>
      <c r="C1575" s="61">
        <v>14521.73</v>
      </c>
      <c r="H1575" s="86">
        <v>44405</v>
      </c>
      <c r="I1575" s="61">
        <v>52443.71</v>
      </c>
    </row>
    <row r="1576" spans="2:9">
      <c r="B1576" s="86">
        <v>43441</v>
      </c>
      <c r="C1576" s="61">
        <v>14805.93</v>
      </c>
      <c r="H1576" s="86">
        <v>44406</v>
      </c>
      <c r="I1576" s="61">
        <v>52653.07</v>
      </c>
    </row>
    <row r="1577" spans="2:9">
      <c r="B1577" s="86">
        <v>43440</v>
      </c>
      <c r="C1577" s="61">
        <v>14677.79</v>
      </c>
      <c r="H1577" s="86">
        <v>44407</v>
      </c>
      <c r="I1577" s="61">
        <v>52586.84</v>
      </c>
    </row>
    <row r="1578" spans="2:9">
      <c r="B1578" s="86">
        <v>43439</v>
      </c>
      <c r="C1578" s="61">
        <v>14929.43</v>
      </c>
      <c r="H1578" s="86">
        <v>44410</v>
      </c>
      <c r="I1578" s="61">
        <v>52950.63</v>
      </c>
    </row>
    <row r="1579" spans="2:9">
      <c r="B1579" s="86">
        <v>43438</v>
      </c>
      <c r="C1579" s="61">
        <v>15049.32</v>
      </c>
      <c r="H1579" s="86">
        <v>44411</v>
      </c>
      <c r="I1579" s="61">
        <v>53823.360000000001</v>
      </c>
    </row>
    <row r="1580" spans="2:9">
      <c r="B1580" s="86">
        <v>43437</v>
      </c>
      <c r="C1580" s="61">
        <v>15069.07</v>
      </c>
      <c r="H1580" s="86">
        <v>44412</v>
      </c>
      <c r="I1580" s="61">
        <v>54369.77</v>
      </c>
    </row>
    <row r="1581" spans="2:9">
      <c r="B1581" s="86">
        <v>43434</v>
      </c>
      <c r="C1581" s="61">
        <v>15059.37</v>
      </c>
      <c r="H1581" s="86">
        <v>44413</v>
      </c>
      <c r="I1581" s="61">
        <v>54492.84</v>
      </c>
    </row>
    <row r="1582" spans="2:9">
      <c r="B1582" s="86">
        <v>43433</v>
      </c>
      <c r="C1582" s="61">
        <v>15034.36</v>
      </c>
      <c r="H1582" s="86">
        <v>44414</v>
      </c>
      <c r="I1582" s="61">
        <v>54277.72</v>
      </c>
    </row>
    <row r="1583" spans="2:9">
      <c r="B1583" s="86">
        <v>43432</v>
      </c>
      <c r="C1583" s="61">
        <v>14854.61</v>
      </c>
      <c r="H1583" s="86">
        <v>44417</v>
      </c>
      <c r="I1583" s="61">
        <v>54402.85</v>
      </c>
    </row>
    <row r="1584" spans="2:9">
      <c r="B1584" s="86">
        <v>43431</v>
      </c>
      <c r="C1584" s="61">
        <v>14794.7</v>
      </c>
      <c r="H1584" s="86">
        <v>44418</v>
      </c>
      <c r="I1584" s="61">
        <v>54554.66</v>
      </c>
    </row>
    <row r="1585" spans="2:9">
      <c r="B1585" s="86">
        <v>43430</v>
      </c>
      <c r="C1585" s="61">
        <v>14715.81</v>
      </c>
      <c r="H1585" s="86">
        <v>44419</v>
      </c>
      <c r="I1585" s="61">
        <v>54525.93</v>
      </c>
    </row>
    <row r="1586" spans="2:9">
      <c r="B1586" s="86">
        <v>43426</v>
      </c>
      <c r="C1586" s="61">
        <v>14574.82</v>
      </c>
      <c r="H1586" s="86">
        <v>44420</v>
      </c>
      <c r="I1586" s="61">
        <v>54843.98</v>
      </c>
    </row>
    <row r="1587" spans="2:9">
      <c r="B1587" s="86">
        <v>43425</v>
      </c>
      <c r="C1587" s="61">
        <v>14676.29</v>
      </c>
      <c r="H1587" s="86">
        <v>44421</v>
      </c>
      <c r="I1587" s="61">
        <v>55437.29</v>
      </c>
    </row>
    <row r="1588" spans="2:9">
      <c r="B1588" s="86">
        <v>43424</v>
      </c>
      <c r="C1588" s="61">
        <v>14754.03</v>
      </c>
      <c r="H1588" s="86">
        <v>44424</v>
      </c>
      <c r="I1588" s="61">
        <v>55582.58</v>
      </c>
    </row>
    <row r="1589" spans="2:9">
      <c r="B1589" s="86">
        <v>43423</v>
      </c>
      <c r="C1589" s="61">
        <v>14902.44</v>
      </c>
      <c r="H1589" s="86">
        <v>44425</v>
      </c>
      <c r="I1589" s="61">
        <v>55792.27</v>
      </c>
    </row>
    <row r="1590" spans="2:9">
      <c r="B1590" s="86">
        <v>43420</v>
      </c>
      <c r="C1590" s="61">
        <v>14790.05</v>
      </c>
      <c r="H1590" s="86">
        <v>44426</v>
      </c>
      <c r="I1590" s="61">
        <v>55629.49</v>
      </c>
    </row>
    <row r="1591" spans="2:9">
      <c r="B1591" s="86">
        <v>43419</v>
      </c>
      <c r="C1591" s="61">
        <v>14699.33</v>
      </c>
      <c r="H1591" s="86">
        <v>44428</v>
      </c>
      <c r="I1591" s="61">
        <v>55329.32</v>
      </c>
    </row>
    <row r="1592" spans="2:9">
      <c r="B1592" s="86">
        <v>43418</v>
      </c>
      <c r="C1592" s="61">
        <v>14643.42</v>
      </c>
      <c r="H1592" s="86">
        <v>44431</v>
      </c>
      <c r="I1592" s="61">
        <v>55555.79</v>
      </c>
    </row>
    <row r="1593" spans="2:9">
      <c r="B1593" s="86">
        <v>43417</v>
      </c>
      <c r="C1593" s="61">
        <v>14651.98</v>
      </c>
      <c r="H1593" s="86">
        <v>44432</v>
      </c>
      <c r="I1593" s="61">
        <v>55958.98</v>
      </c>
    </row>
    <row r="1594" spans="2:9">
      <c r="B1594" s="86">
        <v>43416</v>
      </c>
      <c r="C1594" s="61">
        <v>14513.12</v>
      </c>
      <c r="H1594" s="86">
        <v>44433</v>
      </c>
      <c r="I1594" s="61">
        <v>55944.21</v>
      </c>
    </row>
    <row r="1595" spans="2:9">
      <c r="B1595" s="86">
        <v>43413</v>
      </c>
      <c r="C1595" s="61">
        <v>14655.69</v>
      </c>
      <c r="H1595" s="86">
        <v>44434</v>
      </c>
      <c r="I1595" s="61">
        <v>55949.1</v>
      </c>
    </row>
    <row r="1596" spans="2:9">
      <c r="B1596" s="86">
        <v>43411</v>
      </c>
      <c r="C1596" s="61">
        <v>14673.98</v>
      </c>
      <c r="H1596" s="86">
        <v>44435</v>
      </c>
      <c r="I1596" s="61">
        <v>56124.72</v>
      </c>
    </row>
    <row r="1597" spans="2:9">
      <c r="B1597" s="86">
        <v>43410</v>
      </c>
      <c r="C1597" s="61">
        <v>14579.28</v>
      </c>
      <c r="H1597" s="86">
        <v>44438</v>
      </c>
      <c r="I1597" s="61">
        <v>56889.760000000002</v>
      </c>
    </row>
    <row r="1598" spans="2:9">
      <c r="B1598" s="86">
        <v>43409</v>
      </c>
      <c r="C1598" s="61">
        <v>14570.98</v>
      </c>
      <c r="H1598" s="86">
        <v>44439</v>
      </c>
      <c r="I1598" s="61">
        <v>57552.39</v>
      </c>
    </row>
    <row r="1599" spans="2:9">
      <c r="B1599" s="86">
        <v>43406</v>
      </c>
      <c r="C1599" s="61">
        <v>14609.96</v>
      </c>
      <c r="H1599" s="86">
        <v>44440</v>
      </c>
      <c r="I1599" s="61">
        <v>57338.21</v>
      </c>
    </row>
    <row r="1600" spans="2:9">
      <c r="B1600" s="86">
        <v>43405</v>
      </c>
      <c r="C1600" s="61">
        <v>14371.1</v>
      </c>
      <c r="H1600" s="86">
        <v>44441</v>
      </c>
      <c r="I1600" s="61">
        <v>57852.54</v>
      </c>
    </row>
    <row r="1601" spans="2:9">
      <c r="B1601" s="86">
        <v>43404</v>
      </c>
      <c r="C1601" s="61">
        <v>14377.38</v>
      </c>
      <c r="H1601" s="86">
        <v>44442</v>
      </c>
      <c r="I1601" s="61">
        <v>58129.95</v>
      </c>
    </row>
    <row r="1602" spans="2:9">
      <c r="B1602" s="86">
        <v>43403</v>
      </c>
      <c r="C1602" s="61">
        <v>14116.91</v>
      </c>
      <c r="H1602" s="86">
        <v>44445</v>
      </c>
      <c r="I1602" s="61">
        <v>58296.91</v>
      </c>
    </row>
    <row r="1603" spans="2:9">
      <c r="B1603" s="86">
        <v>43402</v>
      </c>
      <c r="C1603" s="61">
        <v>14189.11</v>
      </c>
      <c r="H1603" s="86">
        <v>44446</v>
      </c>
      <c r="I1603" s="61">
        <v>58279.48</v>
      </c>
    </row>
    <row r="1604" spans="2:9">
      <c r="B1604" s="86">
        <v>43399</v>
      </c>
      <c r="C1604" s="61">
        <v>13882.95</v>
      </c>
      <c r="H1604" s="86">
        <v>44447</v>
      </c>
      <c r="I1604" s="61">
        <v>58250.26</v>
      </c>
    </row>
    <row r="1605" spans="2:9">
      <c r="B1605" s="86">
        <v>43398</v>
      </c>
      <c r="C1605" s="61">
        <v>14014.33</v>
      </c>
      <c r="H1605" s="86">
        <v>44448</v>
      </c>
      <c r="I1605" s="61">
        <v>58305.07</v>
      </c>
    </row>
    <row r="1606" spans="2:9">
      <c r="B1606" s="86">
        <v>43397</v>
      </c>
      <c r="C1606" s="61">
        <v>14139.75</v>
      </c>
      <c r="H1606" s="86">
        <v>44452</v>
      </c>
      <c r="I1606" s="61">
        <v>58177.760000000002</v>
      </c>
    </row>
    <row r="1607" spans="2:9">
      <c r="B1607" s="86">
        <v>43396</v>
      </c>
      <c r="C1607" s="61">
        <v>14031.96</v>
      </c>
      <c r="H1607" s="86">
        <v>44453</v>
      </c>
      <c r="I1607" s="61">
        <v>58247.09</v>
      </c>
    </row>
    <row r="1608" spans="2:9">
      <c r="B1608" s="86">
        <v>43395</v>
      </c>
      <c r="C1608" s="61">
        <v>14166.64</v>
      </c>
      <c r="H1608" s="86">
        <v>44454</v>
      </c>
      <c r="I1608" s="61">
        <v>58723.199999999997</v>
      </c>
    </row>
    <row r="1609" spans="2:9">
      <c r="B1609" s="86">
        <v>43392</v>
      </c>
      <c r="C1609" s="61">
        <v>14247.22</v>
      </c>
      <c r="H1609" s="86">
        <v>44455</v>
      </c>
      <c r="I1609" s="61">
        <v>59141.16</v>
      </c>
    </row>
    <row r="1610" spans="2:9">
      <c r="B1610" s="86">
        <v>43390</v>
      </c>
      <c r="C1610" s="61">
        <v>14453.94</v>
      </c>
      <c r="H1610" s="86">
        <v>44456</v>
      </c>
      <c r="I1610" s="61">
        <v>59015.89</v>
      </c>
    </row>
    <row r="1611" spans="2:9">
      <c r="B1611" s="86">
        <v>43389</v>
      </c>
      <c r="C1611" s="61">
        <v>14636.1</v>
      </c>
      <c r="H1611" s="86">
        <v>44459</v>
      </c>
      <c r="I1611" s="61">
        <v>58490.93</v>
      </c>
    </row>
    <row r="1612" spans="2:9">
      <c r="B1612" s="86">
        <v>43388</v>
      </c>
      <c r="C1612" s="61">
        <v>14536.17</v>
      </c>
      <c r="H1612" s="86">
        <v>44460</v>
      </c>
      <c r="I1612" s="61">
        <v>59005.27</v>
      </c>
    </row>
    <row r="1613" spans="2:9">
      <c r="B1613" s="86">
        <v>43385</v>
      </c>
      <c r="C1613" s="61">
        <v>14480.86</v>
      </c>
      <c r="H1613" s="86">
        <v>44461</v>
      </c>
      <c r="I1613" s="61">
        <v>58927.33</v>
      </c>
    </row>
    <row r="1614" spans="2:9">
      <c r="B1614" s="86">
        <v>43384</v>
      </c>
      <c r="C1614" s="61">
        <v>14152</v>
      </c>
      <c r="H1614" s="86">
        <v>44462</v>
      </c>
      <c r="I1614" s="61">
        <v>59885.36</v>
      </c>
    </row>
    <row r="1615" spans="2:9">
      <c r="B1615" s="86">
        <v>43383</v>
      </c>
      <c r="C1615" s="61">
        <v>14463.71</v>
      </c>
      <c r="H1615" s="86">
        <v>44463</v>
      </c>
      <c r="I1615" s="61">
        <v>60048.47</v>
      </c>
    </row>
    <row r="1616" spans="2:9">
      <c r="B1616" s="86">
        <v>43382</v>
      </c>
      <c r="C1616" s="61">
        <v>14243.79</v>
      </c>
      <c r="H1616" s="86">
        <v>44466</v>
      </c>
      <c r="I1616" s="61">
        <v>60077.88</v>
      </c>
    </row>
    <row r="1617" spans="2:9">
      <c r="B1617" s="86">
        <v>43381</v>
      </c>
      <c r="C1617" s="61">
        <v>14308.79</v>
      </c>
      <c r="H1617" s="86">
        <v>44467</v>
      </c>
      <c r="I1617" s="61">
        <v>59667.6</v>
      </c>
    </row>
    <row r="1618" spans="2:9">
      <c r="B1618" s="86">
        <v>43378</v>
      </c>
      <c r="C1618" s="61">
        <v>14265.08</v>
      </c>
      <c r="H1618" s="86">
        <v>44468</v>
      </c>
      <c r="I1618" s="61">
        <v>59413.27</v>
      </c>
    </row>
    <row r="1619" spans="2:9">
      <c r="B1619" s="86">
        <v>43377</v>
      </c>
      <c r="C1619" s="61">
        <v>14656.09</v>
      </c>
      <c r="H1619" s="86">
        <v>44469</v>
      </c>
      <c r="I1619" s="61">
        <v>59126.36</v>
      </c>
    </row>
    <row r="1620" spans="2:9">
      <c r="B1620" s="86">
        <v>43376</v>
      </c>
      <c r="C1620" s="61">
        <v>15014.23</v>
      </c>
      <c r="H1620" s="86">
        <v>44470</v>
      </c>
      <c r="I1620" s="61">
        <v>58765.58</v>
      </c>
    </row>
    <row r="1621" spans="2:9">
      <c r="B1621" s="86">
        <v>43374</v>
      </c>
      <c r="C1621" s="61">
        <v>15221.75</v>
      </c>
      <c r="H1621" s="86">
        <v>44473</v>
      </c>
      <c r="I1621" s="61">
        <v>59299.32</v>
      </c>
    </row>
    <row r="1622" spans="2:9">
      <c r="B1622" s="86">
        <v>43371</v>
      </c>
      <c r="C1622" s="61">
        <v>15114.08</v>
      </c>
      <c r="H1622" s="86">
        <v>44474</v>
      </c>
      <c r="I1622" s="61">
        <v>59744.88</v>
      </c>
    </row>
    <row r="1623" spans="2:9">
      <c r="B1623" s="86">
        <v>43370</v>
      </c>
      <c r="C1623" s="61">
        <v>15179.24</v>
      </c>
      <c r="H1623" s="86">
        <v>44475</v>
      </c>
      <c r="I1623" s="61">
        <v>59189.73</v>
      </c>
    </row>
    <row r="1624" spans="2:9">
      <c r="B1624" s="86">
        <v>43369</v>
      </c>
      <c r="C1624" s="61">
        <v>15284.67</v>
      </c>
      <c r="H1624" s="86">
        <v>44476</v>
      </c>
      <c r="I1624" s="61">
        <v>59677.83</v>
      </c>
    </row>
    <row r="1625" spans="2:9">
      <c r="B1625" s="86">
        <v>43368</v>
      </c>
      <c r="C1625" s="61">
        <v>15303.55</v>
      </c>
      <c r="H1625" s="86">
        <v>44477</v>
      </c>
      <c r="I1625" s="61">
        <v>60059.06</v>
      </c>
    </row>
    <row r="1626" spans="2:9">
      <c r="B1626" s="86">
        <v>43367</v>
      </c>
      <c r="C1626" s="61">
        <v>15165.18</v>
      </c>
      <c r="H1626" s="86">
        <v>44480</v>
      </c>
      <c r="I1626" s="61">
        <v>60135.78</v>
      </c>
    </row>
    <row r="1627" spans="2:9">
      <c r="B1627" s="86">
        <v>43364</v>
      </c>
      <c r="C1627" s="61">
        <v>15408.16</v>
      </c>
      <c r="H1627" s="86">
        <v>44481</v>
      </c>
      <c r="I1627" s="61">
        <v>60284.31</v>
      </c>
    </row>
    <row r="1628" spans="2:9">
      <c r="B1628" s="86">
        <v>43362</v>
      </c>
      <c r="C1628" s="61">
        <v>15534.28</v>
      </c>
      <c r="H1628" s="86">
        <v>44482</v>
      </c>
      <c r="I1628" s="61">
        <v>60737.05</v>
      </c>
    </row>
    <row r="1629" spans="2:9">
      <c r="B1629" s="86">
        <v>43361</v>
      </c>
      <c r="C1629" s="61">
        <v>15594.57</v>
      </c>
      <c r="H1629" s="86">
        <v>44483</v>
      </c>
      <c r="I1629" s="61">
        <v>61305.95</v>
      </c>
    </row>
    <row r="1630" spans="2:9">
      <c r="B1630" s="86">
        <v>43360</v>
      </c>
      <c r="C1630" s="61">
        <v>15731.26</v>
      </c>
      <c r="H1630" s="86">
        <v>44487</v>
      </c>
      <c r="I1630" s="61">
        <v>61765.59</v>
      </c>
    </row>
    <row r="1631" spans="2:9">
      <c r="B1631" s="86">
        <v>43357</v>
      </c>
      <c r="C1631" s="61">
        <v>15920.48</v>
      </c>
      <c r="H1631" s="86">
        <v>44488</v>
      </c>
      <c r="I1631" s="61">
        <v>61716.05</v>
      </c>
    </row>
    <row r="1632" spans="2:9">
      <c r="B1632" s="86">
        <v>43355</v>
      </c>
      <c r="C1632" s="61">
        <v>15719.62</v>
      </c>
      <c r="H1632" s="86">
        <v>44489</v>
      </c>
      <c r="I1632" s="61">
        <v>61259.96</v>
      </c>
    </row>
    <row r="1633" spans="2:9">
      <c r="B1633" s="86">
        <v>43354</v>
      </c>
      <c r="C1633" s="61">
        <v>15605.11</v>
      </c>
      <c r="H1633" s="86">
        <v>44490</v>
      </c>
      <c r="I1633" s="61">
        <v>60923.5</v>
      </c>
    </row>
    <row r="1634" spans="2:9">
      <c r="B1634" s="86">
        <v>43353</v>
      </c>
      <c r="C1634" s="61">
        <v>15813.26</v>
      </c>
      <c r="H1634" s="86">
        <v>44491</v>
      </c>
      <c r="I1634" s="61">
        <v>60821.62</v>
      </c>
    </row>
    <row r="1635" spans="2:9">
      <c r="B1635" s="86">
        <v>43350</v>
      </c>
      <c r="C1635" s="61">
        <v>16019.84</v>
      </c>
      <c r="H1635" s="86">
        <v>44494</v>
      </c>
      <c r="I1635" s="61">
        <v>60967.05</v>
      </c>
    </row>
    <row r="1636" spans="2:9">
      <c r="B1636" s="86">
        <v>43349</v>
      </c>
      <c r="C1636" s="61">
        <v>15947.67</v>
      </c>
      <c r="H1636" s="86">
        <v>44495</v>
      </c>
      <c r="I1636" s="61">
        <v>61350.26</v>
      </c>
    </row>
    <row r="1637" spans="2:9">
      <c r="B1637" s="86">
        <v>43348</v>
      </c>
      <c r="C1637" s="61">
        <v>15862.15</v>
      </c>
      <c r="H1637" s="86">
        <v>44496</v>
      </c>
      <c r="I1637" s="61">
        <v>61143.33</v>
      </c>
    </row>
    <row r="1638" spans="2:9">
      <c r="B1638" s="86">
        <v>43347</v>
      </c>
      <c r="C1638" s="61">
        <v>15922.09</v>
      </c>
      <c r="H1638" s="86">
        <v>44497</v>
      </c>
      <c r="I1638" s="61">
        <v>59984.7</v>
      </c>
    </row>
    <row r="1639" spans="2:9">
      <c r="B1639" s="86">
        <v>43346</v>
      </c>
      <c r="C1639" s="61">
        <v>16007.84</v>
      </c>
      <c r="H1639" s="86">
        <v>44498</v>
      </c>
      <c r="I1639" s="61">
        <v>59306.93</v>
      </c>
    </row>
    <row r="1640" spans="2:9">
      <c r="B1640" s="86">
        <v>43343</v>
      </c>
      <c r="C1640" s="61">
        <v>16143.51</v>
      </c>
      <c r="H1640" s="86">
        <v>44501</v>
      </c>
      <c r="I1640" s="61">
        <v>60138.46</v>
      </c>
    </row>
    <row r="1641" spans="2:9">
      <c r="B1641" s="86">
        <v>43342</v>
      </c>
      <c r="C1641" s="61">
        <v>16135.61</v>
      </c>
      <c r="H1641" s="86">
        <v>44502</v>
      </c>
      <c r="I1641" s="61">
        <v>60029.06</v>
      </c>
    </row>
    <row r="1642" spans="2:9">
      <c r="B1642" s="86">
        <v>43341</v>
      </c>
      <c r="C1642" s="61">
        <v>16156.02</v>
      </c>
      <c r="H1642" s="86">
        <v>44503</v>
      </c>
      <c r="I1642" s="61">
        <v>59771.92</v>
      </c>
    </row>
    <row r="1643" spans="2:9">
      <c r="B1643" s="86">
        <v>43340</v>
      </c>
      <c r="C1643" s="61">
        <v>16220.45</v>
      </c>
      <c r="H1643" s="86">
        <v>44504</v>
      </c>
      <c r="I1643" s="61">
        <v>60067.62</v>
      </c>
    </row>
    <row r="1644" spans="2:9">
      <c r="B1644" s="86">
        <v>43339</v>
      </c>
      <c r="C1644" s="61">
        <v>16156.09</v>
      </c>
      <c r="H1644" s="86">
        <v>44508</v>
      </c>
      <c r="I1644" s="61">
        <v>60545.61</v>
      </c>
    </row>
    <row r="1645" spans="2:9">
      <c r="B1645" s="86">
        <v>43336</v>
      </c>
      <c r="C1645" s="61">
        <v>15969.8</v>
      </c>
      <c r="H1645" s="86">
        <v>44509</v>
      </c>
      <c r="I1645" s="61">
        <v>60433.45</v>
      </c>
    </row>
    <row r="1646" spans="2:9">
      <c r="B1646" s="86">
        <v>43335</v>
      </c>
      <c r="C1646" s="61">
        <v>16001.85</v>
      </c>
      <c r="H1646" s="86">
        <v>44510</v>
      </c>
      <c r="I1646" s="61">
        <v>60352.82</v>
      </c>
    </row>
    <row r="1647" spans="2:9">
      <c r="B1647" s="86">
        <v>43333</v>
      </c>
      <c r="C1647" s="61">
        <v>15985.48</v>
      </c>
      <c r="H1647" s="86">
        <v>44511</v>
      </c>
      <c r="I1647" s="61">
        <v>59919.69</v>
      </c>
    </row>
    <row r="1648" spans="2:9">
      <c r="B1648" s="86">
        <v>43332</v>
      </c>
      <c r="C1648" s="61">
        <v>15959.04</v>
      </c>
      <c r="H1648" s="86">
        <v>44512</v>
      </c>
      <c r="I1648" s="61">
        <v>60686.69</v>
      </c>
    </row>
    <row r="1649" spans="2:9">
      <c r="B1649" s="86">
        <v>43329</v>
      </c>
      <c r="C1649" s="61">
        <v>15845.64</v>
      </c>
      <c r="H1649" s="86">
        <v>44515</v>
      </c>
      <c r="I1649" s="61">
        <v>60718.71</v>
      </c>
    </row>
    <row r="1650" spans="2:9">
      <c r="B1650" s="86">
        <v>43328</v>
      </c>
      <c r="C1650" s="61">
        <v>15727.25</v>
      </c>
      <c r="H1650" s="86">
        <v>44516</v>
      </c>
      <c r="I1650" s="61">
        <v>60322.37</v>
      </c>
    </row>
    <row r="1651" spans="2:9">
      <c r="B1651" s="86">
        <v>43326</v>
      </c>
      <c r="C1651" s="61">
        <v>15796.36</v>
      </c>
      <c r="H1651" s="86">
        <v>44517</v>
      </c>
      <c r="I1651" s="61">
        <v>60008.33</v>
      </c>
    </row>
    <row r="1652" spans="2:9">
      <c r="B1652" s="86">
        <v>43325</v>
      </c>
      <c r="C1652" s="61">
        <v>15676.23</v>
      </c>
      <c r="H1652" s="86">
        <v>44518</v>
      </c>
      <c r="I1652" s="61">
        <v>59636.01</v>
      </c>
    </row>
    <row r="1653" spans="2:9">
      <c r="B1653" s="86">
        <v>43322</v>
      </c>
      <c r="C1653" s="61">
        <v>15776.32</v>
      </c>
      <c r="H1653" s="86">
        <v>44522</v>
      </c>
      <c r="I1653" s="61">
        <v>58465.89</v>
      </c>
    </row>
    <row r="1654" spans="2:9">
      <c r="B1654" s="86">
        <v>43321</v>
      </c>
      <c r="C1654" s="61">
        <v>15833.23</v>
      </c>
      <c r="H1654" s="86">
        <v>44523</v>
      </c>
      <c r="I1654" s="61">
        <v>58664.33</v>
      </c>
    </row>
    <row r="1655" spans="2:9">
      <c r="B1655" s="86">
        <v>43320</v>
      </c>
      <c r="C1655" s="61">
        <v>15803.64</v>
      </c>
      <c r="H1655" s="86">
        <v>44524</v>
      </c>
      <c r="I1655" s="61">
        <v>58340.99</v>
      </c>
    </row>
    <row r="1656" spans="2:9">
      <c r="B1656" s="86">
        <v>43319</v>
      </c>
      <c r="C1656" s="61">
        <v>15720.05</v>
      </c>
      <c r="H1656" s="86">
        <v>44525</v>
      </c>
      <c r="I1656" s="61">
        <v>58795.09</v>
      </c>
    </row>
    <row r="1657" spans="2:9">
      <c r="B1657" s="86">
        <v>43318</v>
      </c>
      <c r="C1657" s="61">
        <v>15716.78</v>
      </c>
      <c r="H1657" s="86">
        <v>44526</v>
      </c>
      <c r="I1657" s="61">
        <v>57107.15</v>
      </c>
    </row>
    <row r="1658" spans="2:9">
      <c r="B1658" s="86">
        <v>43315</v>
      </c>
      <c r="C1658" s="61">
        <v>15680.51</v>
      </c>
      <c r="H1658" s="86">
        <v>44529</v>
      </c>
      <c r="I1658" s="61">
        <v>57260.58</v>
      </c>
    </row>
    <row r="1659" spans="2:9">
      <c r="B1659" s="86">
        <v>43314</v>
      </c>
      <c r="C1659" s="61">
        <v>15520.25</v>
      </c>
      <c r="H1659" s="86">
        <v>44530</v>
      </c>
      <c r="I1659" s="61">
        <v>57064.87</v>
      </c>
    </row>
    <row r="1660" spans="2:9">
      <c r="B1660" s="86">
        <v>43313</v>
      </c>
      <c r="C1660" s="61">
        <v>15658.27</v>
      </c>
      <c r="H1660" s="86">
        <v>44531</v>
      </c>
      <c r="I1660" s="61">
        <v>57684.79</v>
      </c>
    </row>
    <row r="1661" spans="2:9">
      <c r="B1661" s="86">
        <v>43312</v>
      </c>
      <c r="C1661" s="61">
        <v>15672.47</v>
      </c>
      <c r="H1661" s="86">
        <v>44532</v>
      </c>
      <c r="I1661" s="61">
        <v>58461.29</v>
      </c>
    </row>
    <row r="1662" spans="2:9">
      <c r="B1662" s="86">
        <v>43311</v>
      </c>
      <c r="C1662" s="61">
        <v>15621.47</v>
      </c>
      <c r="H1662" s="86">
        <v>44533</v>
      </c>
      <c r="I1662" s="61">
        <v>57696.46</v>
      </c>
    </row>
    <row r="1663" spans="2:9">
      <c r="B1663" s="86">
        <v>43308</v>
      </c>
      <c r="C1663" s="61">
        <v>15564.19</v>
      </c>
      <c r="H1663" s="86">
        <v>44536</v>
      </c>
      <c r="I1663" s="61">
        <v>56747.14</v>
      </c>
    </row>
    <row r="1664" spans="2:9">
      <c r="B1664" s="86">
        <v>43307</v>
      </c>
      <c r="C1664" s="61">
        <v>15410.93</v>
      </c>
      <c r="H1664" s="86">
        <v>44537</v>
      </c>
      <c r="I1664" s="61">
        <v>57633.65</v>
      </c>
    </row>
    <row r="1665" spans="2:9">
      <c r="B1665" s="86">
        <v>43306</v>
      </c>
      <c r="C1665" s="61">
        <v>15358.72</v>
      </c>
      <c r="H1665" s="86">
        <v>44538</v>
      </c>
      <c r="I1665" s="61">
        <v>58649.68</v>
      </c>
    </row>
    <row r="1666" spans="2:9">
      <c r="B1666" s="86">
        <v>43305</v>
      </c>
      <c r="C1666" s="61">
        <v>15361.88</v>
      </c>
      <c r="H1666" s="86">
        <v>44539</v>
      </c>
      <c r="I1666" s="61">
        <v>58807.13</v>
      </c>
    </row>
    <row r="1667" spans="2:9">
      <c r="B1667" s="86">
        <v>43304</v>
      </c>
      <c r="C1667" s="61">
        <v>15293.5</v>
      </c>
      <c r="H1667" s="86">
        <v>44540</v>
      </c>
      <c r="I1667" s="61">
        <v>58786.67</v>
      </c>
    </row>
    <row r="1668" spans="2:9">
      <c r="B1668" s="86">
        <v>43301</v>
      </c>
      <c r="C1668" s="61">
        <v>15190.13</v>
      </c>
      <c r="H1668" s="86">
        <v>44543</v>
      </c>
      <c r="I1668" s="61">
        <v>58283.42</v>
      </c>
    </row>
    <row r="1669" spans="2:9">
      <c r="B1669" s="86">
        <v>43300</v>
      </c>
      <c r="C1669" s="61">
        <v>15116.83</v>
      </c>
      <c r="H1669" s="86">
        <v>44544</v>
      </c>
      <c r="I1669" s="61">
        <v>58117.09</v>
      </c>
    </row>
    <row r="1670" spans="2:9">
      <c r="B1670" s="86">
        <v>43299</v>
      </c>
      <c r="C1670" s="61">
        <v>15135.57</v>
      </c>
      <c r="H1670" s="86">
        <v>44545</v>
      </c>
      <c r="I1670" s="61">
        <v>57788.03</v>
      </c>
    </row>
    <row r="1671" spans="2:9">
      <c r="B1671" s="86">
        <v>43298</v>
      </c>
      <c r="C1671" s="61">
        <v>15172.31</v>
      </c>
      <c r="H1671" s="86">
        <v>44546</v>
      </c>
      <c r="I1671" s="61">
        <v>57901.14</v>
      </c>
    </row>
    <row r="1672" spans="2:9">
      <c r="B1672" s="86">
        <v>43297</v>
      </c>
      <c r="C1672" s="61">
        <v>15072.66</v>
      </c>
      <c r="H1672" s="86">
        <v>44547</v>
      </c>
      <c r="I1672" s="61">
        <v>57011.74</v>
      </c>
    </row>
    <row r="1673" spans="2:9">
      <c r="B1673" s="86">
        <v>43294</v>
      </c>
      <c r="C1673" s="61">
        <v>15184.88</v>
      </c>
      <c r="H1673" s="86">
        <v>44550</v>
      </c>
      <c r="I1673" s="61">
        <v>55822.01</v>
      </c>
    </row>
    <row r="1674" spans="2:9">
      <c r="B1674" s="86">
        <v>43293</v>
      </c>
      <c r="C1674" s="61">
        <v>15190.82</v>
      </c>
      <c r="H1674" s="86">
        <v>44551</v>
      </c>
      <c r="I1674" s="61">
        <v>56319.01</v>
      </c>
    </row>
    <row r="1675" spans="2:9">
      <c r="B1675" s="86">
        <v>43292</v>
      </c>
      <c r="C1675" s="61">
        <v>15085.15</v>
      </c>
      <c r="H1675" s="86">
        <v>44552</v>
      </c>
      <c r="I1675" s="61">
        <v>56930.559999999998</v>
      </c>
    </row>
    <row r="1676" spans="2:9">
      <c r="B1676" s="86">
        <v>43291</v>
      </c>
      <c r="C1676" s="61">
        <v>15081.6</v>
      </c>
      <c r="H1676" s="86">
        <v>44553</v>
      </c>
      <c r="I1676" s="61">
        <v>57315.28</v>
      </c>
    </row>
    <row r="1677" spans="2:9">
      <c r="B1677" s="86">
        <v>43290</v>
      </c>
      <c r="C1677" s="61">
        <v>14951.2</v>
      </c>
      <c r="H1677" s="86">
        <v>44554</v>
      </c>
      <c r="I1677" s="61">
        <v>57124.31</v>
      </c>
    </row>
    <row r="1678" spans="2:9">
      <c r="B1678" s="86">
        <v>43287</v>
      </c>
      <c r="C1678" s="61">
        <v>14840.13</v>
      </c>
      <c r="H1678" s="86">
        <v>44557</v>
      </c>
      <c r="I1678" s="61">
        <v>57420.24</v>
      </c>
    </row>
    <row r="1679" spans="2:9">
      <c r="B1679" s="86">
        <v>43286</v>
      </c>
      <c r="C1679" s="61">
        <v>14808.54</v>
      </c>
      <c r="H1679" s="86">
        <v>44558</v>
      </c>
      <c r="I1679" s="61">
        <v>57897.48</v>
      </c>
    </row>
    <row r="1680" spans="2:9">
      <c r="B1680" s="86">
        <v>43285</v>
      </c>
      <c r="C1680" s="61">
        <v>14830.5</v>
      </c>
      <c r="H1680" s="86">
        <v>44559</v>
      </c>
      <c r="I1680" s="61">
        <v>57806.49</v>
      </c>
    </row>
    <row r="1681" spans="2:9">
      <c r="B1681" s="86">
        <v>43284</v>
      </c>
      <c r="C1681" s="61">
        <v>14734.11</v>
      </c>
      <c r="H1681" s="86">
        <v>44560</v>
      </c>
      <c r="I1681" s="61">
        <v>57794.32</v>
      </c>
    </row>
    <row r="1682" spans="2:9">
      <c r="B1682" s="86">
        <v>43283</v>
      </c>
      <c r="C1682" s="61">
        <v>14675.42</v>
      </c>
      <c r="H1682" s="86">
        <v>44561</v>
      </c>
      <c r="I1682" s="61">
        <v>58253.82</v>
      </c>
    </row>
    <row r="1683" spans="2:9">
      <c r="B1683" s="86">
        <v>43280</v>
      </c>
      <c r="C1683" s="61">
        <v>14753.91</v>
      </c>
      <c r="H1683" s="86">
        <v>44564</v>
      </c>
      <c r="I1683" s="61">
        <v>59183.22</v>
      </c>
    </row>
    <row r="1684" spans="2:9">
      <c r="B1684" s="86">
        <v>43279</v>
      </c>
      <c r="C1684" s="61">
        <v>14581.53</v>
      </c>
      <c r="H1684" s="86">
        <v>44565</v>
      </c>
      <c r="I1684" s="61">
        <v>59855.93</v>
      </c>
    </row>
    <row r="1685" spans="2:9">
      <c r="B1685" s="86">
        <v>43278</v>
      </c>
      <c r="C1685" s="61">
        <v>14694.16</v>
      </c>
      <c r="H1685" s="86">
        <v>44566</v>
      </c>
      <c r="I1685" s="61">
        <v>60223.15</v>
      </c>
    </row>
    <row r="1686" spans="2:9">
      <c r="B1686" s="86">
        <v>43277</v>
      </c>
      <c r="C1686" s="61">
        <v>14821.45</v>
      </c>
      <c r="H1686" s="86">
        <v>44567</v>
      </c>
      <c r="I1686" s="61">
        <v>59601.84</v>
      </c>
    </row>
    <row r="1687" spans="2:9">
      <c r="B1687" s="86">
        <v>43276</v>
      </c>
      <c r="C1687" s="61">
        <v>14812.28</v>
      </c>
      <c r="H1687" s="86">
        <v>44568</v>
      </c>
      <c r="I1687" s="61">
        <v>59744.65</v>
      </c>
    </row>
    <row r="1688" spans="2:9">
      <c r="B1688" s="86">
        <v>43273</v>
      </c>
      <c r="C1688" s="61">
        <v>14894.02</v>
      </c>
      <c r="H1688" s="86">
        <v>44571</v>
      </c>
      <c r="I1688" s="61">
        <v>60395.63</v>
      </c>
    </row>
    <row r="1689" spans="2:9">
      <c r="B1689" s="86">
        <v>43272</v>
      </c>
      <c r="C1689" s="61">
        <v>14782.87</v>
      </c>
      <c r="H1689" s="86">
        <v>44572</v>
      </c>
      <c r="I1689" s="61">
        <v>60616.89</v>
      </c>
    </row>
    <row r="1690" spans="2:9">
      <c r="B1690" s="86">
        <v>43271</v>
      </c>
      <c r="C1690" s="61">
        <v>14822.46</v>
      </c>
      <c r="H1690" s="86">
        <v>44573</v>
      </c>
      <c r="I1690" s="61">
        <v>61150.04</v>
      </c>
    </row>
    <row r="1691" spans="2:9">
      <c r="B1691" s="86">
        <v>43270</v>
      </c>
      <c r="C1691" s="61">
        <v>14737.7</v>
      </c>
      <c r="H1691" s="86">
        <v>44574</v>
      </c>
      <c r="I1691" s="61">
        <v>61235.3</v>
      </c>
    </row>
    <row r="1692" spans="2:9">
      <c r="B1692" s="86">
        <v>43269</v>
      </c>
      <c r="C1692" s="61">
        <v>14860.73</v>
      </c>
      <c r="H1692" s="86">
        <v>44575</v>
      </c>
      <c r="I1692" s="61">
        <v>61223.03</v>
      </c>
    </row>
    <row r="1693" spans="2:9">
      <c r="B1693" s="86">
        <v>43266</v>
      </c>
      <c r="C1693" s="61">
        <v>14885.3</v>
      </c>
      <c r="H1693" s="86">
        <v>44578</v>
      </c>
      <c r="I1693" s="61">
        <v>61308.91</v>
      </c>
    </row>
    <row r="1694" spans="2:9">
      <c r="B1694" s="86">
        <v>43265</v>
      </c>
      <c r="C1694" s="61">
        <v>14871.97</v>
      </c>
      <c r="H1694" s="86">
        <v>44579</v>
      </c>
      <c r="I1694" s="61">
        <v>60754.86</v>
      </c>
    </row>
    <row r="1695" spans="2:9">
      <c r="B1695" s="86">
        <v>43264</v>
      </c>
      <c r="C1695" s="61">
        <v>14917.68</v>
      </c>
      <c r="H1695" s="86">
        <v>44580</v>
      </c>
      <c r="I1695" s="61">
        <v>60098.82</v>
      </c>
    </row>
    <row r="1696" spans="2:9">
      <c r="B1696" s="86">
        <v>43263</v>
      </c>
      <c r="C1696" s="61">
        <v>14898.66</v>
      </c>
      <c r="H1696" s="86">
        <v>44581</v>
      </c>
      <c r="I1696" s="61">
        <v>59464.62</v>
      </c>
    </row>
    <row r="1697" spans="2:9">
      <c r="B1697" s="86">
        <v>43262</v>
      </c>
      <c r="C1697" s="61">
        <v>14821.8</v>
      </c>
      <c r="H1697" s="86">
        <v>44582</v>
      </c>
      <c r="I1697" s="61">
        <v>59037.18</v>
      </c>
    </row>
    <row r="1698" spans="2:9">
      <c r="B1698" s="86">
        <v>43259</v>
      </c>
      <c r="C1698" s="61">
        <v>14795.31</v>
      </c>
      <c r="H1698" s="86">
        <v>44585</v>
      </c>
      <c r="I1698" s="61">
        <v>57491.51</v>
      </c>
    </row>
    <row r="1699" spans="2:9">
      <c r="B1699" s="86">
        <v>43258</v>
      </c>
      <c r="C1699" s="61">
        <v>14796.24</v>
      </c>
      <c r="H1699" s="86">
        <v>44586</v>
      </c>
      <c r="I1699" s="61">
        <v>57858.15</v>
      </c>
    </row>
    <row r="1700" spans="2:9">
      <c r="B1700" s="86">
        <v>43257</v>
      </c>
      <c r="C1700" s="61">
        <v>14681.25</v>
      </c>
      <c r="H1700" s="86">
        <v>44588</v>
      </c>
      <c r="I1700" s="61">
        <v>57276.94</v>
      </c>
    </row>
    <row r="1701" spans="2:9">
      <c r="B1701" s="86">
        <v>43256</v>
      </c>
      <c r="C1701" s="61">
        <v>14555.52</v>
      </c>
      <c r="H1701" s="86">
        <v>44589</v>
      </c>
      <c r="I1701" s="61">
        <v>57200.23</v>
      </c>
    </row>
    <row r="1702" spans="2:9">
      <c r="B1702" s="86">
        <v>43255</v>
      </c>
      <c r="C1702" s="61">
        <v>14604.11</v>
      </c>
      <c r="H1702" s="86">
        <v>44592</v>
      </c>
      <c r="I1702" s="61">
        <v>58014.17</v>
      </c>
    </row>
    <row r="1703" spans="2:9">
      <c r="B1703" s="86">
        <v>43252</v>
      </c>
      <c r="C1703" s="61">
        <v>14695.4</v>
      </c>
      <c r="H1703" s="86">
        <v>44593</v>
      </c>
      <c r="I1703" s="61">
        <v>58862.57</v>
      </c>
    </row>
    <row r="1704" spans="2:9">
      <c r="B1704" s="86">
        <v>43251</v>
      </c>
      <c r="C1704" s="61">
        <v>14750.26</v>
      </c>
      <c r="H1704" s="86">
        <v>44594</v>
      </c>
      <c r="I1704" s="61">
        <v>59558.33</v>
      </c>
    </row>
    <row r="1705" spans="2:9">
      <c r="B1705" s="86">
        <v>43250</v>
      </c>
      <c r="C1705" s="61">
        <v>14568.75</v>
      </c>
      <c r="H1705" s="86">
        <v>44595</v>
      </c>
      <c r="I1705" s="61">
        <v>58788.02</v>
      </c>
    </row>
    <row r="1706" spans="2:9">
      <c r="B1706" s="86">
        <v>43249</v>
      </c>
      <c r="C1706" s="61">
        <v>14594.78</v>
      </c>
      <c r="H1706" s="86">
        <v>44596</v>
      </c>
      <c r="I1706" s="61">
        <v>58644.82</v>
      </c>
    </row>
    <row r="1707" spans="2:9">
      <c r="B1707" s="86">
        <v>43248</v>
      </c>
      <c r="C1707" s="61">
        <v>14670.76</v>
      </c>
      <c r="H1707" s="86">
        <v>44599</v>
      </c>
      <c r="I1707" s="61">
        <v>57621.19</v>
      </c>
    </row>
    <row r="1708" spans="2:9">
      <c r="B1708" s="86">
        <v>43245</v>
      </c>
      <c r="C1708" s="61">
        <v>14556.18</v>
      </c>
      <c r="H1708" s="86">
        <v>44600</v>
      </c>
      <c r="I1708" s="61">
        <v>57808.58</v>
      </c>
    </row>
    <row r="1709" spans="2:9">
      <c r="B1709" s="86">
        <v>43244</v>
      </c>
      <c r="C1709" s="61">
        <v>14415.65</v>
      </c>
      <c r="H1709" s="86">
        <v>44601</v>
      </c>
      <c r="I1709" s="61">
        <v>58465.97</v>
      </c>
    </row>
    <row r="1710" spans="2:9">
      <c r="B1710" s="86">
        <v>43243</v>
      </c>
      <c r="C1710" s="61">
        <v>14301.15</v>
      </c>
      <c r="H1710" s="86">
        <v>44602</v>
      </c>
      <c r="I1710" s="61">
        <v>58926.03</v>
      </c>
    </row>
    <row r="1711" spans="2:9">
      <c r="B1711" s="86">
        <v>43242</v>
      </c>
      <c r="C1711" s="61">
        <v>14446.97</v>
      </c>
      <c r="H1711" s="86">
        <v>44603</v>
      </c>
      <c r="I1711" s="61">
        <v>58152.92</v>
      </c>
    </row>
    <row r="1712" spans="2:9">
      <c r="B1712" s="86">
        <v>43241</v>
      </c>
      <c r="C1712" s="61">
        <v>14419.57</v>
      </c>
      <c r="H1712" s="86">
        <v>44606</v>
      </c>
      <c r="I1712" s="61">
        <v>56405.84</v>
      </c>
    </row>
    <row r="1713" spans="2:9">
      <c r="B1713" s="86">
        <v>43238</v>
      </c>
      <c r="C1713" s="61">
        <v>14528.82</v>
      </c>
      <c r="H1713" s="86">
        <v>44607</v>
      </c>
      <c r="I1713" s="61">
        <v>58142.05</v>
      </c>
    </row>
    <row r="1714" spans="2:9">
      <c r="B1714" s="86">
        <v>43237</v>
      </c>
      <c r="C1714" s="61">
        <v>14647.15</v>
      </c>
      <c r="H1714" s="86">
        <v>44608</v>
      </c>
      <c r="I1714" s="61">
        <v>57996.68</v>
      </c>
    </row>
    <row r="1715" spans="2:9">
      <c r="B1715" s="86">
        <v>43236</v>
      </c>
      <c r="C1715" s="61">
        <v>14727.26</v>
      </c>
      <c r="H1715" s="86">
        <v>44609</v>
      </c>
      <c r="I1715" s="61">
        <v>57892.01</v>
      </c>
    </row>
    <row r="1716" spans="2:9">
      <c r="B1716" s="86">
        <v>43235</v>
      </c>
      <c r="C1716" s="61">
        <v>14810.54</v>
      </c>
      <c r="H1716" s="86">
        <v>44610</v>
      </c>
      <c r="I1716" s="61">
        <v>57832.97</v>
      </c>
    </row>
    <row r="1717" spans="2:9">
      <c r="B1717" s="86">
        <v>43234</v>
      </c>
      <c r="C1717" s="61">
        <v>14817.01</v>
      </c>
      <c r="H1717" s="86">
        <v>44613</v>
      </c>
      <c r="I1717" s="61">
        <v>57683.59</v>
      </c>
    </row>
    <row r="1718" spans="2:9">
      <c r="B1718" s="86">
        <v>43231</v>
      </c>
      <c r="C1718" s="61">
        <v>14816.93</v>
      </c>
      <c r="H1718" s="86">
        <v>44614</v>
      </c>
      <c r="I1718" s="61">
        <v>57300.68</v>
      </c>
    </row>
    <row r="1719" spans="2:9">
      <c r="B1719" s="86">
        <v>43230</v>
      </c>
      <c r="C1719" s="61">
        <v>14693.55</v>
      </c>
      <c r="H1719" s="86">
        <v>44615</v>
      </c>
      <c r="I1719" s="61">
        <v>57232.06</v>
      </c>
    </row>
    <row r="1720" spans="2:9">
      <c r="B1720" s="86">
        <v>43229</v>
      </c>
      <c r="C1720" s="61">
        <v>14728.03</v>
      </c>
      <c r="H1720" s="86">
        <v>44616</v>
      </c>
      <c r="I1720" s="61">
        <v>54529.91</v>
      </c>
    </row>
    <row r="1721" spans="2:9">
      <c r="B1721" s="86">
        <v>43228</v>
      </c>
      <c r="C1721" s="61">
        <v>14694.93</v>
      </c>
      <c r="H1721" s="86">
        <v>44617</v>
      </c>
      <c r="I1721" s="61">
        <v>55858.52</v>
      </c>
    </row>
    <row r="1722" spans="2:9">
      <c r="B1722" s="86">
        <v>43227</v>
      </c>
      <c r="C1722" s="61">
        <v>14691.72</v>
      </c>
      <c r="H1722" s="86">
        <v>44620</v>
      </c>
      <c r="I1722" s="61">
        <v>56247.28</v>
      </c>
    </row>
    <row r="1723" spans="2:9">
      <c r="B1723" s="86">
        <v>43224</v>
      </c>
      <c r="C1723" s="61">
        <v>14558.42</v>
      </c>
      <c r="H1723" s="86">
        <v>44622</v>
      </c>
      <c r="I1723" s="61">
        <v>55468.9</v>
      </c>
    </row>
    <row r="1724" spans="2:9">
      <c r="B1724" s="86">
        <v>43223</v>
      </c>
      <c r="C1724" s="61">
        <v>14642.62</v>
      </c>
      <c r="H1724" s="86">
        <v>44623</v>
      </c>
      <c r="I1724" s="61">
        <v>55102.68</v>
      </c>
    </row>
    <row r="1725" spans="2:9">
      <c r="B1725" s="86">
        <v>43222</v>
      </c>
      <c r="C1725" s="61">
        <v>14695.26</v>
      </c>
      <c r="H1725" s="86">
        <v>44624</v>
      </c>
      <c r="I1725" s="61">
        <v>54333.81</v>
      </c>
    </row>
    <row r="1726" spans="2:9">
      <c r="B1726" s="86">
        <v>43220</v>
      </c>
      <c r="C1726" s="61">
        <v>14723.32</v>
      </c>
      <c r="H1726" s="86">
        <v>44627</v>
      </c>
      <c r="I1726" s="61">
        <v>52842.75</v>
      </c>
    </row>
    <row r="1727" spans="2:9">
      <c r="B1727" s="86">
        <v>43217</v>
      </c>
      <c r="C1727" s="61">
        <v>14658.83</v>
      </c>
      <c r="H1727" s="86">
        <v>44628</v>
      </c>
      <c r="I1727" s="61">
        <v>53424.09</v>
      </c>
    </row>
    <row r="1728" spans="2:9">
      <c r="B1728" s="86">
        <v>43216</v>
      </c>
      <c r="C1728" s="61">
        <v>14556.65</v>
      </c>
      <c r="H1728" s="86">
        <v>44629</v>
      </c>
      <c r="I1728" s="61">
        <v>54647.33</v>
      </c>
    </row>
    <row r="1729" spans="2:9">
      <c r="B1729" s="86">
        <v>43215</v>
      </c>
      <c r="C1729" s="61">
        <v>14491.88</v>
      </c>
      <c r="H1729" s="86">
        <v>44630</v>
      </c>
      <c r="I1729" s="61">
        <v>55464.39</v>
      </c>
    </row>
    <row r="1730" spans="2:9">
      <c r="B1730" s="86">
        <v>43214</v>
      </c>
      <c r="C1730" s="61">
        <v>14551.96</v>
      </c>
      <c r="H1730" s="86">
        <v>44631</v>
      </c>
      <c r="I1730" s="61">
        <v>55550.3</v>
      </c>
    </row>
    <row r="1731" spans="2:9">
      <c r="B1731" s="86">
        <v>43213</v>
      </c>
      <c r="C1731" s="61">
        <v>14511.28</v>
      </c>
      <c r="H1731" s="86">
        <v>44634</v>
      </c>
      <c r="I1731" s="61">
        <v>56486.02</v>
      </c>
    </row>
    <row r="1732" spans="2:9">
      <c r="B1732" s="86">
        <v>43210</v>
      </c>
      <c r="C1732" s="61">
        <v>14482.97</v>
      </c>
      <c r="H1732" s="86">
        <v>44635</v>
      </c>
      <c r="I1732" s="61">
        <v>55776.85</v>
      </c>
    </row>
    <row r="1733" spans="2:9">
      <c r="B1733" s="86">
        <v>43209</v>
      </c>
      <c r="C1733" s="61">
        <v>14484.7</v>
      </c>
      <c r="H1733" s="86">
        <v>44636</v>
      </c>
      <c r="I1733" s="61">
        <v>56816.65</v>
      </c>
    </row>
    <row r="1734" spans="2:9">
      <c r="B1734" s="86">
        <v>43208</v>
      </c>
      <c r="C1734" s="61">
        <v>14431.07</v>
      </c>
      <c r="H1734" s="86">
        <v>44637</v>
      </c>
      <c r="I1734" s="61">
        <v>57863.93</v>
      </c>
    </row>
    <row r="1735" spans="2:9">
      <c r="B1735" s="86">
        <v>43207</v>
      </c>
      <c r="C1735" s="61">
        <v>14461.97</v>
      </c>
      <c r="H1735" s="86">
        <v>44641</v>
      </c>
      <c r="I1735" s="61">
        <v>57292.49</v>
      </c>
    </row>
    <row r="1736" spans="2:9">
      <c r="B1736" s="86">
        <v>43206</v>
      </c>
      <c r="C1736" s="61">
        <v>14434.05</v>
      </c>
      <c r="H1736" s="86">
        <v>44642</v>
      </c>
      <c r="I1736" s="61">
        <v>57989.3</v>
      </c>
    </row>
    <row r="1737" spans="2:9">
      <c r="B1737" s="86">
        <v>43203</v>
      </c>
      <c r="C1737" s="61">
        <v>14368.56</v>
      </c>
      <c r="H1737" s="86">
        <v>44643</v>
      </c>
      <c r="I1737" s="61">
        <v>57684.82</v>
      </c>
    </row>
    <row r="1738" spans="2:9">
      <c r="B1738" s="86">
        <v>43202</v>
      </c>
      <c r="C1738" s="61">
        <v>14338.46</v>
      </c>
      <c r="H1738" s="86">
        <v>44644</v>
      </c>
      <c r="I1738" s="61">
        <v>57595.68</v>
      </c>
    </row>
    <row r="1739" spans="2:9">
      <c r="B1739" s="86">
        <v>43201</v>
      </c>
      <c r="C1739" s="61">
        <v>14281.6</v>
      </c>
      <c r="H1739" s="86">
        <v>44645</v>
      </c>
      <c r="I1739" s="61">
        <v>57362.2</v>
      </c>
    </row>
    <row r="1740" spans="2:9">
      <c r="B1740" s="86">
        <v>43200</v>
      </c>
      <c r="C1740" s="61">
        <v>14261.15</v>
      </c>
      <c r="H1740" s="86">
        <v>44648</v>
      </c>
      <c r="I1740" s="61">
        <v>57593.49</v>
      </c>
    </row>
    <row r="1741" spans="2:9">
      <c r="B1741" s="86">
        <v>43199</v>
      </c>
      <c r="C1741" s="61">
        <v>14229.77</v>
      </c>
      <c r="H1741" s="86">
        <v>44649</v>
      </c>
      <c r="I1741" s="61">
        <v>57943.65</v>
      </c>
    </row>
    <row r="1742" spans="2:9">
      <c r="B1742" s="86">
        <v>43196</v>
      </c>
      <c r="C1742" s="61">
        <v>14164.28</v>
      </c>
      <c r="H1742" s="86">
        <v>44650</v>
      </c>
      <c r="I1742" s="61">
        <v>58683.99</v>
      </c>
    </row>
    <row r="1743" spans="2:9">
      <c r="B1743" s="86">
        <v>43195</v>
      </c>
      <c r="C1743" s="61">
        <v>14155.47</v>
      </c>
      <c r="H1743" s="86">
        <v>44651</v>
      </c>
      <c r="I1743" s="61">
        <v>58568.51</v>
      </c>
    </row>
    <row r="1744" spans="2:9">
      <c r="B1744" s="86">
        <v>43194</v>
      </c>
      <c r="C1744" s="61">
        <v>13885.72</v>
      </c>
      <c r="H1744" s="86">
        <v>44652</v>
      </c>
      <c r="I1744" s="61">
        <v>59276.69</v>
      </c>
    </row>
    <row r="1745" spans="2:9">
      <c r="B1745" s="86">
        <v>43193</v>
      </c>
      <c r="C1745" s="61">
        <v>14045.55</v>
      </c>
      <c r="H1745" s="86">
        <v>44655</v>
      </c>
      <c r="I1745" s="61">
        <v>60611.74</v>
      </c>
    </row>
    <row r="1746" spans="2:9">
      <c r="B1746" s="86">
        <v>43192</v>
      </c>
      <c r="C1746" s="61">
        <v>14000.07</v>
      </c>
      <c r="H1746" s="86">
        <v>44656</v>
      </c>
      <c r="I1746" s="61">
        <v>60176.5</v>
      </c>
    </row>
    <row r="1747" spans="2:9">
      <c r="B1747" s="86">
        <v>43187</v>
      </c>
      <c r="C1747" s="61">
        <v>13865.57</v>
      </c>
      <c r="H1747" s="86">
        <v>44657</v>
      </c>
      <c r="I1747" s="61">
        <v>59610.41</v>
      </c>
    </row>
    <row r="1748" spans="2:9">
      <c r="B1748" s="86">
        <v>43186</v>
      </c>
      <c r="C1748" s="61">
        <v>13962.15</v>
      </c>
      <c r="H1748" s="86">
        <v>44658</v>
      </c>
      <c r="I1748" s="61">
        <v>59034.95</v>
      </c>
    </row>
    <row r="1749" spans="2:9">
      <c r="B1749" s="86">
        <v>43185</v>
      </c>
      <c r="C1749" s="61">
        <v>13888.82</v>
      </c>
      <c r="H1749" s="86">
        <v>44659</v>
      </c>
      <c r="I1749" s="61">
        <v>59447.18</v>
      </c>
    </row>
    <row r="1750" spans="2:9">
      <c r="B1750" s="86">
        <v>43182</v>
      </c>
      <c r="C1750" s="61">
        <v>13706.99</v>
      </c>
      <c r="H1750" s="86">
        <v>44662</v>
      </c>
      <c r="I1750" s="61">
        <v>58964.57</v>
      </c>
    </row>
    <row r="1751" spans="2:9">
      <c r="B1751" s="86">
        <v>43181</v>
      </c>
      <c r="C1751" s="61">
        <v>13867.01</v>
      </c>
      <c r="H1751" s="86">
        <v>44663</v>
      </c>
      <c r="I1751" s="61">
        <v>58576.37</v>
      </c>
    </row>
    <row r="1752" spans="2:9">
      <c r="B1752" s="86">
        <v>43180</v>
      </c>
      <c r="C1752" s="61">
        <v>13920.51</v>
      </c>
      <c r="H1752" s="86">
        <v>44664</v>
      </c>
      <c r="I1752" s="61">
        <v>58338.93</v>
      </c>
    </row>
    <row r="1753" spans="2:9">
      <c r="B1753" s="86">
        <v>43179</v>
      </c>
      <c r="C1753" s="61">
        <v>13878.17</v>
      </c>
      <c r="H1753" s="86">
        <v>44669</v>
      </c>
      <c r="I1753" s="61">
        <v>57166.74</v>
      </c>
    </row>
    <row r="1754" spans="2:9">
      <c r="B1754" s="86">
        <v>43178</v>
      </c>
      <c r="C1754" s="61">
        <v>13822.99</v>
      </c>
      <c r="H1754" s="86">
        <v>44670</v>
      </c>
      <c r="I1754" s="61">
        <v>56463.15</v>
      </c>
    </row>
    <row r="1755" spans="2:9">
      <c r="B1755" s="86">
        <v>43175</v>
      </c>
      <c r="C1755" s="61">
        <v>13961.14</v>
      </c>
      <c r="H1755" s="86">
        <v>44671</v>
      </c>
      <c r="I1755" s="61">
        <v>57037.5</v>
      </c>
    </row>
    <row r="1756" spans="2:9">
      <c r="B1756" s="86">
        <v>43174</v>
      </c>
      <c r="C1756" s="61">
        <v>14179.36</v>
      </c>
      <c r="H1756" s="86">
        <v>44672</v>
      </c>
      <c r="I1756" s="61">
        <v>57911.68</v>
      </c>
    </row>
    <row r="1757" spans="2:9">
      <c r="B1757" s="86">
        <v>43173</v>
      </c>
      <c r="C1757" s="61">
        <v>14248.81</v>
      </c>
      <c r="H1757" s="86">
        <v>44673</v>
      </c>
      <c r="I1757" s="61">
        <v>57197.15</v>
      </c>
    </row>
    <row r="1758" spans="2:9">
      <c r="B1758" s="86">
        <v>43172</v>
      </c>
      <c r="C1758" s="61">
        <v>14270.64</v>
      </c>
      <c r="H1758" s="86">
        <v>44676</v>
      </c>
      <c r="I1758" s="61">
        <v>56579.89</v>
      </c>
    </row>
    <row r="1759" spans="2:9">
      <c r="B1759" s="86">
        <v>43171</v>
      </c>
      <c r="C1759" s="61">
        <v>14260.92</v>
      </c>
      <c r="H1759" s="86">
        <v>44677</v>
      </c>
      <c r="I1759" s="61">
        <v>57356.61</v>
      </c>
    </row>
    <row r="1760" spans="2:9">
      <c r="B1760" s="86">
        <v>43168</v>
      </c>
      <c r="C1760" s="61">
        <v>13994.68</v>
      </c>
      <c r="H1760" s="86">
        <v>44678</v>
      </c>
      <c r="I1760" s="61">
        <v>56819.39</v>
      </c>
    </row>
    <row r="1761" spans="2:9">
      <c r="B1761" s="86">
        <v>43167</v>
      </c>
      <c r="C1761" s="61">
        <v>14016.3</v>
      </c>
      <c r="H1761" s="86">
        <v>44679</v>
      </c>
      <c r="I1761" s="61">
        <v>57521.06</v>
      </c>
    </row>
    <row r="1762" spans="2:9">
      <c r="B1762" s="86">
        <v>43166</v>
      </c>
      <c r="C1762" s="61">
        <v>13895.27</v>
      </c>
      <c r="H1762" s="86">
        <v>44680</v>
      </c>
      <c r="I1762" s="61">
        <v>57060.87</v>
      </c>
    </row>
    <row r="1763" spans="2:9">
      <c r="B1763" s="86">
        <v>43165</v>
      </c>
      <c r="C1763" s="61">
        <v>14025.34</v>
      </c>
      <c r="H1763" s="86">
        <v>44683</v>
      </c>
      <c r="I1763" s="61">
        <v>56975.99</v>
      </c>
    </row>
    <row r="1764" spans="2:9">
      <c r="B1764" s="86">
        <v>43164</v>
      </c>
      <c r="C1764" s="61">
        <v>14175.32</v>
      </c>
      <c r="H1764" s="86">
        <v>44685</v>
      </c>
      <c r="I1764" s="61">
        <v>55669.03</v>
      </c>
    </row>
    <row r="1765" spans="2:9">
      <c r="B1765" s="86">
        <v>43160</v>
      </c>
      <c r="C1765" s="61">
        <v>14311.52</v>
      </c>
      <c r="H1765" s="86">
        <v>44686</v>
      </c>
      <c r="I1765" s="61">
        <v>55702.23</v>
      </c>
    </row>
    <row r="1766" spans="2:9">
      <c r="B1766" s="86">
        <v>43159</v>
      </c>
      <c r="C1766" s="61">
        <v>14358.71</v>
      </c>
      <c r="H1766" s="86">
        <v>44687</v>
      </c>
      <c r="I1766" s="61">
        <v>54835.58</v>
      </c>
    </row>
    <row r="1767" spans="2:9">
      <c r="B1767" s="86">
        <v>43158</v>
      </c>
      <c r="C1767" s="61">
        <v>14438.9</v>
      </c>
      <c r="H1767" s="86">
        <v>44690</v>
      </c>
      <c r="I1767" s="61">
        <v>54470.67</v>
      </c>
    </row>
    <row r="1768" spans="2:9">
      <c r="B1768" s="86">
        <v>43157</v>
      </c>
      <c r="C1768" s="61">
        <v>14477.62</v>
      </c>
      <c r="H1768" s="86">
        <v>44691</v>
      </c>
      <c r="I1768" s="61">
        <v>54364.85</v>
      </c>
    </row>
    <row r="1769" spans="2:9">
      <c r="B1769" s="86">
        <v>43154</v>
      </c>
      <c r="C1769" s="61">
        <v>14352.4</v>
      </c>
      <c r="H1769" s="86">
        <v>44692</v>
      </c>
      <c r="I1769" s="61">
        <v>54088.39</v>
      </c>
    </row>
    <row r="1770" spans="2:9">
      <c r="B1770" s="86">
        <v>43153</v>
      </c>
      <c r="C1770" s="61">
        <v>14204.17</v>
      </c>
      <c r="H1770" s="86">
        <v>44693</v>
      </c>
      <c r="I1770" s="61">
        <v>52930.31</v>
      </c>
    </row>
    <row r="1771" spans="2:9">
      <c r="B1771" s="86">
        <v>43152</v>
      </c>
      <c r="C1771" s="61">
        <v>14220.48</v>
      </c>
      <c r="H1771" s="86">
        <v>44694</v>
      </c>
      <c r="I1771" s="61">
        <v>52793.62</v>
      </c>
    </row>
    <row r="1772" spans="2:9">
      <c r="B1772" s="86">
        <v>43151</v>
      </c>
      <c r="C1772" s="61">
        <v>14169.77</v>
      </c>
      <c r="H1772" s="86">
        <v>44697</v>
      </c>
      <c r="I1772" s="61">
        <v>52973.84</v>
      </c>
    </row>
    <row r="1773" spans="2:9">
      <c r="B1773" s="86">
        <v>43150</v>
      </c>
      <c r="C1773" s="61">
        <v>14194.28</v>
      </c>
      <c r="H1773" s="86">
        <v>44698</v>
      </c>
      <c r="I1773" s="61">
        <v>54318.47</v>
      </c>
    </row>
    <row r="1774" spans="2:9">
      <c r="B1774" s="86">
        <v>43147</v>
      </c>
      <c r="C1774" s="61">
        <v>14295.41</v>
      </c>
      <c r="H1774" s="86">
        <v>44699</v>
      </c>
      <c r="I1774" s="61">
        <v>54208.53</v>
      </c>
    </row>
    <row r="1775" spans="2:9">
      <c r="B1775" s="86">
        <v>43146</v>
      </c>
      <c r="C1775" s="61">
        <v>14422.85</v>
      </c>
      <c r="H1775" s="86">
        <v>44700</v>
      </c>
      <c r="I1775" s="61">
        <v>52792.23</v>
      </c>
    </row>
    <row r="1776" spans="2:9">
      <c r="B1776" s="86">
        <v>43145</v>
      </c>
      <c r="C1776" s="61">
        <v>14359.35</v>
      </c>
      <c r="H1776" s="86">
        <v>44701</v>
      </c>
      <c r="I1776" s="61">
        <v>54326.39</v>
      </c>
    </row>
    <row r="1777" spans="2:9">
      <c r="B1777" s="86">
        <v>43143</v>
      </c>
      <c r="C1777" s="61">
        <v>14412.46</v>
      </c>
      <c r="H1777" s="86">
        <v>44704</v>
      </c>
      <c r="I1777" s="61">
        <v>54288.61</v>
      </c>
    </row>
    <row r="1778" spans="2:9">
      <c r="B1778" s="86">
        <v>43140</v>
      </c>
      <c r="C1778" s="61">
        <v>14296.5</v>
      </c>
      <c r="H1778" s="86">
        <v>44705</v>
      </c>
      <c r="I1778" s="61">
        <v>54052.61</v>
      </c>
    </row>
    <row r="1779" spans="2:9">
      <c r="B1779" s="86">
        <v>43139</v>
      </c>
      <c r="C1779" s="61">
        <v>14463.16</v>
      </c>
      <c r="H1779" s="86">
        <v>44706</v>
      </c>
      <c r="I1779" s="61">
        <v>53749.26</v>
      </c>
    </row>
    <row r="1780" spans="2:9">
      <c r="B1780" s="86">
        <v>43138</v>
      </c>
      <c r="C1780" s="61">
        <v>14317.57</v>
      </c>
      <c r="H1780" s="86">
        <v>44707</v>
      </c>
      <c r="I1780" s="61">
        <v>54252.53</v>
      </c>
    </row>
    <row r="1781" spans="2:9">
      <c r="B1781" s="86">
        <v>43137</v>
      </c>
      <c r="C1781" s="61">
        <v>14344.02</v>
      </c>
      <c r="H1781" s="86">
        <v>44708</v>
      </c>
      <c r="I1781" s="61">
        <v>54884.66</v>
      </c>
    </row>
    <row r="1782" spans="2:9">
      <c r="B1782" s="86">
        <v>43136</v>
      </c>
      <c r="C1782" s="61">
        <v>14574</v>
      </c>
      <c r="H1782" s="86">
        <v>44711</v>
      </c>
      <c r="I1782" s="61">
        <v>55925.74</v>
      </c>
    </row>
    <row r="1783" spans="2:9">
      <c r="B1783" s="86">
        <v>43133</v>
      </c>
      <c r="C1783" s="61">
        <v>14702.49</v>
      </c>
      <c r="H1783" s="86">
        <v>44712</v>
      </c>
      <c r="I1783" s="61">
        <v>55566.41</v>
      </c>
    </row>
    <row r="1784" spans="2:9">
      <c r="B1784" s="86">
        <v>43132</v>
      </c>
      <c r="C1784" s="61">
        <v>15052.72</v>
      </c>
      <c r="H1784" s="86">
        <v>44713</v>
      </c>
      <c r="I1784" s="61">
        <v>55381.17</v>
      </c>
    </row>
    <row r="1785" spans="2:9">
      <c r="B1785" s="86">
        <v>43131</v>
      </c>
      <c r="C1785" s="61">
        <v>15065.82</v>
      </c>
      <c r="H1785" s="86">
        <v>44714</v>
      </c>
      <c r="I1785" s="61">
        <v>55818.11</v>
      </c>
    </row>
    <row r="1786" spans="2:9">
      <c r="B1786" s="86">
        <v>43130</v>
      </c>
      <c r="C1786" s="61">
        <v>15095.42</v>
      </c>
      <c r="H1786" s="86">
        <v>44715</v>
      </c>
      <c r="I1786" s="61">
        <v>55769.23</v>
      </c>
    </row>
    <row r="1787" spans="2:9">
      <c r="B1787" s="86">
        <v>43129</v>
      </c>
      <c r="C1787" s="61">
        <v>15204.42</v>
      </c>
      <c r="H1787" s="86">
        <v>44718</v>
      </c>
      <c r="I1787" s="61">
        <v>55675.32</v>
      </c>
    </row>
    <row r="1788" spans="2:9">
      <c r="B1788" s="86">
        <v>43125</v>
      </c>
      <c r="C1788" s="61">
        <v>15121</v>
      </c>
      <c r="H1788" s="86">
        <v>44719</v>
      </c>
      <c r="I1788" s="61">
        <v>55107.34</v>
      </c>
    </row>
    <row r="1789" spans="2:9">
      <c r="B1789" s="86">
        <v>43124</v>
      </c>
      <c r="C1789" s="61">
        <v>15143.35</v>
      </c>
      <c r="H1789" s="86">
        <v>44720</v>
      </c>
      <c r="I1789" s="61">
        <v>54892.49</v>
      </c>
    </row>
    <row r="1790" spans="2:9">
      <c r="B1790" s="86">
        <v>43123</v>
      </c>
      <c r="C1790" s="61">
        <v>15140.24</v>
      </c>
      <c r="H1790" s="86">
        <v>44721</v>
      </c>
      <c r="I1790" s="61">
        <v>55320.28</v>
      </c>
    </row>
    <row r="1791" spans="2:9">
      <c r="B1791" s="86">
        <v>43122</v>
      </c>
      <c r="C1791" s="61">
        <v>14979.72</v>
      </c>
      <c r="H1791" s="86">
        <v>44722</v>
      </c>
      <c r="I1791" s="61">
        <v>54303.44</v>
      </c>
    </row>
    <row r="1792" spans="2:9">
      <c r="B1792" s="86">
        <v>43119</v>
      </c>
      <c r="C1792" s="61">
        <v>14880.8</v>
      </c>
      <c r="H1792" s="86">
        <v>44725</v>
      </c>
      <c r="I1792" s="61">
        <v>52846.7</v>
      </c>
    </row>
    <row r="1793" spans="2:9">
      <c r="B1793" s="86">
        <v>43118</v>
      </c>
      <c r="C1793" s="61">
        <v>14774.67</v>
      </c>
      <c r="H1793" s="86">
        <v>44726</v>
      </c>
      <c r="I1793" s="61">
        <v>52693.57</v>
      </c>
    </row>
    <row r="1794" spans="2:9">
      <c r="B1794" s="86">
        <v>43117</v>
      </c>
      <c r="C1794" s="61">
        <v>14734.07</v>
      </c>
      <c r="H1794" s="86">
        <v>44727</v>
      </c>
      <c r="I1794" s="61">
        <v>52541.39</v>
      </c>
    </row>
    <row r="1795" spans="2:9">
      <c r="B1795" s="86">
        <v>43116</v>
      </c>
      <c r="C1795" s="61">
        <v>14613.79</v>
      </c>
      <c r="H1795" s="86">
        <v>44728</v>
      </c>
      <c r="I1795" s="61">
        <v>51495.79</v>
      </c>
    </row>
    <row r="1796" spans="2:9">
      <c r="B1796" s="86">
        <v>43115</v>
      </c>
      <c r="C1796" s="61">
        <v>14669.9</v>
      </c>
      <c r="H1796" s="86">
        <v>44729</v>
      </c>
      <c r="I1796" s="61">
        <v>51360.42</v>
      </c>
    </row>
    <row r="1797" spans="2:9">
      <c r="B1797" s="86">
        <v>43112</v>
      </c>
      <c r="C1797" s="61">
        <v>14587.54</v>
      </c>
      <c r="H1797" s="86">
        <v>44732</v>
      </c>
      <c r="I1797" s="61">
        <v>51597.84</v>
      </c>
    </row>
    <row r="1798" spans="2:9">
      <c r="B1798" s="86">
        <v>43111</v>
      </c>
      <c r="C1798" s="61">
        <v>14546.49</v>
      </c>
      <c r="H1798" s="86">
        <v>44733</v>
      </c>
      <c r="I1798" s="61">
        <v>52532.07</v>
      </c>
    </row>
    <row r="1799" spans="2:9">
      <c r="B1799" s="86">
        <v>43110</v>
      </c>
      <c r="C1799" s="61">
        <v>14520.56</v>
      </c>
      <c r="H1799" s="86">
        <v>44734</v>
      </c>
      <c r="I1799" s="61">
        <v>51822.53</v>
      </c>
    </row>
    <row r="1800" spans="2:9">
      <c r="B1800" s="86">
        <v>43109</v>
      </c>
      <c r="C1800" s="61">
        <v>14527.15</v>
      </c>
      <c r="H1800" s="86">
        <v>44735</v>
      </c>
      <c r="I1800" s="61">
        <v>52265.72</v>
      </c>
    </row>
    <row r="1801" spans="2:9">
      <c r="B1801" s="86">
        <v>43108</v>
      </c>
      <c r="C1801" s="61">
        <v>14508.81</v>
      </c>
      <c r="H1801" s="86">
        <v>44736</v>
      </c>
      <c r="I1801" s="61">
        <v>52727.98</v>
      </c>
    </row>
    <row r="1802" spans="2:9">
      <c r="B1802" s="86">
        <v>43105</v>
      </c>
      <c r="C1802" s="61">
        <v>14420.42</v>
      </c>
      <c r="H1802" s="86">
        <v>44739</v>
      </c>
      <c r="I1802" s="61">
        <v>53161.279999999999</v>
      </c>
    </row>
    <row r="1803" spans="2:9">
      <c r="B1803" s="86">
        <v>43104</v>
      </c>
      <c r="C1803" s="61">
        <v>14346.59</v>
      </c>
      <c r="H1803" s="86">
        <v>44740</v>
      </c>
      <c r="I1803" s="61">
        <v>53177.45</v>
      </c>
    </row>
    <row r="1804" spans="2:9">
      <c r="B1804" s="86">
        <v>43103</v>
      </c>
      <c r="C1804" s="61">
        <v>14262.48</v>
      </c>
      <c r="H1804" s="86">
        <v>44741</v>
      </c>
      <c r="I1804" s="61">
        <v>53026.97</v>
      </c>
    </row>
    <row r="1805" spans="2:9">
      <c r="B1805" s="86">
        <v>43102</v>
      </c>
      <c r="C1805" s="61">
        <v>14261.1</v>
      </c>
      <c r="H1805" s="86">
        <v>44742</v>
      </c>
      <c r="I1805" s="61">
        <v>53018.94</v>
      </c>
    </row>
    <row r="1806" spans="2:9">
      <c r="B1806" s="86">
        <v>43101</v>
      </c>
      <c r="C1806" s="61">
        <v>14252.02</v>
      </c>
      <c r="H1806" s="86">
        <v>44743</v>
      </c>
      <c r="I1806" s="61">
        <v>52907.93</v>
      </c>
    </row>
    <row r="1807" spans="2:9">
      <c r="B1807" s="86">
        <v>43098</v>
      </c>
      <c r="C1807" s="61">
        <v>14381.92</v>
      </c>
      <c r="H1807" s="86">
        <v>44746</v>
      </c>
      <c r="I1807" s="61">
        <v>53234.77</v>
      </c>
    </row>
    <row r="1808" spans="2:9">
      <c r="B1808" s="86">
        <v>43097</v>
      </c>
      <c r="C1808" s="61">
        <v>14309.85</v>
      </c>
      <c r="H1808" s="86">
        <v>44747</v>
      </c>
      <c r="I1808" s="61">
        <v>53134.35</v>
      </c>
    </row>
    <row r="1809" spans="2:9">
      <c r="B1809" s="86">
        <v>43096</v>
      </c>
      <c r="C1809" s="61">
        <v>14327.42</v>
      </c>
      <c r="H1809" s="86">
        <v>44748</v>
      </c>
      <c r="I1809" s="61">
        <v>53750.97</v>
      </c>
    </row>
    <row r="1810" spans="2:9">
      <c r="B1810" s="86">
        <v>43095</v>
      </c>
      <c r="C1810" s="61">
        <v>14383.04</v>
      </c>
      <c r="H1810" s="86">
        <v>44749</v>
      </c>
      <c r="I1810" s="61">
        <v>54178.46</v>
      </c>
    </row>
    <row r="1811" spans="2:9">
      <c r="B1811" s="86">
        <v>43091</v>
      </c>
      <c r="C1811" s="61">
        <v>14330.49</v>
      </c>
      <c r="H1811" s="86">
        <v>44750</v>
      </c>
      <c r="I1811" s="61">
        <v>54481.84</v>
      </c>
    </row>
    <row r="1812" spans="2:9">
      <c r="B1812" s="86">
        <v>43090</v>
      </c>
      <c r="C1812" s="61">
        <v>14258.49</v>
      </c>
      <c r="H1812" s="86">
        <v>44753</v>
      </c>
      <c r="I1812" s="61">
        <v>54395.23</v>
      </c>
    </row>
    <row r="1813" spans="2:9">
      <c r="B1813" s="86">
        <v>43089</v>
      </c>
      <c r="C1813" s="61">
        <v>14263.81</v>
      </c>
      <c r="H1813" s="86">
        <v>44754</v>
      </c>
      <c r="I1813" s="61">
        <v>53886.61</v>
      </c>
    </row>
    <row r="1814" spans="2:9">
      <c r="B1814" s="86">
        <v>43088</v>
      </c>
      <c r="C1814" s="61">
        <v>14289.76</v>
      </c>
      <c r="H1814" s="86">
        <v>44755</v>
      </c>
      <c r="I1814" s="61">
        <v>53514.15</v>
      </c>
    </row>
    <row r="1815" spans="2:9">
      <c r="B1815" s="86">
        <v>43087</v>
      </c>
      <c r="C1815" s="61">
        <v>14188.11</v>
      </c>
      <c r="H1815" s="86">
        <v>44756</v>
      </c>
      <c r="I1815" s="61">
        <v>53416.15</v>
      </c>
    </row>
    <row r="1816" spans="2:9">
      <c r="B1816" s="86">
        <v>43084</v>
      </c>
      <c r="C1816" s="61">
        <v>14112.3</v>
      </c>
      <c r="H1816" s="86">
        <v>44757</v>
      </c>
      <c r="I1816" s="61">
        <v>53760.78</v>
      </c>
    </row>
    <row r="1817" spans="2:9">
      <c r="B1817" s="86">
        <v>43083</v>
      </c>
      <c r="C1817" s="61">
        <v>14001.49</v>
      </c>
      <c r="H1817" s="86">
        <v>44760</v>
      </c>
      <c r="I1817" s="61">
        <v>54521.15</v>
      </c>
    </row>
    <row r="1818" spans="2:9">
      <c r="B1818" s="86">
        <v>43082</v>
      </c>
      <c r="C1818" s="61">
        <v>13920.69</v>
      </c>
      <c r="H1818" s="86">
        <v>44761</v>
      </c>
      <c r="I1818" s="61">
        <v>54767.62</v>
      </c>
    </row>
    <row r="1819" spans="2:9">
      <c r="B1819" s="86">
        <v>43081</v>
      </c>
      <c r="C1819" s="61">
        <v>13985.11</v>
      </c>
      <c r="H1819" s="86">
        <v>44762</v>
      </c>
      <c r="I1819" s="61">
        <v>55397.53</v>
      </c>
    </row>
    <row r="1820" spans="2:9">
      <c r="B1820" s="86">
        <v>43080</v>
      </c>
      <c r="C1820" s="61">
        <v>14097.29</v>
      </c>
      <c r="H1820" s="86">
        <v>44763</v>
      </c>
      <c r="I1820" s="61">
        <v>55681.95</v>
      </c>
    </row>
    <row r="1821" spans="2:9">
      <c r="B1821" s="86">
        <v>43077</v>
      </c>
      <c r="C1821" s="61">
        <v>14019.95</v>
      </c>
      <c r="H1821" s="86">
        <v>44764</v>
      </c>
      <c r="I1821" s="61">
        <v>56072.23</v>
      </c>
    </row>
    <row r="1822" spans="2:9">
      <c r="B1822" s="86">
        <v>43076</v>
      </c>
      <c r="C1822" s="61">
        <v>13884.82</v>
      </c>
      <c r="H1822" s="86">
        <v>44767</v>
      </c>
      <c r="I1822" s="61">
        <v>55766.22</v>
      </c>
    </row>
    <row r="1823" spans="2:9">
      <c r="B1823" s="86">
        <v>43075</v>
      </c>
      <c r="C1823" s="61">
        <v>13717.36</v>
      </c>
      <c r="H1823" s="86">
        <v>44768</v>
      </c>
      <c r="I1823" s="61">
        <v>55268.49</v>
      </c>
    </row>
    <row r="1824" spans="2:9">
      <c r="B1824" s="86">
        <v>43074</v>
      </c>
      <c r="C1824" s="61">
        <v>13818.67</v>
      </c>
      <c r="H1824" s="86">
        <v>44769</v>
      </c>
      <c r="I1824" s="61">
        <v>55816.32</v>
      </c>
    </row>
    <row r="1825" spans="2:9">
      <c r="B1825" s="86">
        <v>43073</v>
      </c>
      <c r="C1825" s="61">
        <v>13831.66</v>
      </c>
      <c r="H1825" s="86">
        <v>44770</v>
      </c>
      <c r="I1825" s="61">
        <v>56857.79</v>
      </c>
    </row>
    <row r="1826" spans="2:9">
      <c r="B1826" s="86">
        <v>43070</v>
      </c>
      <c r="C1826" s="61">
        <v>13823.52</v>
      </c>
      <c r="H1826" s="86">
        <v>44771</v>
      </c>
      <c r="I1826" s="61">
        <v>57570.25</v>
      </c>
    </row>
    <row r="1827" spans="2:9">
      <c r="B1827" s="86">
        <v>43069</v>
      </c>
      <c r="C1827" s="61">
        <v>13966.58</v>
      </c>
      <c r="H1827" s="86">
        <v>44774</v>
      </c>
      <c r="I1827" s="61">
        <v>58115.5</v>
      </c>
    </row>
    <row r="1828" spans="2:9">
      <c r="B1828" s="86">
        <v>43068</v>
      </c>
      <c r="C1828" s="61">
        <v>14150.6</v>
      </c>
      <c r="H1828" s="86">
        <v>44775</v>
      </c>
      <c r="I1828" s="61">
        <v>58136.36</v>
      </c>
    </row>
    <row r="1829" spans="2:9">
      <c r="B1829" s="86">
        <v>43067</v>
      </c>
      <c r="C1829" s="61">
        <v>14162.79</v>
      </c>
      <c r="H1829" s="86">
        <v>44776</v>
      </c>
      <c r="I1829" s="61">
        <v>58350.53</v>
      </c>
    </row>
    <row r="1830" spans="2:9">
      <c r="B1830" s="86">
        <v>43066</v>
      </c>
      <c r="C1830" s="61">
        <v>14202.82</v>
      </c>
      <c r="H1830" s="86">
        <v>44777</v>
      </c>
      <c r="I1830" s="61">
        <v>58298.8</v>
      </c>
    </row>
    <row r="1831" spans="2:9">
      <c r="B1831" s="86">
        <v>43063</v>
      </c>
      <c r="C1831" s="61">
        <v>14189.41</v>
      </c>
      <c r="H1831" s="86">
        <v>44778</v>
      </c>
      <c r="I1831" s="61">
        <v>58387.93</v>
      </c>
    </row>
    <row r="1832" spans="2:9">
      <c r="B1832" s="86">
        <v>43062</v>
      </c>
      <c r="C1832" s="61">
        <v>14133.47</v>
      </c>
      <c r="H1832" s="86">
        <v>44781</v>
      </c>
      <c r="I1832" s="61">
        <v>58853.07</v>
      </c>
    </row>
    <row r="1833" spans="2:9">
      <c r="B1833" s="86">
        <v>43061</v>
      </c>
      <c r="C1833" s="61">
        <v>14124.68</v>
      </c>
      <c r="H1833" s="86">
        <v>44783</v>
      </c>
      <c r="I1833" s="61">
        <v>58817.29</v>
      </c>
    </row>
    <row r="1834" spans="2:9">
      <c r="B1834" s="86">
        <v>43060</v>
      </c>
      <c r="C1834" s="61">
        <v>14103.64</v>
      </c>
      <c r="H1834" s="86">
        <v>44784</v>
      </c>
      <c r="I1834" s="61">
        <v>59332.6</v>
      </c>
    </row>
    <row r="1835" spans="2:9">
      <c r="B1835" s="86">
        <v>43059</v>
      </c>
      <c r="C1835" s="61">
        <v>14065.05</v>
      </c>
      <c r="H1835" s="86">
        <v>44785</v>
      </c>
      <c r="I1835" s="61">
        <v>59462.78</v>
      </c>
    </row>
    <row r="1836" spans="2:9">
      <c r="B1836" s="86">
        <v>43056</v>
      </c>
      <c r="C1836" s="61">
        <v>14044.32</v>
      </c>
      <c r="H1836" s="86">
        <v>44789</v>
      </c>
      <c r="I1836" s="61">
        <v>59842.21</v>
      </c>
    </row>
    <row r="1837" spans="2:9">
      <c r="B1837" s="86">
        <v>43055</v>
      </c>
      <c r="C1837" s="61">
        <v>13950.33</v>
      </c>
      <c r="H1837" s="86">
        <v>44790</v>
      </c>
      <c r="I1837" s="61">
        <v>60260.13</v>
      </c>
    </row>
    <row r="1838" spans="2:9">
      <c r="B1838" s="86">
        <v>43054</v>
      </c>
      <c r="C1838" s="61">
        <v>13818.25</v>
      </c>
      <c r="H1838" s="86">
        <v>44791</v>
      </c>
      <c r="I1838" s="61">
        <v>60298</v>
      </c>
    </row>
    <row r="1839" spans="2:9">
      <c r="B1839" s="86">
        <v>43053</v>
      </c>
      <c r="C1839" s="61">
        <v>13911.87</v>
      </c>
      <c r="H1839" s="86">
        <v>44792</v>
      </c>
      <c r="I1839" s="61">
        <v>59646.15</v>
      </c>
    </row>
    <row r="1840" spans="2:9">
      <c r="B1840" s="86">
        <v>43052</v>
      </c>
      <c r="C1840" s="61">
        <v>13964.26</v>
      </c>
      <c r="H1840" s="86">
        <v>44795</v>
      </c>
      <c r="I1840" s="61">
        <v>58773.87</v>
      </c>
    </row>
    <row r="1841" spans="2:9">
      <c r="B1841" s="86">
        <v>43049</v>
      </c>
      <c r="C1841" s="61">
        <v>14096.45</v>
      </c>
      <c r="H1841" s="86">
        <v>44796</v>
      </c>
      <c r="I1841" s="61">
        <v>59031.3</v>
      </c>
    </row>
    <row r="1842" spans="2:9">
      <c r="B1842" s="86">
        <v>43048</v>
      </c>
      <c r="C1842" s="61">
        <v>14078.98</v>
      </c>
      <c r="H1842" s="86">
        <v>44797</v>
      </c>
      <c r="I1842" s="61">
        <v>59085.43</v>
      </c>
    </row>
    <row r="1843" spans="2:9">
      <c r="B1843" s="86">
        <v>43047</v>
      </c>
      <c r="C1843" s="61">
        <v>14071.02</v>
      </c>
      <c r="H1843" s="86">
        <v>44798</v>
      </c>
      <c r="I1843" s="61">
        <v>58774.720000000001</v>
      </c>
    </row>
    <row r="1844" spans="2:9">
      <c r="B1844" s="86">
        <v>43046</v>
      </c>
      <c r="C1844" s="61">
        <v>14135.23</v>
      </c>
      <c r="H1844" s="86">
        <v>44799</v>
      </c>
      <c r="I1844" s="61">
        <v>58833.87</v>
      </c>
    </row>
    <row r="1845" spans="2:9">
      <c r="B1845" s="86">
        <v>43045</v>
      </c>
      <c r="C1845" s="61">
        <v>14274.03</v>
      </c>
      <c r="H1845" s="86">
        <v>44802</v>
      </c>
      <c r="I1845" s="61">
        <v>57972.62</v>
      </c>
    </row>
    <row r="1846" spans="2:9">
      <c r="B1846" s="86">
        <v>43042</v>
      </c>
      <c r="C1846" s="61">
        <v>14274.97</v>
      </c>
      <c r="H1846" s="86">
        <v>44803</v>
      </c>
      <c r="I1846" s="61">
        <v>59537.07</v>
      </c>
    </row>
    <row r="1847" spans="2:9">
      <c r="B1847" s="86">
        <v>43041</v>
      </c>
      <c r="C1847" s="61">
        <v>14232.79</v>
      </c>
      <c r="H1847" s="86">
        <v>44805</v>
      </c>
      <c r="I1847" s="61">
        <v>58766.59</v>
      </c>
    </row>
    <row r="1848" spans="2:9">
      <c r="B1848" s="86">
        <v>43040</v>
      </c>
      <c r="C1848" s="61">
        <v>14255.58</v>
      </c>
      <c r="H1848" s="86">
        <v>44806</v>
      </c>
      <c r="I1848" s="61">
        <v>58803.33</v>
      </c>
    </row>
    <row r="1849" spans="2:9">
      <c r="B1849" s="86">
        <v>43039</v>
      </c>
      <c r="C1849" s="61">
        <v>14108.55</v>
      </c>
      <c r="H1849" s="86">
        <v>44809</v>
      </c>
      <c r="I1849" s="61">
        <v>59245.98</v>
      </c>
    </row>
    <row r="1850" spans="2:9">
      <c r="B1850" s="86">
        <v>43038</v>
      </c>
      <c r="C1850" s="61">
        <v>14137.62</v>
      </c>
      <c r="H1850" s="86">
        <v>44810</v>
      </c>
      <c r="I1850" s="61">
        <v>59196.99</v>
      </c>
    </row>
    <row r="1851" spans="2:9">
      <c r="B1851" s="86">
        <v>43035</v>
      </c>
      <c r="C1851" s="61">
        <v>14082.21</v>
      </c>
      <c r="H1851" s="86">
        <v>44811</v>
      </c>
      <c r="I1851" s="61">
        <v>59028.91</v>
      </c>
    </row>
    <row r="1852" spans="2:9">
      <c r="B1852" s="86">
        <v>43034</v>
      </c>
      <c r="C1852" s="61">
        <v>14110.5</v>
      </c>
      <c r="H1852" s="86">
        <v>44812</v>
      </c>
      <c r="I1852" s="61">
        <v>59688.22</v>
      </c>
    </row>
    <row r="1853" spans="2:9">
      <c r="B1853" s="86">
        <v>43033</v>
      </c>
      <c r="C1853" s="61">
        <v>14044.44</v>
      </c>
      <c r="H1853" s="86">
        <v>44813</v>
      </c>
      <c r="I1853" s="61">
        <v>59793.14</v>
      </c>
    </row>
    <row r="1854" spans="2:9">
      <c r="B1854" s="86">
        <v>43032</v>
      </c>
      <c r="C1854" s="61">
        <v>13923.61</v>
      </c>
      <c r="H1854" s="86">
        <v>44816</v>
      </c>
      <c r="I1854" s="61">
        <v>60115.13</v>
      </c>
    </row>
    <row r="1855" spans="2:9">
      <c r="B1855" s="86">
        <v>43031</v>
      </c>
      <c r="C1855" s="61">
        <v>13892.48</v>
      </c>
      <c r="H1855" s="86">
        <v>44817</v>
      </c>
      <c r="I1855" s="61">
        <v>60571.08</v>
      </c>
    </row>
    <row r="1856" spans="2:9">
      <c r="B1856" s="86">
        <v>43027</v>
      </c>
      <c r="C1856" s="61">
        <v>13840.24</v>
      </c>
      <c r="H1856" s="86">
        <v>44818</v>
      </c>
      <c r="I1856" s="61">
        <v>60346.97</v>
      </c>
    </row>
    <row r="1857" spans="2:9">
      <c r="B1857" s="86">
        <v>43026</v>
      </c>
      <c r="C1857" s="61">
        <v>13927.92</v>
      </c>
      <c r="H1857" s="86">
        <v>44819</v>
      </c>
      <c r="I1857" s="61">
        <v>59934.01</v>
      </c>
    </row>
    <row r="1858" spans="2:9">
      <c r="B1858" s="86">
        <v>43025</v>
      </c>
      <c r="C1858" s="61">
        <v>13960.09</v>
      </c>
      <c r="H1858" s="86">
        <v>44820</v>
      </c>
      <c r="I1858" s="61">
        <v>58840.79</v>
      </c>
    </row>
    <row r="1859" spans="2:9">
      <c r="B1859" s="86">
        <v>43024</v>
      </c>
      <c r="C1859" s="61">
        <v>13955.22</v>
      </c>
      <c r="H1859" s="86">
        <v>44823</v>
      </c>
      <c r="I1859" s="61">
        <v>59141.23</v>
      </c>
    </row>
    <row r="1860" spans="2:9">
      <c r="B1860" s="86">
        <v>43021</v>
      </c>
      <c r="C1860" s="61">
        <v>13868.7</v>
      </c>
      <c r="H1860" s="86">
        <v>44824</v>
      </c>
      <c r="I1860" s="61">
        <v>59719.74</v>
      </c>
    </row>
    <row r="1861" spans="2:9">
      <c r="B1861" s="86">
        <v>43020</v>
      </c>
      <c r="C1861" s="61">
        <v>13771.84</v>
      </c>
      <c r="H1861" s="86">
        <v>44825</v>
      </c>
      <c r="I1861" s="61">
        <v>59456.78</v>
      </c>
    </row>
    <row r="1862" spans="2:9">
      <c r="B1862" s="86">
        <v>43019</v>
      </c>
      <c r="C1862" s="61">
        <v>13619.62</v>
      </c>
      <c r="H1862" s="86">
        <v>44826</v>
      </c>
      <c r="I1862" s="61">
        <v>59119.72</v>
      </c>
    </row>
    <row r="1863" spans="2:9">
      <c r="B1863" s="86">
        <v>43018</v>
      </c>
      <c r="C1863" s="61">
        <v>13663.44</v>
      </c>
      <c r="H1863" s="86">
        <v>44827</v>
      </c>
      <c r="I1863" s="61">
        <v>58098.92</v>
      </c>
    </row>
    <row r="1864" spans="2:9">
      <c r="B1864" s="86">
        <v>43017</v>
      </c>
      <c r="C1864" s="61">
        <v>13625</v>
      </c>
      <c r="H1864" s="86">
        <v>44830</v>
      </c>
      <c r="I1864" s="61">
        <v>57145.22</v>
      </c>
    </row>
    <row r="1865" spans="2:9">
      <c r="B1865" s="86">
        <v>43014</v>
      </c>
      <c r="C1865" s="61">
        <v>13612.63</v>
      </c>
      <c r="H1865" s="86">
        <v>44831</v>
      </c>
      <c r="I1865" s="61">
        <v>57107.519999999997</v>
      </c>
    </row>
    <row r="1866" spans="2:9">
      <c r="B1866" s="86">
        <v>43013</v>
      </c>
      <c r="C1866" s="61">
        <v>13488.48</v>
      </c>
      <c r="H1866" s="86">
        <v>44832</v>
      </c>
      <c r="I1866" s="61">
        <v>56598.28</v>
      </c>
    </row>
    <row r="1867" spans="2:9">
      <c r="B1867" s="86">
        <v>43012</v>
      </c>
      <c r="C1867" s="61">
        <v>13524.27</v>
      </c>
      <c r="H1867" s="86">
        <v>44833</v>
      </c>
      <c r="I1867" s="61">
        <v>56409.96</v>
      </c>
    </row>
    <row r="1868" spans="2:9">
      <c r="B1868" s="86">
        <v>43011</v>
      </c>
      <c r="C1868" s="61">
        <v>13448.66</v>
      </c>
      <c r="H1868" s="86">
        <v>44834</v>
      </c>
      <c r="I1868" s="61">
        <v>57426.92</v>
      </c>
    </row>
    <row r="1869" spans="2:9">
      <c r="B1869" s="86">
        <v>43007</v>
      </c>
      <c r="C1869" s="61">
        <v>13351.99</v>
      </c>
      <c r="H1869" s="86">
        <v>44837</v>
      </c>
      <c r="I1869" s="61">
        <v>56788.81</v>
      </c>
    </row>
    <row r="1870" spans="2:9">
      <c r="B1870" s="86">
        <v>43006</v>
      </c>
      <c r="C1870" s="61">
        <v>13325.16</v>
      </c>
      <c r="H1870" s="86">
        <v>44838</v>
      </c>
      <c r="I1870" s="61">
        <v>58065.47</v>
      </c>
    </row>
    <row r="1871" spans="2:9">
      <c r="B1871" s="86">
        <v>43005</v>
      </c>
      <c r="C1871" s="61">
        <v>13279.85</v>
      </c>
      <c r="H1871" s="86">
        <v>44840</v>
      </c>
      <c r="I1871" s="61">
        <v>58222.1</v>
      </c>
    </row>
    <row r="1872" spans="2:9">
      <c r="B1872" s="86">
        <v>43004</v>
      </c>
      <c r="C1872" s="61">
        <v>13465.07</v>
      </c>
      <c r="H1872" s="86">
        <v>44841</v>
      </c>
      <c r="I1872" s="61">
        <v>58191.29</v>
      </c>
    </row>
    <row r="1873" spans="2:9">
      <c r="B1873" s="86">
        <v>43003</v>
      </c>
      <c r="C1873" s="61">
        <v>13466.53</v>
      </c>
      <c r="H1873" s="86">
        <v>44844</v>
      </c>
      <c r="I1873" s="61">
        <v>57991.11</v>
      </c>
    </row>
    <row r="1874" spans="2:9">
      <c r="B1874" s="86">
        <v>43000</v>
      </c>
      <c r="C1874" s="61">
        <v>13591.79</v>
      </c>
      <c r="H1874" s="86">
        <v>44845</v>
      </c>
      <c r="I1874" s="61">
        <v>57147.32</v>
      </c>
    </row>
    <row r="1875" spans="2:9">
      <c r="B1875" s="86">
        <v>42999</v>
      </c>
      <c r="C1875" s="61">
        <v>13806.6</v>
      </c>
      <c r="H1875" s="86">
        <v>44846</v>
      </c>
      <c r="I1875" s="61">
        <v>57625.91</v>
      </c>
    </row>
    <row r="1876" spans="2:9">
      <c r="B1876" s="86">
        <v>42998</v>
      </c>
      <c r="C1876" s="61">
        <v>13832.04</v>
      </c>
      <c r="H1876" s="86">
        <v>44847</v>
      </c>
      <c r="I1876" s="61">
        <v>57235.33</v>
      </c>
    </row>
    <row r="1877" spans="2:9">
      <c r="B1877" s="86">
        <v>42997</v>
      </c>
      <c r="C1877" s="61">
        <v>13840.78</v>
      </c>
      <c r="H1877" s="86">
        <v>44848</v>
      </c>
      <c r="I1877" s="61">
        <v>57919.97</v>
      </c>
    </row>
    <row r="1878" spans="2:9">
      <c r="B1878" s="86">
        <v>42996</v>
      </c>
      <c r="C1878" s="61">
        <v>13848.34</v>
      </c>
      <c r="H1878" s="86">
        <v>44851</v>
      </c>
      <c r="I1878" s="61">
        <v>58410.98</v>
      </c>
    </row>
    <row r="1879" spans="2:9">
      <c r="B1879" s="86">
        <v>42993</v>
      </c>
      <c r="C1879" s="61">
        <v>13754.62</v>
      </c>
      <c r="H1879" s="86">
        <v>44852</v>
      </c>
      <c r="I1879" s="61">
        <v>58960.6</v>
      </c>
    </row>
    <row r="1880" spans="2:9">
      <c r="B1880" s="86">
        <v>42992</v>
      </c>
      <c r="C1880" s="61">
        <v>13756.28</v>
      </c>
      <c r="H1880" s="86">
        <v>44853</v>
      </c>
      <c r="I1880" s="61">
        <v>59107.19</v>
      </c>
    </row>
    <row r="1881" spans="2:9">
      <c r="B1881" s="86">
        <v>42991</v>
      </c>
      <c r="C1881" s="61">
        <v>13746.3</v>
      </c>
      <c r="H1881" s="86">
        <v>44854</v>
      </c>
      <c r="I1881" s="61">
        <v>59202.9</v>
      </c>
    </row>
    <row r="1882" spans="2:9">
      <c r="B1882" s="86">
        <v>42990</v>
      </c>
      <c r="C1882" s="61">
        <v>13765.03</v>
      </c>
      <c r="H1882" s="86">
        <v>44855</v>
      </c>
      <c r="I1882" s="61">
        <v>59307.15</v>
      </c>
    </row>
    <row r="1883" spans="2:9">
      <c r="B1883" s="86">
        <v>42989</v>
      </c>
      <c r="C1883" s="61">
        <v>13646.37</v>
      </c>
      <c r="H1883" s="86">
        <v>44858</v>
      </c>
      <c r="I1883" s="61">
        <v>59831.66</v>
      </c>
    </row>
    <row r="1884" spans="2:9">
      <c r="B1884" s="86">
        <v>42986</v>
      </c>
      <c r="C1884" s="61">
        <v>13546.57</v>
      </c>
      <c r="H1884" s="86">
        <v>44859</v>
      </c>
      <c r="I1884" s="61">
        <v>59543.96</v>
      </c>
    </row>
    <row r="1885" spans="2:9">
      <c r="B1885" s="86">
        <v>42985</v>
      </c>
      <c r="C1885" s="61">
        <v>13539.91</v>
      </c>
      <c r="H1885" s="86">
        <v>44861</v>
      </c>
      <c r="I1885" s="61">
        <v>59756.84</v>
      </c>
    </row>
    <row r="1886" spans="2:9">
      <c r="B1886" s="86">
        <v>42984</v>
      </c>
      <c r="C1886" s="61">
        <v>13519.3</v>
      </c>
      <c r="H1886" s="86">
        <v>44862</v>
      </c>
      <c r="I1886" s="61">
        <v>59959.85</v>
      </c>
    </row>
    <row r="1887" spans="2:9">
      <c r="B1887" s="86">
        <v>42983</v>
      </c>
      <c r="C1887" s="61">
        <v>13568.38</v>
      </c>
      <c r="H1887" s="86">
        <v>44865</v>
      </c>
      <c r="I1887" s="61">
        <v>60746.59</v>
      </c>
    </row>
    <row r="1888" spans="2:9">
      <c r="B1888" s="86">
        <v>42982</v>
      </c>
      <c r="C1888" s="61">
        <v>13514.16</v>
      </c>
      <c r="H1888" s="86">
        <v>44866</v>
      </c>
      <c r="I1888" s="61">
        <v>61121.35</v>
      </c>
    </row>
    <row r="1889" spans="2:9">
      <c r="B1889" s="86">
        <v>42979</v>
      </c>
      <c r="C1889" s="61">
        <v>13598.09</v>
      </c>
      <c r="H1889" s="86">
        <v>44867</v>
      </c>
      <c r="I1889" s="61">
        <v>60906.09</v>
      </c>
    </row>
    <row r="1890" spans="2:9">
      <c r="B1890" s="86">
        <v>42978</v>
      </c>
      <c r="C1890" s="61">
        <v>13521.03</v>
      </c>
      <c r="H1890" s="86">
        <v>44868</v>
      </c>
      <c r="I1890" s="61">
        <v>60836.41</v>
      </c>
    </row>
    <row r="1891" spans="2:9">
      <c r="B1891" s="86">
        <v>42977</v>
      </c>
      <c r="C1891" s="61">
        <v>13474.73</v>
      </c>
      <c r="H1891" s="86">
        <v>44869</v>
      </c>
      <c r="I1891" s="61">
        <v>60950.36</v>
      </c>
    </row>
    <row r="1892" spans="2:9">
      <c r="B1892" s="86">
        <v>42976</v>
      </c>
      <c r="C1892" s="61">
        <v>13354.29</v>
      </c>
      <c r="H1892" s="86">
        <v>44872</v>
      </c>
      <c r="I1892" s="61">
        <v>61185.15</v>
      </c>
    </row>
    <row r="1893" spans="2:9">
      <c r="B1893" s="86">
        <v>42975</v>
      </c>
      <c r="C1893" s="61">
        <v>13513.48</v>
      </c>
      <c r="H1893" s="86">
        <v>44874</v>
      </c>
      <c r="I1893" s="61">
        <v>61033.55</v>
      </c>
    </row>
    <row r="1894" spans="2:9">
      <c r="B1894" s="86">
        <v>42971</v>
      </c>
      <c r="C1894" s="61">
        <v>13437.45</v>
      </c>
      <c r="H1894" s="86">
        <v>44875</v>
      </c>
      <c r="I1894" s="61">
        <v>60613.7</v>
      </c>
    </row>
    <row r="1895" spans="2:9">
      <c r="B1895" s="86">
        <v>42970</v>
      </c>
      <c r="C1895" s="61">
        <v>13427.67</v>
      </c>
      <c r="H1895" s="86">
        <v>44876</v>
      </c>
      <c r="I1895" s="61">
        <v>61795.040000000001</v>
      </c>
    </row>
    <row r="1896" spans="2:9">
      <c r="B1896" s="86">
        <v>42969</v>
      </c>
      <c r="C1896" s="61">
        <v>13309.14</v>
      </c>
      <c r="H1896" s="86">
        <v>44879</v>
      </c>
      <c r="I1896" s="61">
        <v>61624.15</v>
      </c>
    </row>
    <row r="1897" spans="2:9">
      <c r="B1897" s="86">
        <v>42968</v>
      </c>
      <c r="C1897" s="61">
        <v>13293.88</v>
      </c>
      <c r="H1897" s="86">
        <v>44880</v>
      </c>
      <c r="I1897" s="61">
        <v>61872.99</v>
      </c>
    </row>
    <row r="1898" spans="2:9">
      <c r="B1898" s="86">
        <v>42965</v>
      </c>
      <c r="C1898" s="61">
        <v>13407.07</v>
      </c>
      <c r="H1898" s="86">
        <v>44881</v>
      </c>
      <c r="I1898" s="61">
        <v>61980.72</v>
      </c>
    </row>
    <row r="1899" spans="2:9">
      <c r="B1899" s="86">
        <v>42964</v>
      </c>
      <c r="C1899" s="61">
        <v>13497.69</v>
      </c>
      <c r="H1899" s="86">
        <v>44882</v>
      </c>
      <c r="I1899" s="61">
        <v>61750.6</v>
      </c>
    </row>
    <row r="1900" spans="2:9">
      <c r="B1900" s="86">
        <v>42963</v>
      </c>
      <c r="C1900" s="61">
        <v>13488.33</v>
      </c>
      <c r="H1900" s="86">
        <v>44883</v>
      </c>
      <c r="I1900" s="61">
        <v>61663.48</v>
      </c>
    </row>
    <row r="1901" spans="2:9">
      <c r="B1901" s="86">
        <v>42961</v>
      </c>
      <c r="C1901" s="61">
        <v>13347.75</v>
      </c>
      <c r="H1901" s="86">
        <v>44886</v>
      </c>
      <c r="I1901" s="61">
        <v>61144.84</v>
      </c>
    </row>
    <row r="1902" spans="2:9">
      <c r="B1902" s="86">
        <v>42958</v>
      </c>
      <c r="C1902" s="61">
        <v>13234.2</v>
      </c>
      <c r="H1902" s="86">
        <v>44887</v>
      </c>
      <c r="I1902" s="61">
        <v>61418.96</v>
      </c>
    </row>
    <row r="1903" spans="2:9">
      <c r="B1903" s="86">
        <v>42957</v>
      </c>
      <c r="C1903" s="61">
        <v>13377.05</v>
      </c>
      <c r="H1903" s="86">
        <v>44888</v>
      </c>
      <c r="I1903" s="61">
        <v>61510.58</v>
      </c>
    </row>
    <row r="1904" spans="2:9">
      <c r="B1904" s="86">
        <v>42956</v>
      </c>
      <c r="C1904" s="61">
        <v>13495.81</v>
      </c>
      <c r="H1904" s="86">
        <v>44889</v>
      </c>
      <c r="I1904" s="61">
        <v>62272.68</v>
      </c>
    </row>
    <row r="1905" spans="2:9">
      <c r="B1905" s="86">
        <v>42955</v>
      </c>
      <c r="C1905" s="61">
        <v>13591.81</v>
      </c>
      <c r="H1905" s="86">
        <v>44890</v>
      </c>
      <c r="I1905" s="61">
        <v>62293.64</v>
      </c>
    </row>
    <row r="1906" spans="2:9">
      <c r="B1906" s="86">
        <v>42954</v>
      </c>
      <c r="C1906" s="61">
        <v>13699.21</v>
      </c>
      <c r="H1906" s="86">
        <v>44893</v>
      </c>
      <c r="I1906" s="61">
        <v>62504.800000000003</v>
      </c>
    </row>
    <row r="1907" spans="2:9">
      <c r="B1907" s="86">
        <v>42951</v>
      </c>
      <c r="C1907" s="61">
        <v>13711.47</v>
      </c>
      <c r="H1907" s="86">
        <v>44894</v>
      </c>
      <c r="I1907" s="61">
        <v>62681.84</v>
      </c>
    </row>
    <row r="1908" spans="2:9">
      <c r="B1908" s="86">
        <v>42950</v>
      </c>
      <c r="C1908" s="61">
        <v>13639.66</v>
      </c>
      <c r="H1908" s="86">
        <v>44895</v>
      </c>
      <c r="I1908" s="61">
        <v>63099.65</v>
      </c>
    </row>
    <row r="1909" spans="2:9">
      <c r="B1909" s="86">
        <v>42949</v>
      </c>
      <c r="C1909" s="61">
        <v>13731.63</v>
      </c>
      <c r="H1909" s="86">
        <v>44896</v>
      </c>
      <c r="I1909" s="61">
        <v>63284.19</v>
      </c>
    </row>
    <row r="1910" spans="2:9">
      <c r="B1910" s="86">
        <v>42948</v>
      </c>
      <c r="C1910" s="61">
        <v>13775.33</v>
      </c>
      <c r="H1910" s="86">
        <v>44897</v>
      </c>
      <c r="I1910" s="61">
        <v>62868.5</v>
      </c>
    </row>
    <row r="1911" spans="2:9">
      <c r="B1911" s="86">
        <v>42947</v>
      </c>
      <c r="C1911" s="61">
        <v>13724.19</v>
      </c>
      <c r="H1911" s="86">
        <v>44900</v>
      </c>
      <c r="I1911" s="61">
        <v>62834.6</v>
      </c>
    </row>
    <row r="1912" spans="2:9">
      <c r="B1912" s="86">
        <v>42944</v>
      </c>
      <c r="C1912" s="61">
        <v>13638.1</v>
      </c>
      <c r="H1912" s="86">
        <v>44901</v>
      </c>
      <c r="I1912" s="61">
        <v>62626.36</v>
      </c>
    </row>
    <row r="1913" spans="2:9">
      <c r="B1913" s="86">
        <v>42943</v>
      </c>
      <c r="C1913" s="61">
        <v>13646.34</v>
      </c>
      <c r="H1913" s="86">
        <v>44902</v>
      </c>
      <c r="I1913" s="61">
        <v>62410.68</v>
      </c>
    </row>
    <row r="1914" spans="2:9">
      <c r="B1914" s="86">
        <v>42942</v>
      </c>
      <c r="C1914" s="61">
        <v>13644.46</v>
      </c>
      <c r="H1914" s="86">
        <v>44903</v>
      </c>
      <c r="I1914" s="61">
        <v>62570.68</v>
      </c>
    </row>
    <row r="1915" spans="2:9">
      <c r="B1915" s="86">
        <v>42941</v>
      </c>
      <c r="C1915" s="61">
        <v>13567.66</v>
      </c>
      <c r="H1915" s="86">
        <v>44904</v>
      </c>
      <c r="I1915" s="61">
        <v>62181.67</v>
      </c>
    </row>
    <row r="1916" spans="2:9">
      <c r="B1916" s="86">
        <v>42940</v>
      </c>
      <c r="C1916" s="61">
        <v>13569.88</v>
      </c>
      <c r="H1916" s="86">
        <v>44907</v>
      </c>
      <c r="I1916" s="61">
        <v>62130.57</v>
      </c>
    </row>
    <row r="1917" spans="2:9">
      <c r="B1917" s="86">
        <v>42937</v>
      </c>
      <c r="C1917" s="61">
        <v>13498.25</v>
      </c>
      <c r="H1917" s="86">
        <v>44908</v>
      </c>
      <c r="I1917" s="61">
        <v>62533.3</v>
      </c>
    </row>
    <row r="1918" spans="2:9">
      <c r="B1918" s="86">
        <v>42936</v>
      </c>
      <c r="C1918" s="61">
        <v>13441.11</v>
      </c>
      <c r="H1918" s="86">
        <v>44909</v>
      </c>
      <c r="I1918" s="61">
        <v>62677.91</v>
      </c>
    </row>
    <row r="1919" spans="2:9">
      <c r="B1919" s="86">
        <v>42935</v>
      </c>
      <c r="C1919" s="61">
        <v>13473.52</v>
      </c>
      <c r="H1919" s="86">
        <v>44910</v>
      </c>
      <c r="I1919" s="61">
        <v>61799.03</v>
      </c>
    </row>
    <row r="1920" spans="2:9">
      <c r="B1920" s="86">
        <v>42934</v>
      </c>
      <c r="C1920" s="61">
        <v>13374.92</v>
      </c>
      <c r="H1920" s="86">
        <v>44911</v>
      </c>
      <c r="I1920" s="61">
        <v>61337.81</v>
      </c>
    </row>
    <row r="1921" spans="2:9">
      <c r="B1921" s="86">
        <v>42933</v>
      </c>
      <c r="C1921" s="61">
        <v>13494.64</v>
      </c>
      <c r="H1921" s="86">
        <v>44914</v>
      </c>
      <c r="I1921" s="61">
        <v>61806.19</v>
      </c>
    </row>
    <row r="1922" spans="2:9">
      <c r="B1922" s="86">
        <v>42930</v>
      </c>
      <c r="C1922" s="61">
        <v>13453.49</v>
      </c>
      <c r="H1922" s="86">
        <v>44915</v>
      </c>
      <c r="I1922" s="61">
        <v>61702.29</v>
      </c>
    </row>
    <row r="1923" spans="2:9">
      <c r="B1923" s="86">
        <v>42929</v>
      </c>
      <c r="C1923" s="61">
        <v>13452.22</v>
      </c>
      <c r="H1923" s="86">
        <v>44916</v>
      </c>
      <c r="I1923" s="61">
        <v>61067.24</v>
      </c>
    </row>
    <row r="1924" spans="2:9">
      <c r="B1924" s="86">
        <v>42928</v>
      </c>
      <c r="C1924" s="61">
        <v>13340.24</v>
      </c>
      <c r="H1924" s="86">
        <v>44917</v>
      </c>
      <c r="I1924" s="61">
        <v>60826.22</v>
      </c>
    </row>
    <row r="1925" spans="2:9">
      <c r="B1925" s="86">
        <v>42927</v>
      </c>
      <c r="C1925" s="61">
        <v>13299.17</v>
      </c>
      <c r="H1925" s="86">
        <v>44918</v>
      </c>
      <c r="I1925" s="61">
        <v>59845.29</v>
      </c>
    </row>
    <row r="1926" spans="2:9">
      <c r="B1926" s="86">
        <v>42926</v>
      </c>
      <c r="C1926" s="61">
        <v>13278.81</v>
      </c>
      <c r="H1926" s="86">
        <v>44921</v>
      </c>
      <c r="I1926" s="61">
        <v>60566.42</v>
      </c>
    </row>
    <row r="1927" spans="2:9">
      <c r="B1927" s="86">
        <v>42923</v>
      </c>
      <c r="C1927" s="61">
        <v>13135.35</v>
      </c>
      <c r="H1927" s="86">
        <v>44922</v>
      </c>
      <c r="I1927" s="61">
        <v>60927.43</v>
      </c>
    </row>
    <row r="1928" spans="2:9">
      <c r="B1928" s="86">
        <v>42922</v>
      </c>
      <c r="C1928" s="61">
        <v>13147.27</v>
      </c>
      <c r="H1928" s="86">
        <v>44923</v>
      </c>
      <c r="I1928" s="61">
        <v>60910.28</v>
      </c>
    </row>
    <row r="1929" spans="2:9">
      <c r="B1929" s="86">
        <v>42921</v>
      </c>
      <c r="C1929" s="61">
        <v>13091.36</v>
      </c>
      <c r="H1929" s="86">
        <v>44924</v>
      </c>
      <c r="I1929" s="61">
        <v>61133.88</v>
      </c>
    </row>
    <row r="1930" spans="2:9">
      <c r="B1930" s="86">
        <v>42920</v>
      </c>
      <c r="C1930" s="61">
        <v>13057.86</v>
      </c>
      <c r="H1930" s="86">
        <v>44925</v>
      </c>
      <c r="I1930" s="61">
        <v>60840.74</v>
      </c>
    </row>
    <row r="1931" spans="2:9">
      <c r="B1931" s="86">
        <v>42919</v>
      </c>
      <c r="C1931" s="61">
        <v>13060.15</v>
      </c>
      <c r="H1931" s="86">
        <v>44928</v>
      </c>
      <c r="I1931" s="61">
        <v>61167.79</v>
      </c>
    </row>
    <row r="1932" spans="2:9">
      <c r="B1932" s="86">
        <v>42916</v>
      </c>
      <c r="C1932" s="61">
        <v>12932.33</v>
      </c>
      <c r="H1932" s="86">
        <v>44929</v>
      </c>
      <c r="I1932" s="61">
        <v>61294.2</v>
      </c>
    </row>
    <row r="1933" spans="2:9">
      <c r="B1933" s="86">
        <v>42915</v>
      </c>
      <c r="C1933" s="61">
        <v>12908.13</v>
      </c>
      <c r="H1933" s="86">
        <v>44930</v>
      </c>
      <c r="I1933" s="61">
        <v>60657.45</v>
      </c>
    </row>
    <row r="1934" spans="2:9">
      <c r="B1934" s="86">
        <v>42914</v>
      </c>
      <c r="C1934" s="61">
        <v>12882.7</v>
      </c>
      <c r="H1934" s="86">
        <v>44931</v>
      </c>
      <c r="I1934" s="61">
        <v>60353.27</v>
      </c>
    </row>
    <row r="1935" spans="2:9">
      <c r="B1935" s="86">
        <v>42913</v>
      </c>
      <c r="C1935" s="61">
        <v>12910.01</v>
      </c>
      <c r="H1935" s="86">
        <v>44932</v>
      </c>
      <c r="I1935" s="61">
        <v>59900.37</v>
      </c>
    </row>
    <row r="1936" spans="2:9">
      <c r="B1936" s="86">
        <v>42909</v>
      </c>
      <c r="C1936" s="61">
        <v>12996.3</v>
      </c>
      <c r="H1936" s="86">
        <v>44935</v>
      </c>
      <c r="I1936" s="61">
        <v>60747.31</v>
      </c>
    </row>
    <row r="1937" spans="2:9">
      <c r="B1937" s="86">
        <v>42908</v>
      </c>
      <c r="C1937" s="61">
        <v>13070.98</v>
      </c>
      <c r="H1937" s="86">
        <v>44936</v>
      </c>
      <c r="I1937" s="61">
        <v>60115.48</v>
      </c>
    </row>
    <row r="1938" spans="2:9">
      <c r="B1938" s="86">
        <v>42907</v>
      </c>
      <c r="C1938" s="61">
        <v>13072.91</v>
      </c>
      <c r="H1938" s="86">
        <v>44937</v>
      </c>
      <c r="I1938" s="61">
        <v>60105.5</v>
      </c>
    </row>
    <row r="1939" spans="2:9">
      <c r="B1939" s="86">
        <v>42906</v>
      </c>
      <c r="C1939" s="61">
        <v>13099.92</v>
      </c>
      <c r="H1939" s="86">
        <v>44938</v>
      </c>
      <c r="I1939" s="61">
        <v>59958.03</v>
      </c>
    </row>
    <row r="1940" spans="2:9">
      <c r="B1940" s="86">
        <v>42905</v>
      </c>
      <c r="C1940" s="61">
        <v>13100.15</v>
      </c>
      <c r="H1940" s="86">
        <v>44939</v>
      </c>
      <c r="I1940" s="61">
        <v>60261.18</v>
      </c>
    </row>
    <row r="1941" spans="2:9">
      <c r="B1941" s="86">
        <v>42902</v>
      </c>
      <c r="C1941" s="61">
        <v>13005.86</v>
      </c>
      <c r="H1941" s="86">
        <v>44942</v>
      </c>
      <c r="I1941" s="61">
        <v>60092.97</v>
      </c>
    </row>
    <row r="1942" spans="2:9">
      <c r="B1942" s="86">
        <v>42901</v>
      </c>
      <c r="C1942" s="61">
        <v>12992.34</v>
      </c>
      <c r="H1942" s="86">
        <v>44943</v>
      </c>
      <c r="I1942" s="61">
        <v>60655.72</v>
      </c>
    </row>
    <row r="1943" spans="2:9">
      <c r="B1943" s="86">
        <v>42900</v>
      </c>
      <c r="C1943" s="61">
        <v>13045.44</v>
      </c>
      <c r="H1943" s="86">
        <v>44944</v>
      </c>
      <c r="I1943" s="61">
        <v>61045.74</v>
      </c>
    </row>
    <row r="1944" spans="2:9">
      <c r="B1944" s="86">
        <v>42899</v>
      </c>
      <c r="C1944" s="61">
        <v>13030.22</v>
      </c>
      <c r="H1944" s="86">
        <v>44945</v>
      </c>
      <c r="I1944" s="61">
        <v>60858.43</v>
      </c>
    </row>
    <row r="1945" spans="2:9">
      <c r="B1945" s="86">
        <v>42898</v>
      </c>
      <c r="C1945" s="61">
        <v>13037.83</v>
      </c>
      <c r="H1945" s="86">
        <v>44946</v>
      </c>
      <c r="I1945" s="61">
        <v>60621.77</v>
      </c>
    </row>
    <row r="1946" spans="2:9">
      <c r="B1946" s="86">
        <v>42895</v>
      </c>
      <c r="C1946" s="61">
        <v>13108.12</v>
      </c>
      <c r="H1946" s="86">
        <v>44949</v>
      </c>
      <c r="I1946" s="61">
        <v>60941.67</v>
      </c>
    </row>
    <row r="1947" spans="2:9">
      <c r="B1947" s="86">
        <v>42894</v>
      </c>
      <c r="C1947" s="61">
        <v>13079.63</v>
      </c>
      <c r="H1947" s="86">
        <v>44950</v>
      </c>
      <c r="I1947" s="61">
        <v>60978.75</v>
      </c>
    </row>
    <row r="1948" spans="2:9">
      <c r="B1948" s="86">
        <v>42893</v>
      </c>
      <c r="C1948" s="61">
        <v>13101.62</v>
      </c>
      <c r="H1948" s="86">
        <v>44951</v>
      </c>
      <c r="I1948" s="61">
        <v>60205.06</v>
      </c>
    </row>
    <row r="1949" spans="2:9">
      <c r="B1949" s="86">
        <v>42892</v>
      </c>
      <c r="C1949" s="61">
        <v>13065.33</v>
      </c>
      <c r="H1949" s="86">
        <v>44953</v>
      </c>
      <c r="I1949" s="61">
        <v>59330.9</v>
      </c>
    </row>
    <row r="1950" spans="2:9">
      <c r="B1950" s="86">
        <v>42891</v>
      </c>
      <c r="C1950" s="61">
        <v>13116.78</v>
      </c>
      <c r="H1950" s="86">
        <v>44956</v>
      </c>
      <c r="I1950" s="61">
        <v>59500.41</v>
      </c>
    </row>
    <row r="1951" spans="2:9">
      <c r="B1951" s="86">
        <v>42888</v>
      </c>
      <c r="C1951" s="61">
        <v>13072.98</v>
      </c>
      <c r="H1951" s="86">
        <v>44957</v>
      </c>
      <c r="I1951" s="61">
        <v>59549.9</v>
      </c>
    </row>
    <row r="1952" spans="2:9">
      <c r="B1952" s="86">
        <v>42887</v>
      </c>
      <c r="C1952" s="61">
        <v>13022.35</v>
      </c>
      <c r="H1952" s="86">
        <v>44958</v>
      </c>
      <c r="I1952" s="61">
        <v>59708.08</v>
      </c>
    </row>
    <row r="1953" spans="2:9">
      <c r="B1953" s="86">
        <v>42886</v>
      </c>
      <c r="C1953" s="61">
        <v>13018.69</v>
      </c>
      <c r="H1953" s="86">
        <v>44959</v>
      </c>
      <c r="I1953" s="61">
        <v>59932.24</v>
      </c>
    </row>
    <row r="1954" spans="2:9">
      <c r="B1954" s="86">
        <v>42885</v>
      </c>
      <c r="C1954" s="61">
        <v>13023.19</v>
      </c>
      <c r="H1954" s="86">
        <v>44960</v>
      </c>
      <c r="I1954" s="61">
        <v>60841.88</v>
      </c>
    </row>
    <row r="1955" spans="2:9">
      <c r="B1955" s="86">
        <v>42884</v>
      </c>
      <c r="C1955" s="61">
        <v>12996.61</v>
      </c>
      <c r="H1955" s="86">
        <v>44963</v>
      </c>
      <c r="I1955" s="61">
        <v>60506.9</v>
      </c>
    </row>
    <row r="1956" spans="2:9">
      <c r="B1956" s="86">
        <v>42881</v>
      </c>
      <c r="C1956" s="61">
        <v>12981.79</v>
      </c>
      <c r="H1956" s="86">
        <v>44964</v>
      </c>
      <c r="I1956" s="61">
        <v>60286.04</v>
      </c>
    </row>
    <row r="1957" spans="2:9">
      <c r="B1957" s="86">
        <v>42880</v>
      </c>
      <c r="C1957" s="61">
        <v>12863.38</v>
      </c>
      <c r="H1957" s="86">
        <v>44965</v>
      </c>
      <c r="I1957" s="61">
        <v>60663.79</v>
      </c>
    </row>
    <row r="1958" spans="2:9">
      <c r="B1958" s="86">
        <v>42879</v>
      </c>
      <c r="C1958" s="61">
        <v>12661.62</v>
      </c>
      <c r="H1958" s="86">
        <v>44966</v>
      </c>
      <c r="I1958" s="61">
        <v>60806.22</v>
      </c>
    </row>
    <row r="1959" spans="2:9">
      <c r="B1959" s="86">
        <v>42878</v>
      </c>
      <c r="C1959" s="61">
        <v>12695.02</v>
      </c>
      <c r="H1959" s="86">
        <v>44967</v>
      </c>
      <c r="I1959" s="61">
        <v>60682.7</v>
      </c>
    </row>
    <row r="1960" spans="2:9">
      <c r="B1960" s="86">
        <v>42877</v>
      </c>
      <c r="C1960" s="61">
        <v>12765.48</v>
      </c>
      <c r="H1960" s="86">
        <v>44970</v>
      </c>
      <c r="I1960" s="61">
        <v>60431.839999999997</v>
      </c>
    </row>
    <row r="1961" spans="2:9">
      <c r="B1961" s="86">
        <v>42874</v>
      </c>
      <c r="C1961" s="61">
        <v>12751.43</v>
      </c>
      <c r="H1961" s="86">
        <v>44971</v>
      </c>
      <c r="I1961" s="61">
        <v>61032.26</v>
      </c>
    </row>
    <row r="1962" spans="2:9">
      <c r="B1962" s="86">
        <v>42873</v>
      </c>
      <c r="C1962" s="61">
        <v>12753.55</v>
      </c>
      <c r="H1962" s="86">
        <v>44972</v>
      </c>
      <c r="I1962" s="61">
        <v>61275.09</v>
      </c>
    </row>
    <row r="1963" spans="2:9">
      <c r="B1963" s="86">
        <v>42872</v>
      </c>
      <c r="C1963" s="61">
        <v>12883.83</v>
      </c>
      <c r="H1963" s="86">
        <v>44973</v>
      </c>
      <c r="I1963" s="61">
        <v>61319.51</v>
      </c>
    </row>
    <row r="1964" spans="2:9">
      <c r="B1964" s="86">
        <v>42871</v>
      </c>
      <c r="C1964" s="61">
        <v>12865.56</v>
      </c>
      <c r="H1964" s="86">
        <v>44974</v>
      </c>
      <c r="I1964" s="61">
        <v>61002.57</v>
      </c>
    </row>
    <row r="1965" spans="2:9">
      <c r="B1965" s="86">
        <v>42870</v>
      </c>
      <c r="C1965" s="61">
        <v>12775.11</v>
      </c>
      <c r="H1965" s="86">
        <v>44977</v>
      </c>
      <c r="I1965" s="61">
        <v>60691.54</v>
      </c>
    </row>
    <row r="1966" spans="2:9">
      <c r="B1966" s="86">
        <v>42867</v>
      </c>
      <c r="C1966" s="61">
        <v>12714.97</v>
      </c>
      <c r="H1966" s="86">
        <v>44978</v>
      </c>
      <c r="I1966" s="61">
        <v>60672.72</v>
      </c>
    </row>
    <row r="1967" spans="2:9">
      <c r="B1967" s="86">
        <v>42866</v>
      </c>
      <c r="C1967" s="61">
        <v>12743.99</v>
      </c>
      <c r="H1967" s="86">
        <v>44979</v>
      </c>
      <c r="I1967" s="61">
        <v>59744.98</v>
      </c>
    </row>
    <row r="1968" spans="2:9">
      <c r="B1968" s="86">
        <v>42865</v>
      </c>
      <c r="C1968" s="61">
        <v>12723.6</v>
      </c>
      <c r="H1968" s="86">
        <v>44980</v>
      </c>
      <c r="I1968" s="61">
        <v>59605.8</v>
      </c>
    </row>
    <row r="1969" spans="2:9">
      <c r="B1969" s="86">
        <v>42864</v>
      </c>
      <c r="C1969" s="61">
        <v>12601.23</v>
      </c>
      <c r="H1969" s="86">
        <v>44981</v>
      </c>
      <c r="I1969" s="61">
        <v>59463.93</v>
      </c>
    </row>
    <row r="1970" spans="2:9">
      <c r="B1970" s="86">
        <v>42863</v>
      </c>
      <c r="C1970" s="61">
        <v>12597.5</v>
      </c>
      <c r="H1970" s="86">
        <v>44984</v>
      </c>
      <c r="I1970" s="61">
        <v>59288.35</v>
      </c>
    </row>
    <row r="1971" spans="2:9">
      <c r="B1971" s="86">
        <v>42860</v>
      </c>
      <c r="C1971" s="61">
        <v>12558.6</v>
      </c>
      <c r="H1971" s="86">
        <v>44985</v>
      </c>
      <c r="I1971" s="61">
        <v>58962.12</v>
      </c>
    </row>
    <row r="1972" spans="2:9">
      <c r="B1972" s="86">
        <v>42859</v>
      </c>
      <c r="C1972" s="61">
        <v>12659.51</v>
      </c>
      <c r="H1972" s="86">
        <v>44986</v>
      </c>
      <c r="I1972" s="61">
        <v>59411.08</v>
      </c>
    </row>
    <row r="1973" spans="2:9">
      <c r="B1973" s="86">
        <v>42858</v>
      </c>
      <c r="C1973" s="61">
        <v>12593.58</v>
      </c>
      <c r="H1973" s="86">
        <v>44987</v>
      </c>
      <c r="I1973" s="61">
        <v>58909.35</v>
      </c>
    </row>
    <row r="1974" spans="2:9">
      <c r="B1974" s="86">
        <v>42857</v>
      </c>
      <c r="C1974" s="61">
        <v>12596.08</v>
      </c>
      <c r="H1974" s="86">
        <v>44988</v>
      </c>
      <c r="I1974" s="61">
        <v>59808.97</v>
      </c>
    </row>
    <row r="1975" spans="2:9">
      <c r="B1975" s="86">
        <v>42853</v>
      </c>
      <c r="C1975" s="61">
        <v>12582.88</v>
      </c>
      <c r="H1975" s="86">
        <v>44991</v>
      </c>
      <c r="I1975" s="61">
        <v>60224.46</v>
      </c>
    </row>
    <row r="1976" spans="2:9">
      <c r="B1976" s="86">
        <v>42852</v>
      </c>
      <c r="C1976" s="61">
        <v>12634.41</v>
      </c>
      <c r="H1976" s="86">
        <v>44993</v>
      </c>
      <c r="I1976" s="61">
        <v>60348.09</v>
      </c>
    </row>
    <row r="1977" spans="2:9">
      <c r="B1977" s="86">
        <v>42851</v>
      </c>
      <c r="C1977" s="61">
        <v>12647.53</v>
      </c>
      <c r="H1977" s="86">
        <v>44994</v>
      </c>
      <c r="I1977" s="61">
        <v>59806.28</v>
      </c>
    </row>
    <row r="1978" spans="2:9">
      <c r="B1978" s="86">
        <v>42850</v>
      </c>
      <c r="C1978" s="61">
        <v>12586.34</v>
      </c>
      <c r="H1978" s="86">
        <v>44995</v>
      </c>
      <c r="I1978" s="61">
        <v>59135.13</v>
      </c>
    </row>
    <row r="1979" spans="2:9">
      <c r="B1979" s="86">
        <v>42849</v>
      </c>
      <c r="C1979" s="61">
        <v>12466.46</v>
      </c>
      <c r="H1979" s="86">
        <v>44998</v>
      </c>
      <c r="I1979" s="61">
        <v>58237.85</v>
      </c>
    </row>
    <row r="1980" spans="2:9">
      <c r="B1980" s="86">
        <v>42846</v>
      </c>
      <c r="C1980" s="61">
        <v>12333.17</v>
      </c>
      <c r="H1980" s="86">
        <v>44999</v>
      </c>
      <c r="I1980" s="61">
        <v>57900.19</v>
      </c>
    </row>
    <row r="1981" spans="2:9">
      <c r="B1981" s="86">
        <v>42845</v>
      </c>
      <c r="C1981" s="61">
        <v>12356.2</v>
      </c>
      <c r="H1981" s="86">
        <v>45000</v>
      </c>
      <c r="I1981" s="61">
        <v>57555.9</v>
      </c>
    </row>
    <row r="1982" spans="2:9">
      <c r="B1982" s="86">
        <v>42844</v>
      </c>
      <c r="C1982" s="61">
        <v>12311.67</v>
      </c>
      <c r="H1982" s="86">
        <v>45001</v>
      </c>
      <c r="I1982" s="61">
        <v>57634.84</v>
      </c>
    </row>
    <row r="1983" spans="2:9">
      <c r="B1983" s="86">
        <v>42843</v>
      </c>
      <c r="C1983" s="61">
        <v>12313.9</v>
      </c>
      <c r="H1983" s="86">
        <v>45002</v>
      </c>
      <c r="I1983" s="61">
        <v>57989.9</v>
      </c>
    </row>
    <row r="1984" spans="2:9">
      <c r="B1984" s="86">
        <v>42842</v>
      </c>
      <c r="C1984" s="61">
        <v>12360.11</v>
      </c>
      <c r="H1984" s="86">
        <v>45005</v>
      </c>
      <c r="I1984" s="61">
        <v>57628.95</v>
      </c>
    </row>
    <row r="1985" spans="2:9">
      <c r="B1985" s="86">
        <v>42838</v>
      </c>
      <c r="C1985" s="61">
        <v>12375.68</v>
      </c>
      <c r="H1985" s="86">
        <v>45006</v>
      </c>
      <c r="I1985" s="61">
        <v>58074.68</v>
      </c>
    </row>
    <row r="1986" spans="2:9">
      <c r="B1986" s="86">
        <v>42837</v>
      </c>
      <c r="C1986" s="61">
        <v>12446.84</v>
      </c>
      <c r="H1986" s="86">
        <v>45007</v>
      </c>
      <c r="I1986" s="61">
        <v>58214.59</v>
      </c>
    </row>
    <row r="1987" spans="2:9">
      <c r="B1987" s="86">
        <v>42836</v>
      </c>
      <c r="C1987" s="61">
        <v>12492.24</v>
      </c>
      <c r="H1987" s="86">
        <v>45008</v>
      </c>
      <c r="I1987" s="61">
        <v>57925.279999999999</v>
      </c>
    </row>
    <row r="1988" spans="2:9">
      <c r="B1988" s="86">
        <v>42835</v>
      </c>
      <c r="C1988" s="61">
        <v>12417.07</v>
      </c>
      <c r="H1988" s="86">
        <v>45009</v>
      </c>
      <c r="I1988" s="61">
        <v>57527.1</v>
      </c>
    </row>
    <row r="1989" spans="2:9">
      <c r="B1989" s="86">
        <v>42832</v>
      </c>
      <c r="C1989" s="61">
        <v>12439.9</v>
      </c>
      <c r="H1989" s="86">
        <v>45012</v>
      </c>
      <c r="I1989" s="61">
        <v>57653.86</v>
      </c>
    </row>
    <row r="1990" spans="2:9">
      <c r="B1990" s="86">
        <v>42831</v>
      </c>
      <c r="C1990" s="61">
        <v>12525.97</v>
      </c>
      <c r="H1990" s="86">
        <v>45013</v>
      </c>
      <c r="I1990" s="61">
        <v>57613.72</v>
      </c>
    </row>
    <row r="1991" spans="2:9">
      <c r="B1991" s="86">
        <v>42830</v>
      </c>
      <c r="C1991" s="61">
        <v>12530.31</v>
      </c>
      <c r="H1991" s="86">
        <v>45014</v>
      </c>
      <c r="I1991" s="61">
        <v>57960.09</v>
      </c>
    </row>
    <row r="1992" spans="2:9">
      <c r="B1992" s="86">
        <v>42828</v>
      </c>
      <c r="C1992" s="61">
        <v>12493.39</v>
      </c>
      <c r="H1992" s="86">
        <v>45016</v>
      </c>
      <c r="I1992" s="61">
        <v>58991.519999999997</v>
      </c>
    </row>
    <row r="1993" spans="2:9">
      <c r="B1993" s="86">
        <v>42825</v>
      </c>
      <c r="C1993" s="61">
        <v>12406.69</v>
      </c>
      <c r="H1993" s="86">
        <v>45019</v>
      </c>
      <c r="I1993" s="61">
        <v>59106.44</v>
      </c>
    </row>
    <row r="1994" spans="2:9">
      <c r="B1994" s="86">
        <v>42824</v>
      </c>
      <c r="C1994" s="61">
        <v>12404.41</v>
      </c>
      <c r="H1994" s="86">
        <v>45021</v>
      </c>
      <c r="I1994" s="61">
        <v>59689.31</v>
      </c>
    </row>
    <row r="1995" spans="2:9">
      <c r="B1995" s="86">
        <v>42823</v>
      </c>
      <c r="C1995" s="61">
        <v>12363.95</v>
      </c>
      <c r="H1995" s="86">
        <v>45022</v>
      </c>
      <c r="I1995" s="61">
        <v>59832.97</v>
      </c>
    </row>
    <row r="1996" spans="2:9">
      <c r="B1996" s="86">
        <v>42822</v>
      </c>
      <c r="C1996" s="61">
        <v>12305.77</v>
      </c>
      <c r="H1996" s="86">
        <v>45026</v>
      </c>
      <c r="I1996" s="61">
        <v>59846.51</v>
      </c>
    </row>
    <row r="1997" spans="2:9">
      <c r="B1997" s="86">
        <v>42821</v>
      </c>
      <c r="C1997" s="61">
        <v>12230.63</v>
      </c>
      <c r="H1997" s="86">
        <v>45027</v>
      </c>
      <c r="I1997" s="61">
        <v>60157.72</v>
      </c>
    </row>
    <row r="1998" spans="2:9">
      <c r="B1998" s="86">
        <v>42818</v>
      </c>
      <c r="C1998" s="61">
        <v>12314.98</v>
      </c>
      <c r="H1998" s="86">
        <v>45028</v>
      </c>
      <c r="I1998" s="61">
        <v>60392.77</v>
      </c>
    </row>
    <row r="1999" spans="2:9">
      <c r="B1999" s="86">
        <v>42817</v>
      </c>
      <c r="C1999" s="61">
        <v>12283.35</v>
      </c>
      <c r="H1999" s="86">
        <v>45029</v>
      </c>
      <c r="I1999" s="61">
        <v>60431</v>
      </c>
    </row>
    <row r="2000" spans="2:9">
      <c r="B2000" s="86">
        <v>42816</v>
      </c>
      <c r="C2000" s="61">
        <v>12207.85</v>
      </c>
      <c r="H2000" s="86">
        <v>45033</v>
      </c>
      <c r="I2000" s="61">
        <v>59910.75</v>
      </c>
    </row>
    <row r="2001" spans="2:9">
      <c r="B2001" s="86">
        <v>42815</v>
      </c>
      <c r="C2001" s="61">
        <v>12330.92</v>
      </c>
      <c r="H2001" s="86">
        <v>45034</v>
      </c>
      <c r="I2001" s="61">
        <v>59727.01</v>
      </c>
    </row>
    <row r="2002" spans="2:9">
      <c r="B2002" s="86">
        <v>42814</v>
      </c>
      <c r="C2002" s="61">
        <v>12338.14</v>
      </c>
      <c r="H2002" s="86">
        <v>45035</v>
      </c>
      <c r="I2002" s="61">
        <v>59567.8</v>
      </c>
    </row>
    <row r="2003" spans="2:9">
      <c r="B2003" s="86">
        <v>42811</v>
      </c>
      <c r="C2003" s="61">
        <v>12383.04</v>
      </c>
      <c r="H2003" s="86">
        <v>45036</v>
      </c>
      <c r="I2003" s="61">
        <v>59632.35</v>
      </c>
    </row>
    <row r="2004" spans="2:9">
      <c r="B2004" s="86">
        <v>42810</v>
      </c>
      <c r="C2004" s="61">
        <v>12374.48</v>
      </c>
      <c r="H2004" s="86">
        <v>45037</v>
      </c>
      <c r="I2004" s="61">
        <v>59655.06</v>
      </c>
    </row>
    <row r="2005" spans="2:9">
      <c r="B2005" s="86">
        <v>42809</v>
      </c>
      <c r="C2005" s="61">
        <v>12278.23</v>
      </c>
      <c r="H2005" s="86">
        <v>45040</v>
      </c>
      <c r="I2005" s="61">
        <v>60056.1</v>
      </c>
    </row>
    <row r="2006" spans="2:9">
      <c r="B2006" s="86">
        <v>42808</v>
      </c>
      <c r="C2006" s="61">
        <v>12281.22</v>
      </c>
      <c r="H2006" s="86">
        <v>45041</v>
      </c>
      <c r="I2006" s="61">
        <v>60130.71</v>
      </c>
    </row>
    <row r="2007" spans="2:9">
      <c r="B2007" s="86">
        <v>42804</v>
      </c>
      <c r="C2007" s="61">
        <v>12066.4</v>
      </c>
      <c r="H2007" s="86">
        <v>45042</v>
      </c>
      <c r="I2007" s="61">
        <v>60300.58</v>
      </c>
    </row>
    <row r="2008" spans="2:9">
      <c r="B2008" s="86">
        <v>42803</v>
      </c>
      <c r="C2008" s="61">
        <v>12056.17</v>
      </c>
      <c r="H2008" s="86">
        <v>45043</v>
      </c>
      <c r="I2008" s="61">
        <v>60649.38</v>
      </c>
    </row>
    <row r="2009" spans="2:9">
      <c r="B2009" s="86">
        <v>42802</v>
      </c>
      <c r="C2009" s="61">
        <v>12050.77</v>
      </c>
      <c r="H2009" s="86">
        <v>45044</v>
      </c>
      <c r="I2009" s="61">
        <v>61112.44</v>
      </c>
    </row>
    <row r="2010" spans="2:9">
      <c r="B2010" s="86">
        <v>42801</v>
      </c>
      <c r="C2010" s="61">
        <v>12081.34</v>
      </c>
      <c r="H2010" s="86">
        <v>45048</v>
      </c>
      <c r="I2010" s="61">
        <v>61354.71</v>
      </c>
    </row>
    <row r="2011" spans="2:9">
      <c r="B2011" s="86">
        <v>42800</v>
      </c>
      <c r="C2011" s="61">
        <v>12103.68</v>
      </c>
      <c r="H2011" s="86">
        <v>45049</v>
      </c>
      <c r="I2011" s="61">
        <v>61193.3</v>
      </c>
    </row>
    <row r="2012" spans="2:9">
      <c r="B2012" s="86">
        <v>42797</v>
      </c>
      <c r="C2012" s="61">
        <v>12014.7</v>
      </c>
      <c r="H2012" s="86">
        <v>45050</v>
      </c>
      <c r="I2012" s="61">
        <v>61749.25</v>
      </c>
    </row>
    <row r="2013" spans="2:9">
      <c r="B2013" s="86">
        <v>42796</v>
      </c>
      <c r="C2013" s="61">
        <v>12017.63</v>
      </c>
      <c r="H2013" s="86">
        <v>45051</v>
      </c>
      <c r="I2013" s="61">
        <v>61054.29</v>
      </c>
    </row>
    <row r="2014" spans="2:9">
      <c r="B2014" s="86">
        <v>42795</v>
      </c>
      <c r="C2014" s="61">
        <v>12079.8</v>
      </c>
      <c r="H2014" s="86">
        <v>45054</v>
      </c>
      <c r="I2014" s="61">
        <v>61764.25</v>
      </c>
    </row>
    <row r="2015" spans="2:9">
      <c r="B2015" s="86">
        <v>42794</v>
      </c>
      <c r="C2015" s="61">
        <v>11990.44</v>
      </c>
      <c r="H2015" s="86">
        <v>45055</v>
      </c>
      <c r="I2015" s="61">
        <v>61761.33</v>
      </c>
    </row>
    <row r="2016" spans="2:9">
      <c r="B2016" s="86">
        <v>42793</v>
      </c>
      <c r="C2016" s="61">
        <v>12009.8</v>
      </c>
      <c r="H2016" s="86">
        <v>45056</v>
      </c>
      <c r="I2016" s="61">
        <v>61940.2</v>
      </c>
    </row>
    <row r="2017" spans="2:9">
      <c r="B2017" s="86">
        <v>42789</v>
      </c>
      <c r="C2017" s="61">
        <v>12067.61</v>
      </c>
      <c r="H2017" s="86">
        <v>45057</v>
      </c>
      <c r="I2017" s="61">
        <v>61904.52</v>
      </c>
    </row>
    <row r="2018" spans="2:9">
      <c r="B2018" s="86">
        <v>42788</v>
      </c>
      <c r="C2018" s="61">
        <v>12050.54</v>
      </c>
      <c r="H2018" s="86">
        <v>45058</v>
      </c>
      <c r="I2018" s="61">
        <v>62027.9</v>
      </c>
    </row>
    <row r="2019" spans="2:9">
      <c r="B2019" s="86">
        <v>42787</v>
      </c>
      <c r="C2019" s="61">
        <v>12024.88</v>
      </c>
      <c r="H2019" s="86">
        <v>45061</v>
      </c>
      <c r="I2019" s="61">
        <v>62345.71</v>
      </c>
    </row>
    <row r="2020" spans="2:9">
      <c r="B2020" s="86">
        <v>42786</v>
      </c>
      <c r="C2020" s="61">
        <v>11986.21</v>
      </c>
      <c r="H2020" s="86">
        <v>45062</v>
      </c>
      <c r="I2020" s="61">
        <v>61932.47</v>
      </c>
    </row>
    <row r="2021" spans="2:9">
      <c r="B2021" s="86">
        <v>42783</v>
      </c>
      <c r="C2021" s="61">
        <v>11908.56</v>
      </c>
      <c r="H2021" s="86">
        <v>45063</v>
      </c>
      <c r="I2021" s="61">
        <v>61560.639999999999</v>
      </c>
    </row>
    <row r="2022" spans="2:9">
      <c r="B2022" s="86">
        <v>42782</v>
      </c>
      <c r="C2022" s="61">
        <v>11849.55</v>
      </c>
      <c r="H2022" s="86">
        <v>45064</v>
      </c>
      <c r="I2022" s="61">
        <v>61431.74</v>
      </c>
    </row>
    <row r="2023" spans="2:9">
      <c r="B2023" s="86">
        <v>42781</v>
      </c>
      <c r="C2023" s="61">
        <v>11776.57</v>
      </c>
      <c r="H2023" s="86">
        <v>45065</v>
      </c>
      <c r="I2023" s="61">
        <v>61729.68</v>
      </c>
    </row>
    <row r="2024" spans="2:9">
      <c r="B2024" s="86">
        <v>42780</v>
      </c>
      <c r="C2024" s="61">
        <v>11865.43</v>
      </c>
      <c r="H2024" s="86">
        <v>45068</v>
      </c>
      <c r="I2024" s="61">
        <v>61963.68</v>
      </c>
    </row>
    <row r="2025" spans="2:9">
      <c r="B2025" s="86">
        <v>42779</v>
      </c>
      <c r="C2025" s="61">
        <v>11882.38</v>
      </c>
      <c r="H2025" s="86">
        <v>45069</v>
      </c>
      <c r="I2025" s="61">
        <v>61981.79</v>
      </c>
    </row>
    <row r="2026" spans="2:9">
      <c r="B2026" s="86">
        <v>42776</v>
      </c>
      <c r="C2026" s="61">
        <v>11866.82</v>
      </c>
      <c r="H2026" s="86">
        <v>45070</v>
      </c>
      <c r="I2026" s="61">
        <v>61773.78</v>
      </c>
    </row>
    <row r="2027" spans="2:9">
      <c r="B2027" s="86">
        <v>42775</v>
      </c>
      <c r="C2027" s="61">
        <v>11846.42</v>
      </c>
      <c r="H2027" s="86">
        <v>45071</v>
      </c>
      <c r="I2027" s="61">
        <v>61872.62</v>
      </c>
    </row>
    <row r="2028" spans="2:9">
      <c r="B2028" s="86">
        <v>42774</v>
      </c>
      <c r="C2028" s="61">
        <v>11833.8</v>
      </c>
      <c r="H2028" s="86">
        <v>45072</v>
      </c>
      <c r="I2028" s="61">
        <v>62501.69</v>
      </c>
    </row>
    <row r="2029" spans="2:9">
      <c r="B2029" s="86">
        <v>42773</v>
      </c>
      <c r="C2029" s="61">
        <v>11832.78</v>
      </c>
      <c r="H2029" s="86">
        <v>45075</v>
      </c>
      <c r="I2029" s="61">
        <v>62846.38</v>
      </c>
    </row>
    <row r="2030" spans="2:9">
      <c r="B2030" s="86">
        <v>42772</v>
      </c>
      <c r="C2030" s="61">
        <v>11874.73</v>
      </c>
      <c r="H2030" s="86">
        <v>45076</v>
      </c>
      <c r="I2030" s="61">
        <v>62969.13</v>
      </c>
    </row>
    <row r="2031" spans="2:9">
      <c r="B2031" s="86">
        <v>42769</v>
      </c>
      <c r="C2031" s="61">
        <v>11793.62</v>
      </c>
      <c r="H2031" s="86">
        <v>45077</v>
      </c>
      <c r="I2031" s="61">
        <v>62622.239999999998</v>
      </c>
    </row>
    <row r="2032" spans="2:9">
      <c r="B2032" s="86">
        <v>42768</v>
      </c>
      <c r="C2032" s="61">
        <v>11784.61</v>
      </c>
      <c r="H2032" s="86">
        <v>45078</v>
      </c>
      <c r="I2032" s="61">
        <v>62428.54</v>
      </c>
    </row>
    <row r="2033" spans="2:9">
      <c r="B2033" s="86">
        <v>42767</v>
      </c>
      <c r="C2033" s="61">
        <v>11758.63</v>
      </c>
      <c r="H2033" s="86">
        <v>45079</v>
      </c>
      <c r="I2033" s="61">
        <v>62547.11</v>
      </c>
    </row>
    <row r="2034" spans="2:9">
      <c r="B2034" s="86">
        <v>42766</v>
      </c>
      <c r="C2034" s="61">
        <v>11548.15</v>
      </c>
      <c r="H2034" s="86">
        <v>45082</v>
      </c>
      <c r="I2034" s="61">
        <v>62787.47</v>
      </c>
    </row>
    <row r="2035" spans="2:9">
      <c r="B2035" s="86">
        <v>42765</v>
      </c>
      <c r="C2035" s="61">
        <v>11644.53</v>
      </c>
      <c r="H2035" s="86">
        <v>45083</v>
      </c>
      <c r="I2035" s="61">
        <v>62792.88</v>
      </c>
    </row>
    <row r="2036" spans="2:9">
      <c r="B2036" s="86">
        <v>42762</v>
      </c>
      <c r="C2036" s="61">
        <v>11656</v>
      </c>
      <c r="H2036" s="86">
        <v>45084</v>
      </c>
      <c r="I2036" s="61">
        <v>63142.96</v>
      </c>
    </row>
    <row r="2037" spans="2:9">
      <c r="B2037" s="86">
        <v>42760</v>
      </c>
      <c r="C2037" s="61">
        <v>11604.09</v>
      </c>
      <c r="H2037" s="86">
        <v>45085</v>
      </c>
      <c r="I2037" s="61">
        <v>62848.639999999999</v>
      </c>
    </row>
    <row r="2038" spans="2:9">
      <c r="B2038" s="86">
        <v>42759</v>
      </c>
      <c r="C2038" s="61">
        <v>11432.83</v>
      </c>
      <c r="H2038" s="86">
        <v>45086</v>
      </c>
      <c r="I2038" s="61">
        <v>62625.63</v>
      </c>
    </row>
    <row r="2039" spans="2:9">
      <c r="B2039" s="86">
        <v>42758</v>
      </c>
      <c r="C2039" s="61">
        <v>11319.09</v>
      </c>
      <c r="H2039" s="86">
        <v>45089</v>
      </c>
      <c r="I2039" s="61">
        <v>62724.71</v>
      </c>
    </row>
    <row r="2040" spans="2:9">
      <c r="B2040" s="86">
        <v>42755</v>
      </c>
      <c r="C2040" s="61">
        <v>11260.99</v>
      </c>
      <c r="H2040" s="86">
        <v>45090</v>
      </c>
      <c r="I2040" s="61">
        <v>63143.16</v>
      </c>
    </row>
    <row r="2041" spans="2:9">
      <c r="B2041" s="86">
        <v>42754</v>
      </c>
      <c r="C2041" s="61">
        <v>11376.62</v>
      </c>
      <c r="H2041" s="86">
        <v>45091</v>
      </c>
      <c r="I2041" s="61">
        <v>63228.51</v>
      </c>
    </row>
    <row r="2042" spans="2:9">
      <c r="B2042" s="86">
        <v>42753</v>
      </c>
      <c r="C2042" s="61">
        <v>11352.22</v>
      </c>
      <c r="H2042" s="86">
        <v>45092</v>
      </c>
      <c r="I2042" s="61">
        <v>62917.63</v>
      </c>
    </row>
    <row r="2043" spans="2:9">
      <c r="B2043" s="86">
        <v>42752</v>
      </c>
      <c r="C2043" s="61">
        <v>11326.62</v>
      </c>
      <c r="H2043" s="86">
        <v>45093</v>
      </c>
      <c r="I2043" s="61">
        <v>63384.58</v>
      </c>
    </row>
    <row r="2044" spans="2:9">
      <c r="B2044" s="86">
        <v>42751</v>
      </c>
      <c r="C2044" s="61">
        <v>11346.57</v>
      </c>
      <c r="H2044" s="86">
        <v>45096</v>
      </c>
      <c r="I2044" s="61">
        <v>63168.3</v>
      </c>
    </row>
    <row r="2045" spans="2:9">
      <c r="B2045" s="86">
        <v>42748</v>
      </c>
      <c r="C2045" s="61">
        <v>11329.78</v>
      </c>
      <c r="H2045" s="86">
        <v>45097</v>
      </c>
      <c r="I2045" s="61">
        <v>63327.7</v>
      </c>
    </row>
    <row r="2046" spans="2:9">
      <c r="B2046" s="86">
        <v>42747</v>
      </c>
      <c r="C2046" s="61">
        <v>11339.04</v>
      </c>
      <c r="H2046" s="86">
        <v>45098</v>
      </c>
      <c r="I2046" s="61">
        <v>63523.15</v>
      </c>
    </row>
    <row r="2047" spans="2:9">
      <c r="B2047" s="86">
        <v>42746</v>
      </c>
      <c r="C2047" s="61">
        <v>11303.19</v>
      </c>
      <c r="H2047" s="86">
        <v>45099</v>
      </c>
      <c r="I2047" s="61">
        <v>63238.89</v>
      </c>
    </row>
    <row r="2048" spans="2:9">
      <c r="B2048" s="86">
        <v>42745</v>
      </c>
      <c r="C2048" s="61">
        <v>11179.04</v>
      </c>
      <c r="H2048" s="86">
        <v>45100</v>
      </c>
      <c r="I2048" s="61">
        <v>62979.37</v>
      </c>
    </row>
    <row r="2049" spans="2:9">
      <c r="B2049" s="86">
        <v>42744</v>
      </c>
      <c r="C2049" s="61">
        <v>11108.2</v>
      </c>
      <c r="H2049" s="86">
        <v>45103</v>
      </c>
      <c r="I2049" s="61">
        <v>62970</v>
      </c>
    </row>
    <row r="2050" spans="2:9">
      <c r="B2050" s="86">
        <v>42741</v>
      </c>
      <c r="C2050" s="61">
        <v>11118.62</v>
      </c>
      <c r="H2050" s="86">
        <v>45104</v>
      </c>
      <c r="I2050" s="61">
        <v>63416.03</v>
      </c>
    </row>
    <row r="2051" spans="2:9">
      <c r="B2051" s="86">
        <v>42740</v>
      </c>
      <c r="C2051" s="61">
        <v>11159.12</v>
      </c>
      <c r="H2051" s="86">
        <v>45105</v>
      </c>
      <c r="I2051" s="61">
        <v>63915.42</v>
      </c>
    </row>
    <row r="2052" spans="2:9">
      <c r="B2052" s="86">
        <v>42739</v>
      </c>
      <c r="C2052" s="61">
        <v>11046.76</v>
      </c>
      <c r="H2052" s="86">
        <v>45107</v>
      </c>
      <c r="I2052" s="61">
        <v>64718.559999999998</v>
      </c>
    </row>
    <row r="2053" spans="2:9">
      <c r="B2053" s="86">
        <v>42738</v>
      </c>
      <c r="C2053" s="61">
        <v>11049.08</v>
      </c>
      <c r="H2053" s="86">
        <v>45110</v>
      </c>
      <c r="I2053" s="61">
        <v>65205.05</v>
      </c>
    </row>
    <row r="2054" spans="2:9">
      <c r="B2054" s="86">
        <v>42737</v>
      </c>
      <c r="C2054" s="61">
        <v>11031.91</v>
      </c>
      <c r="H2054" s="86">
        <v>45111</v>
      </c>
      <c r="I2054" s="61">
        <v>65479.05</v>
      </c>
    </row>
    <row r="2055" spans="2:9">
      <c r="B2055" s="86">
        <v>42734</v>
      </c>
      <c r="C2055" s="61">
        <v>11040.41</v>
      </c>
      <c r="H2055" s="86">
        <v>45112</v>
      </c>
      <c r="I2055" s="61">
        <v>65446.04</v>
      </c>
    </row>
    <row r="2056" spans="2:9">
      <c r="B2056" s="86">
        <v>42733</v>
      </c>
      <c r="C2056" s="61">
        <v>10929.53</v>
      </c>
      <c r="H2056" s="86">
        <v>45113</v>
      </c>
      <c r="I2056" s="61">
        <v>65785.64</v>
      </c>
    </row>
    <row r="2057" spans="2:9">
      <c r="B2057" s="86">
        <v>42732</v>
      </c>
      <c r="C2057" s="61">
        <v>10836.85</v>
      </c>
      <c r="H2057" s="86">
        <v>45114</v>
      </c>
      <c r="I2057" s="61">
        <v>65280.45</v>
      </c>
    </row>
    <row r="2058" spans="2:9">
      <c r="B2058" s="86">
        <v>42731</v>
      </c>
      <c r="C2058" s="61">
        <v>10834.12</v>
      </c>
      <c r="H2058" s="86">
        <v>45117</v>
      </c>
      <c r="I2058" s="61">
        <v>65344.17</v>
      </c>
    </row>
    <row r="2059" spans="2:9">
      <c r="B2059" s="86">
        <v>42730</v>
      </c>
      <c r="C2059" s="61">
        <v>10666.06</v>
      </c>
      <c r="H2059" s="86">
        <v>45118</v>
      </c>
      <c r="I2059" s="61">
        <v>65617.84</v>
      </c>
    </row>
    <row r="2060" spans="2:9">
      <c r="B2060" s="86">
        <v>42727</v>
      </c>
      <c r="C2060" s="61">
        <v>10770.6</v>
      </c>
      <c r="H2060" s="86">
        <v>45119</v>
      </c>
      <c r="I2060" s="61">
        <v>65393.9</v>
      </c>
    </row>
    <row r="2061" spans="2:9">
      <c r="B2061" s="86">
        <v>42726</v>
      </c>
      <c r="C2061" s="61">
        <v>10761.65</v>
      </c>
      <c r="H2061" s="86">
        <v>45120</v>
      </c>
      <c r="I2061" s="61">
        <v>65558.89</v>
      </c>
    </row>
    <row r="2062" spans="2:9">
      <c r="B2062" s="86">
        <v>42725</v>
      </c>
      <c r="C2062" s="61">
        <v>10872.49</v>
      </c>
      <c r="H2062" s="86">
        <v>45121</v>
      </c>
      <c r="I2062" s="61">
        <v>66060.899999999994</v>
      </c>
    </row>
    <row r="2063" spans="2:9">
      <c r="B2063" s="86">
        <v>42724</v>
      </c>
      <c r="C2063" s="61">
        <v>10900.96</v>
      </c>
      <c r="H2063" s="86">
        <v>45124</v>
      </c>
      <c r="I2063" s="61">
        <v>66589.929999999993</v>
      </c>
    </row>
    <row r="2064" spans="2:9">
      <c r="B2064" s="86">
        <v>42723</v>
      </c>
      <c r="C2064" s="61">
        <v>10930.55</v>
      </c>
      <c r="H2064" s="86">
        <v>45125</v>
      </c>
      <c r="I2064" s="61">
        <v>66795.14</v>
      </c>
    </row>
    <row r="2065" spans="2:9">
      <c r="B2065" s="86">
        <v>42720</v>
      </c>
      <c r="C2065" s="61">
        <v>10977.91</v>
      </c>
      <c r="H2065" s="86">
        <v>45126</v>
      </c>
      <c r="I2065" s="61">
        <v>67097.440000000002</v>
      </c>
    </row>
    <row r="2066" spans="2:9">
      <c r="B2066" s="86">
        <v>42719</v>
      </c>
      <c r="C2066" s="61">
        <v>10997.01</v>
      </c>
      <c r="H2066" s="86">
        <v>45127</v>
      </c>
      <c r="I2066" s="61">
        <v>67571.899999999994</v>
      </c>
    </row>
    <row r="2067" spans="2:9">
      <c r="B2067" s="86">
        <v>42718</v>
      </c>
      <c r="C2067" s="61">
        <v>11035.88</v>
      </c>
      <c r="H2067" s="86">
        <v>45128</v>
      </c>
      <c r="I2067" s="61">
        <v>66684.259999999995</v>
      </c>
    </row>
    <row r="2068" spans="2:9">
      <c r="B2068" s="86">
        <v>42717</v>
      </c>
      <c r="C2068" s="61">
        <v>11088.99</v>
      </c>
      <c r="H2068" s="86">
        <v>45131</v>
      </c>
      <c r="I2068" s="61">
        <v>66384.78</v>
      </c>
    </row>
    <row r="2069" spans="2:9">
      <c r="B2069" s="86">
        <v>42716</v>
      </c>
      <c r="C2069" s="61">
        <v>11020.15</v>
      </c>
      <c r="H2069" s="86">
        <v>45132</v>
      </c>
      <c r="I2069" s="61">
        <v>66355.710000000006</v>
      </c>
    </row>
    <row r="2070" spans="2:9">
      <c r="B2070" s="86">
        <v>42713</v>
      </c>
      <c r="C2070" s="61">
        <v>11142.82</v>
      </c>
      <c r="H2070" s="86">
        <v>45133</v>
      </c>
      <c r="I2070" s="61">
        <v>66707.199999999997</v>
      </c>
    </row>
    <row r="2071" spans="2:9">
      <c r="B2071" s="86">
        <v>42712</v>
      </c>
      <c r="C2071" s="61">
        <v>11122.75</v>
      </c>
      <c r="H2071" s="86">
        <v>45134</v>
      </c>
      <c r="I2071" s="61">
        <v>66266.820000000007</v>
      </c>
    </row>
    <row r="2072" spans="2:9">
      <c r="B2072" s="86">
        <v>42711</v>
      </c>
      <c r="C2072" s="61">
        <v>10927.43</v>
      </c>
      <c r="H2072" s="86">
        <v>45135</v>
      </c>
      <c r="I2072" s="61">
        <v>66160.2</v>
      </c>
    </row>
    <row r="2073" spans="2:9">
      <c r="B2073" s="86">
        <v>42710</v>
      </c>
      <c r="C2073" s="61">
        <v>10982.89</v>
      </c>
      <c r="H2073" s="86">
        <v>45138</v>
      </c>
      <c r="I2073" s="61">
        <v>66527.67</v>
      </c>
    </row>
    <row r="2074" spans="2:9">
      <c r="B2074" s="86">
        <v>42709</v>
      </c>
      <c r="C2074" s="61">
        <v>10963.49</v>
      </c>
      <c r="H2074" s="86">
        <v>45139</v>
      </c>
      <c r="I2074" s="61">
        <v>66459.31</v>
      </c>
    </row>
    <row r="2075" spans="2:9">
      <c r="B2075" s="86">
        <v>42706</v>
      </c>
      <c r="C2075" s="61">
        <v>10906.86</v>
      </c>
      <c r="H2075" s="86">
        <v>45140</v>
      </c>
      <c r="I2075" s="61">
        <v>65782.78</v>
      </c>
    </row>
    <row r="2076" spans="2:9">
      <c r="B2076" s="86">
        <v>42705</v>
      </c>
      <c r="C2076" s="61">
        <v>11050</v>
      </c>
      <c r="H2076" s="86">
        <v>45141</v>
      </c>
      <c r="I2076" s="61">
        <v>65240.68</v>
      </c>
    </row>
    <row r="2077" spans="2:9">
      <c r="B2077" s="86">
        <v>42704</v>
      </c>
      <c r="C2077" s="61">
        <v>11092.59</v>
      </c>
      <c r="H2077" s="86">
        <v>45142</v>
      </c>
      <c r="I2077" s="61">
        <v>65721.25</v>
      </c>
    </row>
    <row r="2078" spans="2:9">
      <c r="B2078" s="86">
        <v>42703</v>
      </c>
      <c r="C2078" s="61">
        <v>10981.54</v>
      </c>
      <c r="H2078" s="86">
        <v>45145</v>
      </c>
      <c r="I2078" s="61">
        <v>65721.25</v>
      </c>
    </row>
    <row r="2079" spans="2:9">
      <c r="B2079" s="86">
        <v>42702</v>
      </c>
      <c r="C2079" s="61">
        <v>10960.97</v>
      </c>
      <c r="H2079" s="86">
        <v>45146</v>
      </c>
      <c r="I2079" s="61">
        <v>65846.5</v>
      </c>
    </row>
    <row r="2080" spans="2:9">
      <c r="B2080" s="86">
        <v>42699</v>
      </c>
      <c r="C2080" s="61">
        <v>10943.99</v>
      </c>
      <c r="H2080" s="86">
        <v>45147</v>
      </c>
      <c r="I2080" s="61">
        <v>65995.81</v>
      </c>
    </row>
    <row r="2081" spans="2:9">
      <c r="B2081" s="86">
        <v>42698</v>
      </c>
      <c r="C2081" s="61">
        <v>10743.28</v>
      </c>
      <c r="H2081" s="86">
        <v>45148</v>
      </c>
      <c r="I2081" s="61">
        <v>65688.179999999993</v>
      </c>
    </row>
    <row r="2082" spans="2:9">
      <c r="B2082" s="86">
        <v>42697</v>
      </c>
      <c r="C2082" s="61">
        <v>10834.59</v>
      </c>
      <c r="H2082" s="86">
        <v>45149</v>
      </c>
      <c r="I2082" s="61">
        <v>65322.65</v>
      </c>
    </row>
    <row r="2083" spans="2:9">
      <c r="B2083" s="86">
        <v>42696</v>
      </c>
      <c r="C2083" s="61">
        <v>10792.82</v>
      </c>
      <c r="H2083" s="86">
        <v>45152</v>
      </c>
      <c r="I2083" s="61">
        <v>65401.919999999998</v>
      </c>
    </row>
    <row r="2084" spans="2:9">
      <c r="B2084" s="86">
        <v>42695</v>
      </c>
      <c r="C2084" s="61">
        <v>10694.09</v>
      </c>
      <c r="H2084" s="86">
        <v>45154</v>
      </c>
      <c r="I2084" s="61">
        <v>65539.42</v>
      </c>
    </row>
    <row r="2085" spans="2:9">
      <c r="B2085" s="86">
        <v>42692</v>
      </c>
      <c r="C2085" s="61">
        <v>10889.64</v>
      </c>
      <c r="H2085" s="86">
        <v>45155</v>
      </c>
      <c r="I2085" s="61">
        <v>65151.02</v>
      </c>
    </row>
    <row r="2086" spans="2:9">
      <c r="B2086" s="86">
        <v>42691</v>
      </c>
      <c r="C2086" s="61">
        <v>10897.55</v>
      </c>
      <c r="H2086" s="86">
        <v>45156</v>
      </c>
      <c r="I2086" s="61">
        <v>64948.66</v>
      </c>
    </row>
    <row r="2087" spans="2:9">
      <c r="B2087" s="86">
        <v>42690</v>
      </c>
      <c r="C2087" s="61">
        <v>10940.23</v>
      </c>
      <c r="H2087" s="86">
        <v>45159</v>
      </c>
      <c r="I2087" s="61">
        <v>65216.09</v>
      </c>
    </row>
    <row r="2088" spans="2:9">
      <c r="B2088" s="86">
        <v>42689</v>
      </c>
      <c r="C2088" s="61">
        <v>10935.99</v>
      </c>
      <c r="H2088" s="86">
        <v>45160</v>
      </c>
      <c r="I2088" s="61">
        <v>65220.03</v>
      </c>
    </row>
    <row r="2089" spans="2:9">
      <c r="B2089" s="86">
        <v>42685</v>
      </c>
      <c r="C2089" s="61">
        <v>11189.3</v>
      </c>
      <c r="H2089" s="86">
        <v>45161</v>
      </c>
      <c r="I2089" s="61">
        <v>65433.3</v>
      </c>
    </row>
    <row r="2090" spans="2:9">
      <c r="B2090" s="86">
        <v>42684</v>
      </c>
      <c r="C2090" s="61">
        <v>11498.79</v>
      </c>
      <c r="H2090" s="86">
        <v>45162</v>
      </c>
      <c r="I2090" s="61">
        <v>65252.34</v>
      </c>
    </row>
    <row r="2091" spans="2:9">
      <c r="B2091" s="86">
        <v>42683</v>
      </c>
      <c r="C2091" s="61">
        <v>11372.35</v>
      </c>
      <c r="H2091" s="86">
        <v>45163</v>
      </c>
      <c r="I2091" s="61">
        <v>64886.51</v>
      </c>
    </row>
    <row r="2092" spans="2:9">
      <c r="B2092" s="86">
        <v>42682</v>
      </c>
      <c r="C2092" s="61">
        <v>11522.76</v>
      </c>
      <c r="H2092" s="86">
        <v>45166</v>
      </c>
      <c r="I2092" s="61">
        <v>64996.6</v>
      </c>
    </row>
    <row r="2093" spans="2:9">
      <c r="B2093" s="86">
        <v>42681</v>
      </c>
      <c r="C2093" s="61">
        <v>11460.08</v>
      </c>
      <c r="H2093" s="86">
        <v>45167</v>
      </c>
      <c r="I2093" s="61">
        <v>65075.82</v>
      </c>
    </row>
    <row r="2094" spans="2:9">
      <c r="B2094" s="86">
        <v>42678</v>
      </c>
      <c r="C2094" s="61">
        <v>11374.71</v>
      </c>
      <c r="H2094" s="86">
        <v>45168</v>
      </c>
      <c r="I2094" s="61">
        <v>65087.25</v>
      </c>
    </row>
    <row r="2095" spans="2:9">
      <c r="B2095" s="86">
        <v>42677</v>
      </c>
      <c r="C2095" s="61">
        <v>11443.72</v>
      </c>
      <c r="H2095" s="86">
        <v>45169</v>
      </c>
      <c r="I2095" s="61">
        <v>64831.41</v>
      </c>
    </row>
    <row r="2096" spans="2:9">
      <c r="B2096" s="86">
        <v>42676</v>
      </c>
      <c r="C2096" s="61">
        <v>11479.94</v>
      </c>
      <c r="H2096" s="86">
        <v>45170</v>
      </c>
      <c r="I2096" s="61">
        <v>65387.16</v>
      </c>
    </row>
    <row r="2097" spans="2:9">
      <c r="B2097" s="86">
        <v>42675</v>
      </c>
      <c r="C2097" s="61">
        <v>11631.33</v>
      </c>
      <c r="H2097" s="86">
        <v>45173</v>
      </c>
      <c r="I2097" s="61">
        <v>65628.14</v>
      </c>
    </row>
    <row r="2098" spans="2:9">
      <c r="B2098" s="86">
        <v>42673</v>
      </c>
      <c r="C2098" s="61">
        <v>11628.32</v>
      </c>
      <c r="H2098" s="86">
        <v>45174</v>
      </c>
      <c r="I2098" s="61">
        <v>65780.259999999995</v>
      </c>
    </row>
    <row r="2099" spans="2:9">
      <c r="B2099" s="86">
        <v>42671</v>
      </c>
      <c r="C2099" s="61">
        <v>11644.89</v>
      </c>
      <c r="H2099" s="86">
        <v>45175</v>
      </c>
      <c r="I2099" s="61">
        <v>65880.52</v>
      </c>
    </row>
    <row r="2100" spans="2:9">
      <c r="B2100" s="86">
        <v>42670</v>
      </c>
      <c r="C2100" s="61">
        <v>11614.18</v>
      </c>
      <c r="H2100" s="86">
        <v>45176</v>
      </c>
      <c r="I2100" s="61">
        <v>66265.56</v>
      </c>
    </row>
    <row r="2101" spans="2:9">
      <c r="B2101" s="86">
        <v>42669</v>
      </c>
      <c r="C2101" s="61">
        <v>11612.99</v>
      </c>
      <c r="H2101" s="86">
        <v>45177</v>
      </c>
      <c r="I2101" s="61">
        <v>66598.91</v>
      </c>
    </row>
    <row r="2102" spans="2:9">
      <c r="B2102" s="86">
        <v>42668</v>
      </c>
      <c r="C2102" s="61">
        <v>11715.45</v>
      </c>
      <c r="H2102" s="86">
        <v>45180</v>
      </c>
      <c r="I2102" s="61">
        <v>67127.08</v>
      </c>
    </row>
    <row r="2103" spans="2:9">
      <c r="B2103" s="86">
        <v>42667</v>
      </c>
      <c r="C2103" s="61">
        <v>11739.24</v>
      </c>
      <c r="H2103" s="86">
        <v>45181</v>
      </c>
      <c r="I2103" s="61">
        <v>67221.13</v>
      </c>
    </row>
    <row r="2104" spans="2:9">
      <c r="B2104" s="86">
        <v>42664</v>
      </c>
      <c r="C2104" s="61">
        <v>11716.57</v>
      </c>
      <c r="H2104" s="86">
        <v>45182</v>
      </c>
      <c r="I2104" s="61">
        <v>67466.990000000005</v>
      </c>
    </row>
    <row r="2105" spans="2:9">
      <c r="B2105" s="86">
        <v>42663</v>
      </c>
      <c r="C2105" s="61">
        <v>11717.04</v>
      </c>
      <c r="H2105" s="86">
        <v>45183</v>
      </c>
      <c r="I2105" s="61">
        <v>67519</v>
      </c>
    </row>
    <row r="2106" spans="2:9">
      <c r="B2106" s="86">
        <v>42662</v>
      </c>
      <c r="C2106" s="61">
        <v>11662.81</v>
      </c>
      <c r="H2106" s="86">
        <v>45184</v>
      </c>
      <c r="I2106" s="61">
        <v>67838.63</v>
      </c>
    </row>
    <row r="2107" spans="2:9">
      <c r="B2107" s="86">
        <v>42661</v>
      </c>
      <c r="C2107" s="61">
        <v>11688.13</v>
      </c>
      <c r="H2107" s="86">
        <v>45187</v>
      </c>
      <c r="I2107" s="61">
        <v>67596.84</v>
      </c>
    </row>
    <row r="2108" spans="2:9">
      <c r="B2108" s="86">
        <v>42660</v>
      </c>
      <c r="C2108" s="61">
        <v>11475.97</v>
      </c>
      <c r="H2108" s="86">
        <v>45189</v>
      </c>
      <c r="I2108" s="61">
        <v>66800.84</v>
      </c>
    </row>
    <row r="2109" spans="2:9">
      <c r="B2109" s="86">
        <v>42657</v>
      </c>
      <c r="C2109" s="61">
        <v>11560.81</v>
      </c>
      <c r="H2109" s="86">
        <v>45190</v>
      </c>
      <c r="I2109" s="61">
        <v>66230.240000000005</v>
      </c>
    </row>
    <row r="2110" spans="2:9">
      <c r="B2110" s="86">
        <v>42656</v>
      </c>
      <c r="C2110" s="61">
        <v>11547.3</v>
      </c>
      <c r="H2110" s="86">
        <v>45191</v>
      </c>
      <c r="I2110" s="61">
        <v>66009.149999999994</v>
      </c>
    </row>
    <row r="2111" spans="2:9">
      <c r="B2111" s="86">
        <v>42653</v>
      </c>
      <c r="C2111" s="61">
        <v>11729.75</v>
      </c>
      <c r="H2111" s="86">
        <v>45194</v>
      </c>
      <c r="I2111" s="61">
        <v>66023.69</v>
      </c>
    </row>
    <row r="2112" spans="2:9">
      <c r="B2112" s="86">
        <v>42650</v>
      </c>
      <c r="C2112" s="61">
        <v>11714.65</v>
      </c>
      <c r="H2112" s="86">
        <v>45195</v>
      </c>
      <c r="I2112" s="61">
        <v>65945.47</v>
      </c>
    </row>
    <row r="2113" spans="2:9">
      <c r="B2113" s="86">
        <v>42649</v>
      </c>
      <c r="C2113" s="61">
        <v>11730.75</v>
      </c>
      <c r="H2113" s="86">
        <v>45196</v>
      </c>
      <c r="I2113" s="61">
        <v>66118.69</v>
      </c>
    </row>
    <row r="2114" spans="2:9">
      <c r="B2114" s="86">
        <v>42648</v>
      </c>
      <c r="C2114" s="61">
        <v>11777.1</v>
      </c>
      <c r="H2114" s="86">
        <v>45197</v>
      </c>
      <c r="I2114" s="61">
        <v>65508.32</v>
      </c>
    </row>
    <row r="2115" spans="2:9">
      <c r="B2115" s="86">
        <v>42647</v>
      </c>
      <c r="C2115" s="61">
        <v>11811.04</v>
      </c>
      <c r="H2115" s="86">
        <v>45198</v>
      </c>
      <c r="I2115" s="61">
        <v>65828.41</v>
      </c>
    </row>
    <row r="2116" spans="2:9">
      <c r="B2116" s="86">
        <v>42646</v>
      </c>
      <c r="C2116" s="61">
        <v>11769.16</v>
      </c>
      <c r="H2116" s="86">
        <v>45202</v>
      </c>
      <c r="I2116" s="61">
        <v>65512.1</v>
      </c>
    </row>
    <row r="2117" spans="2:9">
      <c r="B2117" s="86">
        <v>42643</v>
      </c>
      <c r="C2117" s="61">
        <v>11598.22</v>
      </c>
      <c r="H2117" s="86">
        <v>45203</v>
      </c>
      <c r="I2117" s="61">
        <v>65226.04</v>
      </c>
    </row>
    <row r="2118" spans="2:9">
      <c r="B2118" s="86">
        <v>42642</v>
      </c>
      <c r="C2118" s="61">
        <v>11571.4</v>
      </c>
      <c r="H2118" s="86">
        <v>45204</v>
      </c>
      <c r="I2118" s="61">
        <v>65631.570000000007</v>
      </c>
    </row>
    <row r="2119" spans="2:9">
      <c r="B2119" s="86">
        <v>42641</v>
      </c>
      <c r="C2119" s="61">
        <v>11778.71</v>
      </c>
      <c r="H2119" s="86">
        <v>45205</v>
      </c>
      <c r="I2119" s="61">
        <v>65995.63</v>
      </c>
    </row>
    <row r="2120" spans="2:9">
      <c r="B2120" s="86">
        <v>42640</v>
      </c>
      <c r="C2120" s="61">
        <v>11726.49</v>
      </c>
      <c r="H2120" s="86">
        <v>45208</v>
      </c>
      <c r="I2120" s="61">
        <v>65512.39</v>
      </c>
    </row>
    <row r="2121" spans="2:9">
      <c r="B2121" s="86">
        <v>42639</v>
      </c>
      <c r="C2121" s="61">
        <v>11748.91</v>
      </c>
      <c r="H2121" s="86">
        <v>45209</v>
      </c>
      <c r="I2121" s="61">
        <v>66079.360000000001</v>
      </c>
    </row>
    <row r="2122" spans="2:9">
      <c r="B2122" s="86">
        <v>42636</v>
      </c>
      <c r="C2122" s="61">
        <v>11895.07</v>
      </c>
      <c r="H2122" s="86">
        <v>45210</v>
      </c>
      <c r="I2122" s="61">
        <v>66473.05</v>
      </c>
    </row>
    <row r="2123" spans="2:9">
      <c r="B2123" s="86">
        <v>42635</v>
      </c>
      <c r="C2123" s="61">
        <v>11943.44</v>
      </c>
      <c r="H2123" s="86">
        <v>45211</v>
      </c>
      <c r="I2123" s="61">
        <v>66408.39</v>
      </c>
    </row>
    <row r="2124" spans="2:9">
      <c r="B2124" s="86">
        <v>42634</v>
      </c>
      <c r="C2124" s="61">
        <v>11821.52</v>
      </c>
      <c r="H2124" s="86">
        <v>45212</v>
      </c>
      <c r="I2124" s="61">
        <v>66282.740000000005</v>
      </c>
    </row>
    <row r="2125" spans="2:9">
      <c r="B2125" s="86">
        <v>42633</v>
      </c>
      <c r="C2125" s="61">
        <v>11819.83</v>
      </c>
      <c r="H2125" s="86">
        <v>45215</v>
      </c>
      <c r="I2125" s="61">
        <v>66166.929999999993</v>
      </c>
    </row>
    <row r="2126" spans="2:9">
      <c r="B2126" s="86">
        <v>42632</v>
      </c>
      <c r="C2126" s="61">
        <v>11863.61</v>
      </c>
      <c r="H2126" s="86">
        <v>45216</v>
      </c>
      <c r="I2126" s="61">
        <v>66428.09</v>
      </c>
    </row>
    <row r="2127" spans="2:9">
      <c r="B2127" s="86">
        <v>42629</v>
      </c>
      <c r="C2127" s="61">
        <v>11825.12</v>
      </c>
      <c r="H2127" s="86">
        <v>45217</v>
      </c>
      <c r="I2127" s="61">
        <v>65877.02</v>
      </c>
    </row>
    <row r="2128" spans="2:9">
      <c r="B2128" s="86">
        <v>42628</v>
      </c>
      <c r="C2128" s="61">
        <v>11774.9</v>
      </c>
      <c r="H2128" s="86">
        <v>45218</v>
      </c>
      <c r="I2128" s="61">
        <v>65629.240000000005</v>
      </c>
    </row>
    <row r="2129" spans="2:9">
      <c r="B2129" s="86">
        <v>42627</v>
      </c>
      <c r="C2129" s="61">
        <v>11751.93</v>
      </c>
      <c r="H2129" s="86">
        <v>45219</v>
      </c>
      <c r="I2129" s="61">
        <v>65397.62</v>
      </c>
    </row>
    <row r="2130" spans="2:9">
      <c r="B2130" s="86">
        <v>42625</v>
      </c>
      <c r="C2130" s="61">
        <v>11737</v>
      </c>
      <c r="H2130" s="86">
        <v>45222</v>
      </c>
      <c r="I2130" s="61">
        <v>64571.88</v>
      </c>
    </row>
    <row r="2131" spans="2:9">
      <c r="B2131" s="86">
        <v>42622</v>
      </c>
      <c r="C2131" s="61">
        <v>11940.12</v>
      </c>
      <c r="H2131" s="86">
        <v>45224</v>
      </c>
      <c r="I2131" s="61">
        <v>64049.06</v>
      </c>
    </row>
    <row r="2132" spans="2:9">
      <c r="B2132" s="86">
        <v>42621</v>
      </c>
      <c r="C2132" s="61">
        <v>12055.6</v>
      </c>
      <c r="H2132" s="86">
        <v>45225</v>
      </c>
      <c r="I2132" s="61">
        <v>63148.15</v>
      </c>
    </row>
    <row r="2133" spans="2:9">
      <c r="B2133" s="86">
        <v>42620</v>
      </c>
      <c r="C2133" s="61">
        <v>12005.43</v>
      </c>
      <c r="H2133" s="86">
        <v>45226</v>
      </c>
      <c r="I2133" s="61">
        <v>63782.8</v>
      </c>
    </row>
    <row r="2134" spans="2:9">
      <c r="B2134" s="86">
        <v>42619</v>
      </c>
      <c r="C2134" s="61">
        <v>12037.72</v>
      </c>
      <c r="H2134" s="86">
        <v>45229</v>
      </c>
      <c r="I2134" s="61">
        <v>64112.65</v>
      </c>
    </row>
    <row r="2135" spans="2:9">
      <c r="B2135" s="86">
        <v>42615</v>
      </c>
      <c r="C2135" s="61">
        <v>11857.76</v>
      </c>
      <c r="H2135" s="86">
        <v>45230</v>
      </c>
      <c r="I2135" s="61">
        <v>63874.93</v>
      </c>
    </row>
    <row r="2136" spans="2:9">
      <c r="B2136" s="86">
        <v>42614</v>
      </c>
      <c r="C2136" s="61">
        <v>11810.69</v>
      </c>
      <c r="H2136" s="86">
        <v>45231</v>
      </c>
      <c r="I2136" s="61">
        <v>63591.33</v>
      </c>
    </row>
    <row r="2137" spans="2:9">
      <c r="B2137" s="86">
        <v>42613</v>
      </c>
      <c r="C2137" s="61">
        <v>11826.19</v>
      </c>
      <c r="H2137" s="86">
        <v>45232</v>
      </c>
      <c r="I2137" s="61">
        <v>64080.9</v>
      </c>
    </row>
    <row r="2138" spans="2:9">
      <c r="B2138" s="86">
        <v>42612</v>
      </c>
      <c r="C2138" s="61">
        <v>11766.04</v>
      </c>
      <c r="H2138" s="86">
        <v>45233</v>
      </c>
      <c r="I2138" s="61">
        <v>64363.78</v>
      </c>
    </row>
    <row r="2139" spans="2:9">
      <c r="B2139" s="86">
        <v>42611</v>
      </c>
      <c r="C2139" s="61">
        <v>11581.83</v>
      </c>
      <c r="H2139" s="86">
        <v>45236</v>
      </c>
      <c r="I2139" s="61">
        <v>64958.69</v>
      </c>
    </row>
    <row r="2140" spans="2:9">
      <c r="B2140" s="86">
        <v>42608</v>
      </c>
      <c r="C2140" s="61">
        <v>11534.92</v>
      </c>
      <c r="H2140" s="86">
        <v>45237</v>
      </c>
      <c r="I2140" s="61">
        <v>64942.400000000001</v>
      </c>
    </row>
    <row r="2141" spans="2:9">
      <c r="B2141" s="86">
        <v>42607</v>
      </c>
      <c r="C2141" s="61">
        <v>11561.34</v>
      </c>
      <c r="H2141" s="86">
        <v>45238</v>
      </c>
      <c r="I2141" s="61">
        <v>64975.61</v>
      </c>
    </row>
    <row r="2142" spans="2:9">
      <c r="B2142" s="86">
        <v>42606</v>
      </c>
      <c r="C2142" s="61">
        <v>11639.48</v>
      </c>
      <c r="H2142" s="86">
        <v>45239</v>
      </c>
      <c r="I2142" s="61">
        <v>64832.2</v>
      </c>
    </row>
    <row r="2143" spans="2:9">
      <c r="B2143" s="86">
        <v>42605</v>
      </c>
      <c r="C2143" s="61">
        <v>11615.7</v>
      </c>
      <c r="H2143" s="86">
        <v>45240</v>
      </c>
      <c r="I2143" s="61">
        <v>64904.68</v>
      </c>
    </row>
    <row r="2144" spans="2:9">
      <c r="B2144" s="86">
        <v>42604</v>
      </c>
      <c r="C2144" s="61">
        <v>11611.02</v>
      </c>
      <c r="H2144" s="86">
        <v>45242</v>
      </c>
      <c r="I2144" s="61">
        <v>65259.45</v>
      </c>
    </row>
    <row r="2145" spans="2:9">
      <c r="B2145" s="86">
        <v>42601</v>
      </c>
      <c r="C2145" s="61">
        <v>11661.82</v>
      </c>
      <c r="H2145" s="86">
        <v>45243</v>
      </c>
      <c r="I2145" s="61">
        <v>64933.87</v>
      </c>
    </row>
    <row r="2146" spans="2:9">
      <c r="B2146" s="86">
        <v>42600</v>
      </c>
      <c r="C2146" s="61">
        <v>11670.37</v>
      </c>
      <c r="H2146" s="86">
        <v>45245</v>
      </c>
      <c r="I2146" s="61">
        <v>65675.929999999993</v>
      </c>
    </row>
    <row r="2147" spans="2:9">
      <c r="B2147" s="86">
        <v>42599</v>
      </c>
      <c r="C2147" s="61">
        <v>11598.72</v>
      </c>
      <c r="H2147" s="86">
        <v>45246</v>
      </c>
      <c r="I2147" s="61">
        <v>65982.48</v>
      </c>
    </row>
    <row r="2148" spans="2:9">
      <c r="B2148" s="86">
        <v>42598</v>
      </c>
      <c r="C2148" s="61">
        <v>11623.61</v>
      </c>
      <c r="H2148" s="86">
        <v>45247</v>
      </c>
      <c r="I2148" s="61">
        <v>65794.73</v>
      </c>
    </row>
    <row r="2149" spans="2:9">
      <c r="B2149" s="86">
        <v>42594</v>
      </c>
      <c r="C2149" s="61">
        <v>11663.43</v>
      </c>
      <c r="H2149" s="86">
        <v>45250</v>
      </c>
      <c r="I2149" s="61">
        <v>65655.149999999994</v>
      </c>
    </row>
    <row r="2150" spans="2:9">
      <c r="B2150" s="86">
        <v>42593</v>
      </c>
      <c r="C2150" s="61">
        <v>11555.84</v>
      </c>
      <c r="H2150" s="86">
        <v>45251</v>
      </c>
      <c r="I2150" s="61">
        <v>65930.77</v>
      </c>
    </row>
    <row r="2151" spans="2:9">
      <c r="B2151" s="86">
        <v>42592</v>
      </c>
      <c r="C2151" s="61">
        <v>11532.49</v>
      </c>
      <c r="H2151" s="86">
        <v>45252</v>
      </c>
      <c r="I2151" s="61">
        <v>66023.240000000005</v>
      </c>
    </row>
    <row r="2152" spans="2:9">
      <c r="B2152" s="86">
        <v>42591</v>
      </c>
      <c r="C2152" s="61">
        <v>11669.7</v>
      </c>
      <c r="H2152" s="86">
        <v>45253</v>
      </c>
      <c r="I2152" s="61">
        <v>66017.81</v>
      </c>
    </row>
    <row r="2153" spans="2:9">
      <c r="B2153" s="86">
        <v>42590</v>
      </c>
      <c r="C2153" s="61">
        <v>11713.58</v>
      </c>
      <c r="H2153" s="86">
        <v>45254</v>
      </c>
      <c r="I2153" s="61">
        <v>65970.039999999994</v>
      </c>
    </row>
    <row r="2154" spans="2:9">
      <c r="B2154" s="86">
        <v>42587</v>
      </c>
      <c r="C2154" s="61">
        <v>11675.68</v>
      </c>
      <c r="H2154" s="86">
        <v>45258</v>
      </c>
      <c r="I2154" s="61">
        <v>66174.2</v>
      </c>
    </row>
    <row r="2155" spans="2:9">
      <c r="B2155" s="86">
        <v>42586</v>
      </c>
      <c r="C2155" s="61">
        <v>11498.13</v>
      </c>
      <c r="H2155" s="86">
        <v>45259</v>
      </c>
      <c r="I2155" s="61">
        <v>66901.91</v>
      </c>
    </row>
    <row r="2156" spans="2:9">
      <c r="B2156" s="86">
        <v>42585</v>
      </c>
      <c r="C2156" s="61">
        <v>11489.74</v>
      </c>
      <c r="H2156" s="86">
        <v>45260</v>
      </c>
      <c r="I2156" s="61">
        <v>66988.44</v>
      </c>
    </row>
    <row r="2157" spans="2:9">
      <c r="B2157" s="86">
        <v>42584</v>
      </c>
      <c r="C2157" s="61">
        <v>11594.65</v>
      </c>
      <c r="H2157" s="86">
        <v>45261</v>
      </c>
      <c r="I2157" s="61">
        <v>67481.19</v>
      </c>
    </row>
    <row r="2158" spans="2:9">
      <c r="B2158" s="86">
        <v>42583</v>
      </c>
      <c r="C2158" s="61">
        <v>11612.19</v>
      </c>
      <c r="H2158" s="86">
        <v>45264</v>
      </c>
      <c r="I2158" s="61">
        <v>68865.119999999995</v>
      </c>
    </row>
    <row r="2159" spans="2:9">
      <c r="B2159" s="86">
        <v>42580</v>
      </c>
      <c r="C2159" s="61">
        <v>11614.8</v>
      </c>
      <c r="H2159" s="86">
        <v>45265</v>
      </c>
      <c r="I2159" s="61">
        <v>69296.14</v>
      </c>
    </row>
    <row r="2160" spans="2:9">
      <c r="B2160" s="86">
        <v>42579</v>
      </c>
      <c r="C2160" s="61">
        <v>11652.18</v>
      </c>
      <c r="H2160" s="86">
        <v>45266</v>
      </c>
      <c r="I2160" s="61">
        <v>69653.73</v>
      </c>
    </row>
    <row r="2161" spans="2:9">
      <c r="B2161" s="86">
        <v>42578</v>
      </c>
      <c r="C2161" s="61">
        <v>11579.64</v>
      </c>
      <c r="H2161" s="86">
        <v>45267</v>
      </c>
      <c r="I2161" s="61">
        <v>69521.69</v>
      </c>
    </row>
    <row r="2162" spans="2:9">
      <c r="B2162" s="86">
        <v>42577</v>
      </c>
      <c r="C2162" s="61">
        <v>11545.78</v>
      </c>
      <c r="H2162" s="86">
        <v>45268</v>
      </c>
      <c r="I2162" s="61">
        <v>69825.600000000006</v>
      </c>
    </row>
    <row r="2163" spans="2:9">
      <c r="B2163" s="86">
        <v>42576</v>
      </c>
      <c r="C2163" s="61">
        <v>11606.29</v>
      </c>
      <c r="H2163" s="86">
        <v>45271</v>
      </c>
      <c r="I2163" s="61">
        <v>69928.53</v>
      </c>
    </row>
    <row r="2164" spans="2:9">
      <c r="B2164" s="86">
        <v>42573</v>
      </c>
      <c r="C2164" s="61">
        <v>11477.47</v>
      </c>
      <c r="H2164" s="86">
        <v>45272</v>
      </c>
      <c r="I2164" s="61">
        <v>69551.03</v>
      </c>
    </row>
    <row r="2165" spans="2:9">
      <c r="B2165" s="86">
        <v>42572</v>
      </c>
      <c r="C2165" s="61">
        <v>11435.64</v>
      </c>
      <c r="H2165" s="86">
        <v>45273</v>
      </c>
      <c r="I2165" s="61">
        <v>69584.600000000006</v>
      </c>
    </row>
    <row r="2166" spans="2:9">
      <c r="B2166" s="86">
        <v>42571</v>
      </c>
      <c r="C2166" s="61">
        <v>11508.07</v>
      </c>
      <c r="H2166" s="86">
        <v>45274</v>
      </c>
      <c r="I2166" s="61">
        <v>70514.2</v>
      </c>
    </row>
    <row r="2167" spans="2:9">
      <c r="B2167" s="86">
        <v>42570</v>
      </c>
      <c r="C2167" s="61">
        <v>11457.95</v>
      </c>
      <c r="H2167" s="86">
        <v>45275</v>
      </c>
      <c r="I2167" s="61">
        <v>71483.75</v>
      </c>
    </row>
    <row r="2168" spans="2:9">
      <c r="B2168" s="86">
        <v>42569</v>
      </c>
      <c r="C2168" s="61">
        <v>11431.25</v>
      </c>
      <c r="H2168" s="86">
        <v>45278</v>
      </c>
      <c r="I2168" s="61">
        <v>71315.09</v>
      </c>
    </row>
    <row r="2169" spans="2:9">
      <c r="B2169" s="86">
        <v>42566</v>
      </c>
      <c r="C2169" s="61">
        <v>11474.04</v>
      </c>
      <c r="H2169" s="86">
        <v>45279</v>
      </c>
      <c r="I2169" s="61">
        <v>71437.19</v>
      </c>
    </row>
    <row r="2170" spans="2:9">
      <c r="B2170" s="86">
        <v>42565</v>
      </c>
      <c r="C2170" s="61">
        <v>11497.65</v>
      </c>
      <c r="H2170" s="86">
        <v>45280</v>
      </c>
      <c r="I2170" s="61">
        <v>70506.31</v>
      </c>
    </row>
    <row r="2171" spans="2:9">
      <c r="B2171" s="86">
        <v>42564</v>
      </c>
      <c r="C2171" s="61">
        <v>11436.09</v>
      </c>
      <c r="H2171" s="86">
        <v>45281</v>
      </c>
      <c r="I2171" s="61">
        <v>70865.100000000006</v>
      </c>
    </row>
    <row r="2172" spans="2:9">
      <c r="B2172" s="86">
        <v>42563</v>
      </c>
      <c r="C2172" s="61">
        <v>11438.19</v>
      </c>
      <c r="H2172" s="86">
        <v>45282</v>
      </c>
      <c r="I2172" s="61">
        <v>71106.960000000006</v>
      </c>
    </row>
    <row r="2173" spans="2:9">
      <c r="B2173" s="86">
        <v>42562</v>
      </c>
      <c r="C2173" s="61">
        <v>11366.82</v>
      </c>
      <c r="H2173" s="86">
        <v>45286</v>
      </c>
      <c r="I2173" s="61">
        <v>71336.800000000003</v>
      </c>
    </row>
    <row r="2174" spans="2:9">
      <c r="B2174" s="86">
        <v>42559</v>
      </c>
      <c r="C2174" s="61">
        <v>11172.39</v>
      </c>
      <c r="H2174" s="86">
        <v>45287</v>
      </c>
      <c r="I2174" s="61">
        <v>72038.429999999993</v>
      </c>
    </row>
    <row r="2175" spans="2:9">
      <c r="B2175" s="86">
        <v>42558</v>
      </c>
      <c r="C2175" s="61">
        <v>11192.11</v>
      </c>
      <c r="H2175" s="86">
        <v>45288</v>
      </c>
      <c r="I2175" s="61">
        <v>72410.38</v>
      </c>
    </row>
    <row r="2176" spans="2:9">
      <c r="B2176" s="86">
        <v>42556</v>
      </c>
      <c r="C2176" s="61">
        <v>11186.41</v>
      </c>
      <c r="H2176" s="86">
        <v>45289</v>
      </c>
      <c r="I2176" s="61">
        <v>72240.259999999995</v>
      </c>
    </row>
    <row r="2177" spans="2:9">
      <c r="B2177" s="86">
        <v>42555</v>
      </c>
      <c r="C2177" s="61">
        <v>11233.09</v>
      </c>
      <c r="H2177" s="86">
        <v>45292</v>
      </c>
      <c r="I2177" s="61">
        <v>72271.94</v>
      </c>
    </row>
    <row r="2178" spans="2:9">
      <c r="B2178" s="86">
        <v>42552</v>
      </c>
      <c r="C2178" s="61">
        <v>11175.85</v>
      </c>
      <c r="H2178" s="86">
        <v>45293</v>
      </c>
      <c r="I2178" s="61">
        <v>71892.479999999996</v>
      </c>
    </row>
    <row r="2179" spans="2:9">
      <c r="B2179" s="86">
        <v>42551</v>
      </c>
      <c r="C2179" s="61">
        <v>11121.39</v>
      </c>
      <c r="H2179" s="86">
        <v>45294</v>
      </c>
      <c r="I2179" s="61">
        <v>71356.600000000006</v>
      </c>
    </row>
    <row r="2180" spans="2:9">
      <c r="B2180" s="86">
        <v>42550</v>
      </c>
      <c r="C2180" s="61">
        <v>11009.02</v>
      </c>
      <c r="H2180" s="86">
        <v>45295</v>
      </c>
      <c r="I2180" s="61">
        <v>71847.570000000007</v>
      </c>
    </row>
    <row r="2181" spans="2:9">
      <c r="B2181" s="86">
        <v>42549</v>
      </c>
      <c r="C2181" s="61">
        <v>10899.91</v>
      </c>
      <c r="H2181" s="86">
        <v>45296</v>
      </c>
      <c r="I2181" s="61">
        <v>72026.149999999994</v>
      </c>
    </row>
    <row r="2182" spans="2:9">
      <c r="B2182" s="86">
        <v>42548</v>
      </c>
      <c r="C2182" s="61">
        <v>10855.5</v>
      </c>
      <c r="H2182" s="86">
        <v>45299</v>
      </c>
      <c r="I2182" s="61">
        <v>71355.22</v>
      </c>
    </row>
    <row r="2183" spans="2:9">
      <c r="B2183" s="86">
        <v>42545</v>
      </c>
      <c r="C2183" s="61">
        <v>10847.29</v>
      </c>
      <c r="H2183" s="86">
        <v>45300</v>
      </c>
      <c r="I2183" s="61">
        <v>71386.210000000006</v>
      </c>
    </row>
    <row r="2184" spans="2:9">
      <c r="B2184" s="86">
        <v>42544</v>
      </c>
      <c r="C2184" s="61">
        <v>11091.16</v>
      </c>
      <c r="H2184" s="86">
        <v>45301</v>
      </c>
      <c r="I2184" s="61">
        <v>71657.710000000006</v>
      </c>
    </row>
    <row r="2185" spans="2:9">
      <c r="B2185" s="86">
        <v>42543</v>
      </c>
      <c r="C2185" s="61">
        <v>11000.82</v>
      </c>
      <c r="H2185" s="86">
        <v>45302</v>
      </c>
      <c r="I2185" s="61">
        <v>71721.179999999993</v>
      </c>
    </row>
    <row r="2186" spans="2:9">
      <c r="B2186" s="86">
        <v>42542</v>
      </c>
      <c r="C2186" s="61">
        <v>11020.11</v>
      </c>
      <c r="H2186" s="86">
        <v>45303</v>
      </c>
      <c r="I2186" s="61">
        <v>72568.45</v>
      </c>
    </row>
    <row r="2187" spans="2:9">
      <c r="B2187" s="86">
        <v>42541</v>
      </c>
      <c r="C2187" s="61">
        <v>11045.03</v>
      </c>
      <c r="H2187" s="86">
        <v>45306</v>
      </c>
      <c r="I2187" s="61">
        <v>73327.94</v>
      </c>
    </row>
    <row r="2188" spans="2:9">
      <c r="B2188" s="86">
        <v>42538</v>
      </c>
      <c r="C2188" s="61">
        <v>10953.44</v>
      </c>
      <c r="H2188" s="86">
        <v>45307</v>
      </c>
      <c r="I2188" s="61">
        <v>73128.77</v>
      </c>
    </row>
    <row r="2189" spans="2:9">
      <c r="B2189" s="86">
        <v>42537</v>
      </c>
      <c r="C2189" s="61">
        <v>10913.97</v>
      </c>
      <c r="H2189" s="86">
        <v>45308</v>
      </c>
      <c r="I2189" s="61">
        <v>71500.759999999995</v>
      </c>
    </row>
    <row r="2190" spans="2:9">
      <c r="B2190" s="86">
        <v>42536</v>
      </c>
      <c r="C2190" s="61">
        <v>10990.64</v>
      </c>
      <c r="H2190" s="86">
        <v>45309</v>
      </c>
      <c r="I2190" s="61">
        <v>71186.86</v>
      </c>
    </row>
    <row r="2191" spans="2:9">
      <c r="B2191" s="86">
        <v>42535</v>
      </c>
      <c r="C2191" s="61">
        <v>10859.76</v>
      </c>
      <c r="H2191" s="86">
        <v>45310</v>
      </c>
      <c r="I2191" s="61">
        <v>71683.23</v>
      </c>
    </row>
    <row r="2192" spans="2:9">
      <c r="B2192" s="86">
        <v>42534</v>
      </c>
      <c r="C2192" s="61">
        <v>10862.06</v>
      </c>
      <c r="H2192" s="86">
        <v>45311</v>
      </c>
      <c r="I2192" s="61">
        <v>71423.649999999994</v>
      </c>
    </row>
    <row r="2193" spans="2:9">
      <c r="B2193" s="86">
        <v>42531</v>
      </c>
      <c r="C2193" s="61">
        <v>10941.7</v>
      </c>
      <c r="H2193" s="86">
        <v>45314</v>
      </c>
      <c r="I2193" s="61">
        <v>70370.55</v>
      </c>
    </row>
    <row r="2194" spans="2:9">
      <c r="B2194" s="86">
        <v>42530</v>
      </c>
      <c r="C2194" s="61">
        <v>10986.64</v>
      </c>
      <c r="H2194" s="86">
        <v>45315</v>
      </c>
      <c r="I2194" s="61">
        <v>71060.31</v>
      </c>
    </row>
    <row r="2195" spans="2:9">
      <c r="B2195" s="86">
        <v>42529</v>
      </c>
      <c r="C2195" s="61">
        <v>11068.75</v>
      </c>
      <c r="H2195" s="86">
        <v>45316</v>
      </c>
      <c r="I2195" s="61">
        <v>70700.67</v>
      </c>
    </row>
    <row r="2196" spans="2:9">
      <c r="B2196" s="86">
        <v>42528</v>
      </c>
      <c r="C2196" s="61">
        <v>11059.93</v>
      </c>
      <c r="H2196" s="86">
        <v>45320</v>
      </c>
      <c r="I2196" s="61">
        <v>71941.570000000007</v>
      </c>
    </row>
    <row r="2197" spans="2:9">
      <c r="B2197" s="86">
        <v>42527</v>
      </c>
      <c r="C2197" s="61">
        <v>10972.45</v>
      </c>
      <c r="H2197" s="86">
        <v>45321</v>
      </c>
      <c r="I2197" s="61">
        <v>71139.899999999994</v>
      </c>
    </row>
    <row r="2198" spans="2:9">
      <c r="B2198" s="86">
        <v>42524</v>
      </c>
      <c r="C2198" s="61">
        <v>10992.21</v>
      </c>
      <c r="H2198" s="86">
        <v>45322</v>
      </c>
      <c r="I2198" s="61">
        <v>71752.11</v>
      </c>
    </row>
    <row r="2199" spans="2:9">
      <c r="B2199" s="86">
        <v>42523</v>
      </c>
      <c r="C2199" s="61">
        <v>10986.77</v>
      </c>
      <c r="H2199" s="86">
        <v>45323</v>
      </c>
      <c r="I2199" s="61">
        <v>71645.3</v>
      </c>
    </row>
    <row r="2200" spans="2:9">
      <c r="B2200" s="86">
        <v>42522</v>
      </c>
      <c r="C2200" s="61">
        <v>10934.62</v>
      </c>
      <c r="H2200" s="86">
        <v>45324</v>
      </c>
      <c r="I2200" s="61">
        <v>72085.63</v>
      </c>
    </row>
    <row r="2201" spans="2:9">
      <c r="B2201" s="86">
        <v>42521</v>
      </c>
      <c r="C2201" s="61">
        <v>10908.07</v>
      </c>
      <c r="H2201" s="86">
        <v>45327</v>
      </c>
      <c r="I2201" s="61">
        <v>71731.42</v>
      </c>
    </row>
    <row r="2202" spans="2:9">
      <c r="B2202" s="86">
        <v>42520</v>
      </c>
      <c r="C2202" s="61">
        <v>10932.7</v>
      </c>
      <c r="H2202" s="86">
        <v>45328</v>
      </c>
      <c r="I2202" s="61">
        <v>72186.09</v>
      </c>
    </row>
    <row r="2203" spans="2:9">
      <c r="B2203" s="86">
        <v>42517</v>
      </c>
      <c r="C2203" s="61">
        <v>10884.88</v>
      </c>
      <c r="H2203" s="86">
        <v>45329</v>
      </c>
      <c r="I2203" s="61">
        <v>72152</v>
      </c>
    </row>
    <row r="2204" spans="2:9">
      <c r="B2204" s="86">
        <v>42516</v>
      </c>
      <c r="C2204" s="61">
        <v>10768.78</v>
      </c>
      <c r="H2204" s="86">
        <v>45330</v>
      </c>
      <c r="I2204" s="61">
        <v>71428.429999999993</v>
      </c>
    </row>
    <row r="2205" spans="2:9">
      <c r="B2205" s="86">
        <v>42515</v>
      </c>
      <c r="C2205" s="61">
        <v>10588.92</v>
      </c>
      <c r="H2205" s="86">
        <v>45331</v>
      </c>
      <c r="I2205" s="61">
        <v>71595.490000000005</v>
      </c>
    </row>
    <row r="2206" spans="2:9">
      <c r="B2206" s="86">
        <v>42514</v>
      </c>
      <c r="C2206" s="61">
        <v>10340.65</v>
      </c>
      <c r="H2206" s="86">
        <v>45334</v>
      </c>
      <c r="I2206" s="61">
        <v>71072.490000000005</v>
      </c>
    </row>
    <row r="2207" spans="2:9">
      <c r="B2207" s="86">
        <v>42513</v>
      </c>
      <c r="C2207" s="61">
        <v>10316.91</v>
      </c>
      <c r="H2207" s="86">
        <v>45335</v>
      </c>
      <c r="I2207" s="61">
        <v>71555.19</v>
      </c>
    </row>
    <row r="2208" spans="2:9">
      <c r="B2208" s="86">
        <v>42510</v>
      </c>
      <c r="C2208" s="61">
        <v>10341.790000000001</v>
      </c>
      <c r="H2208" s="86">
        <v>45336</v>
      </c>
      <c r="I2208" s="61">
        <v>71822.83</v>
      </c>
    </row>
    <row r="2209" spans="2:9">
      <c r="B2209" s="86">
        <v>42509</v>
      </c>
      <c r="C2209" s="61">
        <v>10386.75</v>
      </c>
      <c r="H2209" s="86">
        <v>45337</v>
      </c>
      <c r="I2209" s="61">
        <v>72050.38</v>
      </c>
    </row>
    <row r="2210" spans="2:9">
      <c r="B2210" s="86">
        <v>42508</v>
      </c>
      <c r="C2210" s="61">
        <v>10502.51</v>
      </c>
      <c r="H2210" s="86">
        <v>45341</v>
      </c>
      <c r="I2210" s="61">
        <v>72708.160000000003</v>
      </c>
    </row>
    <row r="2211" spans="2:9">
      <c r="B2211" s="86">
        <v>42507</v>
      </c>
      <c r="C2211" s="61">
        <v>10530.03</v>
      </c>
      <c r="H2211" s="86">
        <v>45342</v>
      </c>
      <c r="I2211" s="61">
        <v>73057.399999999994</v>
      </c>
    </row>
    <row r="2212" spans="2:9">
      <c r="B2212" s="86">
        <v>42506</v>
      </c>
      <c r="C2212" s="61">
        <v>10489.97</v>
      </c>
      <c r="H2212" s="86">
        <v>45343</v>
      </c>
      <c r="I2212" s="61">
        <v>72623.09</v>
      </c>
    </row>
    <row r="2213" spans="2:9">
      <c r="B2213" s="86">
        <v>42503</v>
      </c>
      <c r="C2213" s="61">
        <v>10428.780000000001</v>
      </c>
      <c r="H2213" s="86">
        <v>45344</v>
      </c>
      <c r="I2213" s="61">
        <v>73158.240000000005</v>
      </c>
    </row>
    <row r="2214" spans="2:9">
      <c r="B2214" s="86">
        <v>42502</v>
      </c>
      <c r="C2214" s="61">
        <v>10542.93</v>
      </c>
      <c r="H2214" s="86">
        <v>45345</v>
      </c>
      <c r="I2214" s="61">
        <v>73142.8</v>
      </c>
    </row>
    <row r="2215" spans="2:9">
      <c r="B2215" s="86">
        <v>42501</v>
      </c>
      <c r="C2215" s="61">
        <v>10474.1</v>
      </c>
      <c r="H2215" s="86">
        <v>45348</v>
      </c>
      <c r="I2215" s="61">
        <v>72790.13</v>
      </c>
    </row>
    <row r="2216" spans="2:9">
      <c r="B2216" s="86">
        <v>42500</v>
      </c>
      <c r="C2216" s="61">
        <v>10526.11</v>
      </c>
      <c r="H2216" s="86">
        <v>45349</v>
      </c>
      <c r="I2216" s="61">
        <v>73095.22</v>
      </c>
    </row>
    <row r="2217" spans="2:9">
      <c r="B2217" s="86">
        <v>42499</v>
      </c>
      <c r="C2217" s="61">
        <v>10497.09</v>
      </c>
      <c r="H2217" s="86">
        <v>45350</v>
      </c>
      <c r="I2217" s="61">
        <v>72304.88</v>
      </c>
    </row>
    <row r="2218" spans="2:9">
      <c r="B2218" s="86">
        <v>42496</v>
      </c>
      <c r="C2218" s="61">
        <v>10320.120000000001</v>
      </c>
      <c r="H2218" s="86">
        <v>45351</v>
      </c>
      <c r="I2218" s="61">
        <v>72500.3</v>
      </c>
    </row>
    <row r="2219" spans="2:9">
      <c r="B2219" s="86">
        <v>42495</v>
      </c>
      <c r="C2219" s="61">
        <v>10322.82</v>
      </c>
      <c r="H2219" s="86">
        <v>45352</v>
      </c>
      <c r="I2219" s="61">
        <v>73745.350000000006</v>
      </c>
    </row>
    <row r="2220" spans="2:9">
      <c r="B2220" s="86">
        <v>42494</v>
      </c>
      <c r="C2220" s="61">
        <v>10283.01</v>
      </c>
      <c r="H2220" s="86">
        <v>45353</v>
      </c>
      <c r="I2220" s="61">
        <v>73806.149999999994</v>
      </c>
    </row>
    <row r="2221" spans="2:9">
      <c r="B2221" s="86">
        <v>42493</v>
      </c>
      <c r="C2221" s="61">
        <v>10336.969999999999</v>
      </c>
      <c r="H2221" s="86">
        <v>45355</v>
      </c>
      <c r="I2221" s="61">
        <v>73872.289999999994</v>
      </c>
    </row>
    <row r="2222" spans="2:9">
      <c r="B2222" s="86">
        <v>42492</v>
      </c>
      <c r="C2222" s="61">
        <v>10415.52</v>
      </c>
      <c r="H2222" s="86">
        <v>45356</v>
      </c>
      <c r="I2222" s="61">
        <v>73677.13</v>
      </c>
    </row>
    <row r="2223" spans="2:9">
      <c r="B2223" s="86">
        <v>42489</v>
      </c>
      <c r="C2223" s="61">
        <v>10474.15</v>
      </c>
      <c r="H2223" s="86">
        <v>45357</v>
      </c>
      <c r="I2223" s="61">
        <v>74085.990000000005</v>
      </c>
    </row>
    <row r="2224" spans="2:9">
      <c r="B2224" s="86">
        <v>42488</v>
      </c>
      <c r="C2224" s="61">
        <v>10470.709999999999</v>
      </c>
      <c r="H2224" s="86">
        <v>45358</v>
      </c>
      <c r="I2224" s="61">
        <v>74119.39</v>
      </c>
    </row>
    <row r="2225" spans="2:9">
      <c r="B2225" s="86">
        <v>42487</v>
      </c>
      <c r="C2225" s="61">
        <v>10647.74</v>
      </c>
      <c r="H2225" s="86">
        <v>45362</v>
      </c>
      <c r="I2225" s="61">
        <v>73502.64</v>
      </c>
    </row>
    <row r="2226" spans="2:9">
      <c r="B2226" s="86">
        <v>42486</v>
      </c>
      <c r="C2226" s="61">
        <v>10624.72</v>
      </c>
      <c r="H2226" s="86">
        <v>45363</v>
      </c>
      <c r="I2226" s="61">
        <v>73667.960000000006</v>
      </c>
    </row>
    <row r="2227" spans="2:9">
      <c r="B2227" s="86">
        <v>42485</v>
      </c>
      <c r="C2227" s="61">
        <v>10481.120000000001</v>
      </c>
      <c r="H2227" s="86">
        <v>45364</v>
      </c>
      <c r="I2227" s="61">
        <v>72761.89</v>
      </c>
    </row>
    <row r="2228" spans="2:9">
      <c r="B2228" s="86">
        <v>42482</v>
      </c>
      <c r="C2228" s="61">
        <v>10540.19</v>
      </c>
      <c r="H2228" s="86">
        <v>45365</v>
      </c>
      <c r="I2228" s="61">
        <v>73097.279999999999</v>
      </c>
    </row>
    <row r="2229" spans="2:9">
      <c r="B2229" s="86">
        <v>42481</v>
      </c>
      <c r="C2229" s="61">
        <v>10557.22</v>
      </c>
      <c r="H2229" s="86">
        <v>45366</v>
      </c>
      <c r="I2229" s="61">
        <v>72643.429999999993</v>
      </c>
    </row>
    <row r="2230" spans="2:9">
      <c r="B2230" s="86">
        <v>42480</v>
      </c>
      <c r="C2230" s="61">
        <v>10560.79</v>
      </c>
      <c r="H2230" s="86">
        <v>45369</v>
      </c>
      <c r="I2230" s="61">
        <v>72748.42</v>
      </c>
    </row>
    <row r="2231" spans="2:9">
      <c r="B2231" s="86">
        <v>42478</v>
      </c>
      <c r="C2231" s="61">
        <v>10560.74</v>
      </c>
      <c r="H2231" s="86">
        <v>45370</v>
      </c>
      <c r="I2231" s="61">
        <v>72012.05</v>
      </c>
    </row>
    <row r="2232" spans="2:9">
      <c r="B2232" s="86">
        <v>42473</v>
      </c>
      <c r="C2232" s="61">
        <v>10475.02</v>
      </c>
      <c r="H2232" s="86">
        <v>45371</v>
      </c>
      <c r="I2232" s="61">
        <v>72101.69</v>
      </c>
    </row>
    <row r="2233" spans="2:9">
      <c r="B2233" s="86">
        <v>42472</v>
      </c>
      <c r="C2233" s="61">
        <v>10286.18</v>
      </c>
      <c r="H2233" s="86">
        <v>45372</v>
      </c>
      <c r="I2233" s="61">
        <v>72641.19</v>
      </c>
    </row>
    <row r="2234" spans="2:9">
      <c r="B2234" s="86">
        <v>42471</v>
      </c>
      <c r="C2234" s="61">
        <v>10236.11</v>
      </c>
      <c r="H2234" s="86">
        <v>45377</v>
      </c>
      <c r="I2234" s="61">
        <v>72470.3</v>
      </c>
    </row>
    <row r="2235" spans="2:9">
      <c r="B2235" s="86">
        <v>42468</v>
      </c>
      <c r="C2235" s="61">
        <v>10081.01</v>
      </c>
      <c r="H2235" s="86">
        <v>45378</v>
      </c>
      <c r="I2235" s="61">
        <v>72996.31</v>
      </c>
    </row>
    <row r="2236" spans="2:9">
      <c r="B2236" s="86">
        <v>42467</v>
      </c>
      <c r="C2236" s="61">
        <v>10069.36</v>
      </c>
      <c r="H2236" s="86">
        <v>45379</v>
      </c>
      <c r="I2236" s="61">
        <v>73651.350000000006</v>
      </c>
    </row>
    <row r="2237" spans="2:9">
      <c r="B2237" s="86">
        <v>42466</v>
      </c>
      <c r="C2237" s="61">
        <v>10159.98</v>
      </c>
      <c r="H2237" s="86">
        <v>45383</v>
      </c>
      <c r="I2237" s="61">
        <v>74014.55</v>
      </c>
    </row>
    <row r="2238" spans="2:9">
      <c r="B2238" s="86">
        <v>42465</v>
      </c>
      <c r="C2238" s="61">
        <v>10145.1</v>
      </c>
      <c r="H2238" s="86">
        <v>45384</v>
      </c>
      <c r="I2238" s="61">
        <v>73903.91</v>
      </c>
    </row>
    <row r="2239" spans="2:9">
      <c r="B2239" s="86">
        <v>42464</v>
      </c>
      <c r="C2239" s="61">
        <v>10352.69</v>
      </c>
      <c r="H2239" s="86">
        <v>45385</v>
      </c>
      <c r="I2239" s="61">
        <v>73876.820000000007</v>
      </c>
    </row>
    <row r="2240" spans="2:9">
      <c r="B2240" s="86">
        <v>42461</v>
      </c>
      <c r="C2240" s="61">
        <v>10291.69</v>
      </c>
      <c r="H2240" s="86">
        <v>45386</v>
      </c>
      <c r="I2240" s="61">
        <v>74227.63</v>
      </c>
    </row>
    <row r="2241" spans="2:9">
      <c r="B2241" s="86">
        <v>42460</v>
      </c>
      <c r="C2241" s="61">
        <v>10325.5</v>
      </c>
      <c r="H2241" s="86">
        <v>45387</v>
      </c>
      <c r="I2241" s="61">
        <v>74248.22</v>
      </c>
    </row>
    <row r="2242" spans="2:9">
      <c r="B2242" s="86">
        <v>42459</v>
      </c>
      <c r="C2242" s="61">
        <v>10321.200000000001</v>
      </c>
      <c r="H2242" s="86">
        <v>45390</v>
      </c>
      <c r="I2242" s="61">
        <v>74742.5</v>
      </c>
    </row>
    <row r="2243" spans="2:9">
      <c r="B2243" s="86">
        <v>42458</v>
      </c>
      <c r="C2243" s="61">
        <v>10135.49</v>
      </c>
      <c r="H2243" s="86">
        <v>45391</v>
      </c>
      <c r="I2243" s="61">
        <v>74683.7</v>
      </c>
    </row>
    <row r="2244" spans="2:9">
      <c r="B2244" s="86">
        <v>42457</v>
      </c>
      <c r="C2244" s="61">
        <v>10159.66</v>
      </c>
      <c r="H2244" s="86">
        <v>45392</v>
      </c>
      <c r="I2244" s="61">
        <v>75038.149999999994</v>
      </c>
    </row>
    <row r="2245" spans="2:9">
      <c r="B2245" s="86">
        <v>42452</v>
      </c>
      <c r="C2245" s="61">
        <v>10294.93</v>
      </c>
      <c r="H2245" s="86">
        <v>45394</v>
      </c>
      <c r="I2245" s="61">
        <v>74244.899999999994</v>
      </c>
    </row>
    <row r="2246" spans="2:9">
      <c r="B2246" s="86">
        <v>42451</v>
      </c>
      <c r="C2246" s="61">
        <v>10292.77</v>
      </c>
      <c r="H2246" s="86">
        <v>45397</v>
      </c>
      <c r="I2246" s="61">
        <v>73399.78</v>
      </c>
    </row>
    <row r="2247" spans="2:9">
      <c r="B2247" s="86">
        <v>42450</v>
      </c>
      <c r="C2247" s="61">
        <v>10278.299999999999</v>
      </c>
      <c r="H2247" s="86">
        <v>45398</v>
      </c>
      <c r="I2247" s="61">
        <v>72943.679999999993</v>
      </c>
    </row>
    <row r="2248" spans="2:9">
      <c r="B2248" s="86">
        <v>42447</v>
      </c>
      <c r="C2248" s="61">
        <v>10143.6</v>
      </c>
      <c r="H2248" s="86">
        <v>45400</v>
      </c>
      <c r="I2248" s="61">
        <v>72488.990000000005</v>
      </c>
    </row>
    <row r="2249" spans="2:9">
      <c r="B2249" s="86">
        <v>42446</v>
      </c>
      <c r="C2249" s="61">
        <v>10021.129999999999</v>
      </c>
      <c r="H2249" s="86">
        <v>45401</v>
      </c>
      <c r="I2249" s="61">
        <v>73088.33</v>
      </c>
    </row>
    <row r="2250" spans="2:9">
      <c r="B2250" s="86">
        <v>42445</v>
      </c>
      <c r="C2250" s="61">
        <v>9997.9</v>
      </c>
      <c r="H2250" s="86">
        <v>45404</v>
      </c>
      <c r="I2250" s="61">
        <v>73648.62</v>
      </c>
    </row>
    <row r="2251" spans="2:9">
      <c r="B2251" s="86">
        <v>42444</v>
      </c>
      <c r="C2251" s="61">
        <v>9944.76</v>
      </c>
      <c r="H2251" s="86">
        <v>45405</v>
      </c>
      <c r="I2251" s="61">
        <v>73738.45</v>
      </c>
    </row>
    <row r="2252" spans="2:9">
      <c r="B2252" s="86">
        <v>42443</v>
      </c>
      <c r="C2252" s="61">
        <v>10048.89</v>
      </c>
      <c r="H2252" s="86">
        <v>45406</v>
      </c>
      <c r="I2252" s="61">
        <v>73852.94</v>
      </c>
    </row>
    <row r="2253" spans="2:9">
      <c r="B2253" s="86">
        <v>42440</v>
      </c>
      <c r="C2253" s="61">
        <v>10001.18</v>
      </c>
      <c r="H2253" s="86">
        <v>45407</v>
      </c>
      <c r="I2253" s="61">
        <v>74339.44</v>
      </c>
    </row>
    <row r="2254" spans="2:9">
      <c r="B2254" s="86">
        <v>42439</v>
      </c>
      <c r="C2254" s="61">
        <v>9969.15</v>
      </c>
      <c r="H2254" s="86">
        <v>45408</v>
      </c>
      <c r="I2254" s="61">
        <v>73730.16</v>
      </c>
    </row>
    <row r="2255" spans="2:9">
      <c r="B2255" s="86">
        <v>42438</v>
      </c>
      <c r="C2255" s="61">
        <v>10029.959999999999</v>
      </c>
      <c r="H2255" s="86">
        <v>45411</v>
      </c>
      <c r="I2255" s="61">
        <v>74671.28</v>
      </c>
    </row>
    <row r="2256" spans="2:9">
      <c r="B2256" s="86">
        <v>42437</v>
      </c>
      <c r="C2256" s="61">
        <v>9967.99</v>
      </c>
      <c r="H2256" s="86">
        <v>45412</v>
      </c>
      <c r="I2256" s="61">
        <v>74482.78</v>
      </c>
    </row>
    <row r="2257" spans="2:9">
      <c r="B2257" s="86">
        <v>42433</v>
      </c>
      <c r="C2257" s="61">
        <v>9968.09</v>
      </c>
      <c r="H2257" s="86">
        <v>45414</v>
      </c>
      <c r="I2257" s="61">
        <v>74611.11</v>
      </c>
    </row>
    <row r="2258" spans="2:9">
      <c r="B2258" s="86">
        <v>42432</v>
      </c>
      <c r="C2258" s="61">
        <v>9955.1</v>
      </c>
      <c r="H2258" s="86">
        <v>45415</v>
      </c>
      <c r="I2258" s="61">
        <v>73878.149999999994</v>
      </c>
    </row>
    <row r="2259" spans="2:9">
      <c r="B2259" s="86">
        <v>42431</v>
      </c>
      <c r="C2259" s="61">
        <v>9812.68</v>
      </c>
      <c r="H2259" s="86">
        <v>45418</v>
      </c>
      <c r="I2259" s="61">
        <v>73895.539999999994</v>
      </c>
    </row>
    <row r="2260" spans="2:9">
      <c r="B2260" s="86">
        <v>42430</v>
      </c>
      <c r="C2260" s="61">
        <v>9617.51</v>
      </c>
      <c r="H2260" s="86">
        <v>45419</v>
      </c>
      <c r="I2260" s="61">
        <v>73511.850000000006</v>
      </c>
    </row>
    <row r="2261" spans="2:9">
      <c r="B2261" s="86">
        <v>42429</v>
      </c>
      <c r="C2261" s="61">
        <v>9304.26</v>
      </c>
      <c r="H2261" s="86">
        <v>45420</v>
      </c>
      <c r="I2261" s="61">
        <v>73466.39</v>
      </c>
    </row>
    <row r="2262" spans="2:9">
      <c r="B2262" s="86">
        <v>42426</v>
      </c>
      <c r="C2262" s="61">
        <v>9361.1</v>
      </c>
      <c r="H2262" s="86">
        <v>45421</v>
      </c>
      <c r="I2262" s="61">
        <v>72404.17</v>
      </c>
    </row>
    <row r="2263" spans="2:9">
      <c r="B2263" s="86">
        <v>42425</v>
      </c>
      <c r="C2263" s="61">
        <v>9282.3799999999992</v>
      </c>
      <c r="H2263" s="86">
        <v>45422</v>
      </c>
      <c r="I2263" s="61">
        <v>72664.47</v>
      </c>
    </row>
    <row r="2264" spans="2:9">
      <c r="B2264" s="86">
        <v>42424</v>
      </c>
      <c r="C2264" s="61">
        <v>9346.39</v>
      </c>
      <c r="H2264" s="86">
        <v>45425</v>
      </c>
      <c r="I2264" s="61">
        <v>72776.13</v>
      </c>
    </row>
    <row r="2265" spans="2:9">
      <c r="B2265" s="86">
        <v>42423</v>
      </c>
      <c r="C2265" s="61">
        <v>9467.41</v>
      </c>
      <c r="H2265" s="86">
        <v>45426</v>
      </c>
      <c r="I2265" s="61">
        <v>73104.61</v>
      </c>
    </row>
    <row r="2266" spans="2:9">
      <c r="B2266" s="86">
        <v>42422</v>
      </c>
      <c r="C2266" s="61">
        <v>9633.83</v>
      </c>
      <c r="H2266" s="86">
        <v>45427</v>
      </c>
      <c r="I2266" s="61">
        <v>72987.03</v>
      </c>
    </row>
    <row r="2267" spans="2:9">
      <c r="B2267" s="86">
        <v>42419</v>
      </c>
      <c r="C2267" s="61">
        <v>9601.77</v>
      </c>
      <c r="H2267" s="86">
        <v>45428</v>
      </c>
      <c r="I2267" s="61">
        <v>73663.72</v>
      </c>
    </row>
    <row r="2268" spans="2:9">
      <c r="B2268" s="86">
        <v>42418</v>
      </c>
      <c r="C2268" s="61">
        <v>9576.4599999999991</v>
      </c>
      <c r="H2268" s="86">
        <v>45429</v>
      </c>
      <c r="I2268" s="61">
        <v>73917.03</v>
      </c>
    </row>
    <row r="2269" spans="2:9">
      <c r="B2269" s="86">
        <v>42417</v>
      </c>
      <c r="C2269" s="61">
        <v>9465.52</v>
      </c>
      <c r="H2269" s="86">
        <v>45430</v>
      </c>
      <c r="I2269" s="61">
        <v>74005.94</v>
      </c>
    </row>
    <row r="2270" spans="2:9">
      <c r="B2270" s="86">
        <v>42416</v>
      </c>
      <c r="C2270" s="61">
        <v>9385.36</v>
      </c>
      <c r="H2270" s="86">
        <v>45433</v>
      </c>
      <c r="I2270" s="61">
        <v>73953.31</v>
      </c>
    </row>
    <row r="2271" spans="2:9">
      <c r="B2271" s="86">
        <v>42415</v>
      </c>
      <c r="C2271" s="61">
        <v>9537.74</v>
      </c>
      <c r="H2271" s="86">
        <v>45434</v>
      </c>
      <c r="I2271" s="61">
        <v>74221.06</v>
      </c>
    </row>
    <row r="2272" spans="2:9">
      <c r="B2272" s="86">
        <v>42412</v>
      </c>
      <c r="C2272" s="61">
        <v>9295.41</v>
      </c>
      <c r="H2272" s="86">
        <v>45435</v>
      </c>
      <c r="I2272" s="61">
        <v>75418.039999999994</v>
      </c>
    </row>
    <row r="2273" spans="2:9">
      <c r="B2273" s="86">
        <v>42411</v>
      </c>
      <c r="C2273" s="61">
        <v>9289.2900000000009</v>
      </c>
      <c r="H2273" s="86">
        <v>45436</v>
      </c>
      <c r="I2273" s="61">
        <v>75410.39</v>
      </c>
    </row>
    <row r="2274" spans="2:9">
      <c r="B2274" s="86">
        <v>42410</v>
      </c>
      <c r="C2274" s="61">
        <v>9607.98</v>
      </c>
      <c r="H2274" s="86">
        <v>45439</v>
      </c>
      <c r="I2274" s="61">
        <v>75390.5</v>
      </c>
    </row>
    <row r="2275" spans="2:9">
      <c r="B2275" s="86">
        <v>42409</v>
      </c>
      <c r="C2275" s="61">
        <v>9717.8700000000008</v>
      </c>
      <c r="H2275" s="86">
        <v>45440</v>
      </c>
      <c r="I2275" s="61">
        <v>75170.45</v>
      </c>
    </row>
    <row r="2276" spans="2:9">
      <c r="B2276" s="86">
        <v>42408</v>
      </c>
      <c r="C2276" s="61">
        <v>9836.41</v>
      </c>
      <c r="H2276" s="86">
        <v>45441</v>
      </c>
      <c r="I2276" s="61">
        <v>74502.899999999994</v>
      </c>
    </row>
    <row r="2277" spans="2:9">
      <c r="B2277" s="86">
        <v>42405</v>
      </c>
      <c r="C2277" s="61">
        <v>9972.0499999999993</v>
      </c>
      <c r="H2277" s="86">
        <v>45442</v>
      </c>
      <c r="I2277" s="61">
        <v>73885.600000000006</v>
      </c>
    </row>
    <row r="2278" spans="2:9">
      <c r="B2278" s="86">
        <v>42404</v>
      </c>
      <c r="C2278" s="61">
        <v>9857.82</v>
      </c>
      <c r="H2278" s="86">
        <v>45443</v>
      </c>
      <c r="I2278" s="61">
        <v>73961.31</v>
      </c>
    </row>
    <row r="2279" spans="2:9">
      <c r="B2279" s="86">
        <v>42403</v>
      </c>
      <c r="C2279" s="61">
        <v>9801.6200000000008</v>
      </c>
      <c r="H2279" s="86">
        <v>45446</v>
      </c>
      <c r="I2279" s="61">
        <v>76468.78</v>
      </c>
    </row>
    <row r="2280" spans="2:9">
      <c r="B2280" s="86">
        <v>42402</v>
      </c>
      <c r="C2280" s="61">
        <v>9925.98</v>
      </c>
      <c r="H2280" s="86">
        <v>45447</v>
      </c>
      <c r="I2280" s="61">
        <v>72079.05</v>
      </c>
    </row>
    <row r="2281" spans="2:9">
      <c r="B2281" s="86">
        <v>42401</v>
      </c>
      <c r="C2281" s="61">
        <v>10058.69</v>
      </c>
      <c r="H2281" s="86">
        <v>45448</v>
      </c>
      <c r="I2281" s="61">
        <v>74382.240000000005</v>
      </c>
    </row>
    <row r="2282" spans="2:9">
      <c r="B2282" s="86">
        <v>42398</v>
      </c>
      <c r="C2282" s="61">
        <v>10068.86</v>
      </c>
      <c r="H2282" s="86">
        <v>45449</v>
      </c>
      <c r="I2282" s="61">
        <v>75074.509999999995</v>
      </c>
    </row>
    <row r="2283" spans="2:9">
      <c r="B2283" s="86">
        <v>42397</v>
      </c>
      <c r="C2283" s="61">
        <v>9883.94</v>
      </c>
      <c r="H2283" s="86">
        <v>45450</v>
      </c>
      <c r="I2283" s="61">
        <v>76693.36</v>
      </c>
    </row>
    <row r="2284" spans="2:9">
      <c r="B2284" s="86">
        <v>42396</v>
      </c>
      <c r="C2284" s="61">
        <v>9901.35</v>
      </c>
      <c r="H2284" s="86">
        <v>45453</v>
      </c>
      <c r="I2284" s="61">
        <v>76490.080000000002</v>
      </c>
    </row>
    <row r="2285" spans="2:9">
      <c r="B2285" s="86">
        <v>42394</v>
      </c>
      <c r="C2285" s="61">
        <v>9898.2800000000007</v>
      </c>
      <c r="H2285" s="86">
        <v>45454</v>
      </c>
      <c r="I2285" s="61">
        <v>76456.59</v>
      </c>
    </row>
    <row r="2286" spans="2:9">
      <c r="B2286" s="86">
        <v>42391</v>
      </c>
      <c r="C2286" s="61">
        <v>9879.1299999999992</v>
      </c>
      <c r="H2286" s="86">
        <v>45455</v>
      </c>
      <c r="I2286" s="61">
        <v>76606.570000000007</v>
      </c>
    </row>
    <row r="2287" spans="2:9">
      <c r="B2287" s="86">
        <v>42390</v>
      </c>
      <c r="C2287" s="61">
        <v>9685.2900000000009</v>
      </c>
      <c r="H2287" s="86">
        <v>45456</v>
      </c>
      <c r="I2287" s="61">
        <v>76810.899999999994</v>
      </c>
    </row>
    <row r="2288" spans="2:9">
      <c r="B2288" s="86">
        <v>42389</v>
      </c>
      <c r="C2288" s="61">
        <v>9727.77</v>
      </c>
      <c r="H2288" s="86">
        <v>45457</v>
      </c>
      <c r="I2288" s="61">
        <v>76992.77</v>
      </c>
    </row>
    <row r="2289" spans="2:9">
      <c r="B2289" s="86">
        <v>42388</v>
      </c>
      <c r="C2289" s="61">
        <v>9895.18</v>
      </c>
      <c r="H2289" s="86">
        <v>45461</v>
      </c>
      <c r="I2289" s="61">
        <v>77301.14</v>
      </c>
    </row>
    <row r="2290" spans="2:9">
      <c r="B2290" s="86">
        <v>42387</v>
      </c>
      <c r="C2290" s="61">
        <v>9783.26</v>
      </c>
      <c r="H2290" s="86">
        <v>45462</v>
      </c>
      <c r="I2290" s="61">
        <v>77337.59</v>
      </c>
    </row>
    <row r="2291" spans="2:9">
      <c r="B2291" s="86">
        <v>42384</v>
      </c>
      <c r="C2291" s="61">
        <v>9898.7999999999993</v>
      </c>
      <c r="H2291" s="86">
        <v>45463</v>
      </c>
      <c r="I2291" s="61">
        <v>77478.929999999993</v>
      </c>
    </row>
    <row r="2292" spans="2:9">
      <c r="B2292" s="86">
        <v>42383</v>
      </c>
      <c r="C2292" s="61">
        <v>10030.530000000001</v>
      </c>
      <c r="H2292" s="86">
        <v>45464</v>
      </c>
      <c r="I2292" s="61">
        <v>77209.899999999994</v>
      </c>
    </row>
    <row r="2293" spans="2:9">
      <c r="B2293" s="86">
        <v>42382</v>
      </c>
      <c r="C2293" s="61">
        <v>10064.620000000001</v>
      </c>
      <c r="H2293" s="86">
        <v>45467</v>
      </c>
      <c r="I2293" s="61">
        <v>77341.08</v>
      </c>
    </row>
    <row r="2294" spans="2:9">
      <c r="B2294" s="86">
        <v>42381</v>
      </c>
      <c r="C2294" s="61">
        <v>9995.25</v>
      </c>
      <c r="H2294" s="86">
        <v>45468</v>
      </c>
      <c r="I2294" s="61">
        <v>78053.52</v>
      </c>
    </row>
    <row r="2295" spans="2:9">
      <c r="B2295" s="86">
        <v>42380</v>
      </c>
      <c r="C2295" s="61">
        <v>10066.57</v>
      </c>
      <c r="H2295" s="86">
        <v>45469</v>
      </c>
      <c r="I2295" s="61">
        <v>78674.25</v>
      </c>
    </row>
    <row r="2296" spans="2:9">
      <c r="B2296" s="86">
        <v>42377</v>
      </c>
      <c r="C2296" s="61">
        <v>10116.450000000001</v>
      </c>
      <c r="H2296" s="86">
        <v>45470</v>
      </c>
      <c r="I2296" s="61">
        <v>79243.179999999993</v>
      </c>
    </row>
    <row r="2297" spans="2:9">
      <c r="B2297" s="86">
        <v>42376</v>
      </c>
      <c r="C2297" s="61">
        <v>10072.450000000001</v>
      </c>
      <c r="H2297" s="86">
        <v>45471</v>
      </c>
      <c r="I2297" s="61">
        <v>79032.73</v>
      </c>
    </row>
    <row r="2298" spans="2:9">
      <c r="B2298" s="86">
        <v>42375</v>
      </c>
      <c r="C2298" s="61">
        <v>10302.32</v>
      </c>
      <c r="H2298" s="86">
        <v>45474</v>
      </c>
      <c r="I2298" s="61">
        <v>79476.19</v>
      </c>
    </row>
    <row r="2299" spans="2:9">
      <c r="B2299" s="86">
        <v>42374</v>
      </c>
      <c r="C2299" s="61">
        <v>10360.42</v>
      </c>
      <c r="H2299" s="86">
        <v>45475</v>
      </c>
      <c r="I2299" s="61">
        <v>79441.45</v>
      </c>
    </row>
    <row r="2300" spans="2:9">
      <c r="B2300" s="86">
        <v>42373</v>
      </c>
      <c r="C2300" s="61">
        <v>10369.24</v>
      </c>
      <c r="H2300" s="86">
        <v>45476</v>
      </c>
      <c r="I2300" s="61">
        <v>79986.8</v>
      </c>
    </row>
    <row r="2301" spans="2:9">
      <c r="B2301" s="86">
        <v>42370</v>
      </c>
      <c r="C2301" s="61">
        <v>10598</v>
      </c>
      <c r="H2301" s="86">
        <v>45477</v>
      </c>
      <c r="I2301" s="61">
        <v>80049.67</v>
      </c>
    </row>
    <row r="2302" spans="2:9">
      <c r="B2302" s="86">
        <v>42369</v>
      </c>
      <c r="C2302" s="61">
        <v>10575.63</v>
      </c>
      <c r="H2302" s="86">
        <v>45478</v>
      </c>
      <c r="I2302" s="61">
        <v>79996.600000000006</v>
      </c>
    </row>
    <row r="2303" spans="2:9">
      <c r="B2303" s="86">
        <v>42368</v>
      </c>
      <c r="C2303" s="61">
        <v>10508.91</v>
      </c>
      <c r="H2303" s="86">
        <v>45481</v>
      </c>
      <c r="I2303" s="61">
        <v>79960.38</v>
      </c>
    </row>
    <row r="2304" spans="2:9">
      <c r="B2304" s="86">
        <v>42367</v>
      </c>
      <c r="C2304" s="61">
        <v>10552.46</v>
      </c>
      <c r="H2304" s="86">
        <v>45482</v>
      </c>
      <c r="I2304" s="61">
        <v>80351.64</v>
      </c>
    </row>
    <row r="2305" spans="2:9">
      <c r="B2305" s="86">
        <v>42366</v>
      </c>
      <c r="C2305" s="61">
        <v>10547.37</v>
      </c>
      <c r="H2305" s="86">
        <v>45483</v>
      </c>
      <c r="I2305" s="61">
        <v>79924.77</v>
      </c>
    </row>
    <row r="2306" spans="2:9">
      <c r="B2306" s="86">
        <v>42362</v>
      </c>
      <c r="C2306" s="61">
        <v>10462.08</v>
      </c>
      <c r="H2306" s="86">
        <v>45484</v>
      </c>
      <c r="I2306" s="61">
        <v>79897.34</v>
      </c>
    </row>
    <row r="2307" spans="2:9">
      <c r="B2307" s="86">
        <v>42361</v>
      </c>
      <c r="C2307" s="61">
        <v>10468.61</v>
      </c>
      <c r="H2307" s="86">
        <v>45485</v>
      </c>
      <c r="I2307" s="61">
        <v>80519.34</v>
      </c>
    </row>
    <row r="2308" spans="2:9">
      <c r="B2308" s="86">
        <v>42360</v>
      </c>
      <c r="C2308" s="61">
        <v>10362.35</v>
      </c>
      <c r="H2308" s="86">
        <v>45488</v>
      </c>
      <c r="I2308" s="61">
        <v>80664.86</v>
      </c>
    </row>
    <row r="2309" spans="2:9">
      <c r="B2309" s="86">
        <v>42359</v>
      </c>
      <c r="C2309" s="61">
        <v>10426.69</v>
      </c>
      <c r="H2309" s="86">
        <v>45489</v>
      </c>
      <c r="I2309" s="61">
        <v>80716.55</v>
      </c>
    </row>
    <row r="2310" spans="2:9">
      <c r="B2310" s="86">
        <v>42356</v>
      </c>
      <c r="C2310" s="61">
        <v>10330.16</v>
      </c>
      <c r="H2310" s="86">
        <v>45491</v>
      </c>
      <c r="I2310" s="61">
        <v>81343.460000000006</v>
      </c>
    </row>
    <row r="2311" spans="2:9">
      <c r="B2311" s="86">
        <v>42355</v>
      </c>
      <c r="C2311" s="61">
        <v>10439.83</v>
      </c>
      <c r="H2311" s="86">
        <v>45492</v>
      </c>
      <c r="I2311" s="61">
        <v>80604.649999999994</v>
      </c>
    </row>
    <row r="2312" spans="2:9">
      <c r="B2312" s="86">
        <v>42354</v>
      </c>
      <c r="C2312" s="61">
        <v>10315.450000000001</v>
      </c>
      <c r="H2312" s="86">
        <v>45495</v>
      </c>
      <c r="I2312" s="61">
        <v>80502.080000000002</v>
      </c>
    </row>
    <row r="2313" spans="2:9">
      <c r="B2313" s="86">
        <v>42353</v>
      </c>
      <c r="C2313" s="61">
        <v>10248.91</v>
      </c>
      <c r="H2313" s="86">
        <v>45496</v>
      </c>
      <c r="I2313" s="61">
        <v>80429.039999999994</v>
      </c>
    </row>
    <row r="2314" spans="2:9">
      <c r="B2314" s="86">
        <v>42352</v>
      </c>
      <c r="C2314" s="61">
        <v>10181.25</v>
      </c>
      <c r="H2314" s="86">
        <v>45497</v>
      </c>
      <c r="I2314" s="61">
        <v>80148.88</v>
      </c>
    </row>
    <row r="2315" spans="2:9">
      <c r="B2315" s="86">
        <v>42349</v>
      </c>
      <c r="C2315" s="61">
        <v>10128.57</v>
      </c>
      <c r="H2315" s="86">
        <v>45498</v>
      </c>
      <c r="I2315" s="61">
        <v>80039.8</v>
      </c>
    </row>
    <row r="2316" spans="2:9">
      <c r="B2316" s="86">
        <v>42348</v>
      </c>
      <c r="C2316" s="61">
        <v>10225.540000000001</v>
      </c>
      <c r="H2316" s="86">
        <v>45499</v>
      </c>
      <c r="I2316" s="61">
        <v>81332.72</v>
      </c>
    </row>
    <row r="2317" spans="2:9">
      <c r="B2317" s="86">
        <v>42347</v>
      </c>
      <c r="C2317" s="61">
        <v>10131.26</v>
      </c>
      <c r="H2317" s="86">
        <v>45502</v>
      </c>
      <c r="I2317" s="61">
        <v>81355.839999999997</v>
      </c>
    </row>
    <row r="2318" spans="2:9">
      <c r="B2318" s="86">
        <v>42346</v>
      </c>
      <c r="C2318" s="61">
        <v>10250.030000000001</v>
      </c>
      <c r="H2318" s="86">
        <v>45503</v>
      </c>
      <c r="I2318" s="61">
        <v>81455.399999999994</v>
      </c>
    </row>
    <row r="2319" spans="2:9">
      <c r="B2319" s="86">
        <v>42345</v>
      </c>
      <c r="C2319" s="61">
        <v>10334.77</v>
      </c>
      <c r="H2319" s="86">
        <v>45504</v>
      </c>
      <c r="I2319" s="61">
        <v>81741.34</v>
      </c>
    </row>
    <row r="2320" spans="2:9">
      <c r="B2320" s="86">
        <v>42342</v>
      </c>
      <c r="C2320" s="61">
        <v>10356.709999999999</v>
      </c>
      <c r="H2320" s="86">
        <v>45505</v>
      </c>
      <c r="I2320" s="61">
        <v>81867.55</v>
      </c>
    </row>
    <row r="2321" spans="2:9">
      <c r="B2321" s="86">
        <v>42341</v>
      </c>
      <c r="C2321" s="61">
        <v>10466.19</v>
      </c>
      <c r="H2321" s="86">
        <v>45506</v>
      </c>
      <c r="I2321" s="61">
        <v>80981.95</v>
      </c>
    </row>
    <row r="2322" spans="2:9">
      <c r="B2322" s="86">
        <v>42340</v>
      </c>
      <c r="C2322" s="61">
        <v>10555.62</v>
      </c>
      <c r="H2322" s="86">
        <v>45509</v>
      </c>
      <c r="I2322" s="61">
        <v>78759.399999999994</v>
      </c>
    </row>
    <row r="2323" spans="2:9">
      <c r="B2323" s="86">
        <v>42339</v>
      </c>
      <c r="C2323" s="61">
        <v>10586.99</v>
      </c>
      <c r="H2323" s="86">
        <v>45510</v>
      </c>
      <c r="I2323" s="61">
        <v>78593.070000000007</v>
      </c>
    </row>
    <row r="2324" spans="2:9">
      <c r="B2324" s="86">
        <v>42338</v>
      </c>
      <c r="C2324" s="61">
        <v>10560.84</v>
      </c>
      <c r="H2324" s="86">
        <v>45511</v>
      </c>
      <c r="I2324" s="61">
        <v>79468.009999999995</v>
      </c>
    </row>
    <row r="2325" spans="2:9">
      <c r="B2325" s="86">
        <v>42335</v>
      </c>
      <c r="C2325" s="61">
        <v>10570.76</v>
      </c>
      <c r="H2325" s="86">
        <v>45512</v>
      </c>
      <c r="I2325" s="61">
        <v>78886.22</v>
      </c>
    </row>
    <row r="2326" spans="2:9">
      <c r="B2326" s="86">
        <v>42334</v>
      </c>
      <c r="C2326" s="61">
        <v>10492.35</v>
      </c>
      <c r="H2326" s="86">
        <v>45513</v>
      </c>
      <c r="I2326" s="61">
        <v>79705.91</v>
      </c>
    </row>
    <row r="2327" spans="2:9">
      <c r="B2327" s="86">
        <v>42332</v>
      </c>
      <c r="C2327" s="61">
        <v>10422.86</v>
      </c>
      <c r="H2327" s="86">
        <v>45516</v>
      </c>
      <c r="I2327" s="61">
        <v>79648.92</v>
      </c>
    </row>
    <row r="2328" spans="2:9">
      <c r="B2328" s="86">
        <v>42331</v>
      </c>
      <c r="C2328" s="61">
        <v>10446.4</v>
      </c>
      <c r="H2328" s="86">
        <v>45517</v>
      </c>
      <c r="I2328" s="61">
        <v>78956.03</v>
      </c>
    </row>
    <row r="2329" spans="2:9">
      <c r="B2329" s="86">
        <v>42328</v>
      </c>
      <c r="C2329" s="61">
        <v>10456.11</v>
      </c>
      <c r="H2329" s="86">
        <v>45518</v>
      </c>
      <c r="I2329" s="61">
        <v>79105.88</v>
      </c>
    </row>
    <row r="2330" spans="2:9">
      <c r="B2330" s="86">
        <v>42327</v>
      </c>
      <c r="C2330" s="61">
        <v>10437.709999999999</v>
      </c>
      <c r="H2330" s="86">
        <v>45520</v>
      </c>
      <c r="I2330" s="61">
        <v>80436.84</v>
      </c>
    </row>
    <row r="2331" spans="2:9">
      <c r="B2331" s="86">
        <v>42326</v>
      </c>
      <c r="C2331" s="61">
        <v>10290.030000000001</v>
      </c>
      <c r="H2331" s="86">
        <v>45523</v>
      </c>
      <c r="I2331" s="61">
        <v>80424.679999999993</v>
      </c>
    </row>
    <row r="2332" spans="2:9">
      <c r="B2332" s="86">
        <v>42325</v>
      </c>
      <c r="C2332" s="61">
        <v>10430.780000000001</v>
      </c>
      <c r="H2332" s="86">
        <v>45524</v>
      </c>
      <c r="I2332" s="61">
        <v>80802.86</v>
      </c>
    </row>
    <row r="2333" spans="2:9">
      <c r="B2333" s="86">
        <v>42324</v>
      </c>
      <c r="C2333" s="61">
        <v>10389.64</v>
      </c>
      <c r="H2333" s="86">
        <v>45525</v>
      </c>
      <c r="I2333" s="61">
        <v>80905.3</v>
      </c>
    </row>
    <row r="2334" spans="2:9">
      <c r="B2334" s="86">
        <v>42321</v>
      </c>
      <c r="C2334" s="61">
        <v>10330.6</v>
      </c>
      <c r="H2334" s="86">
        <v>45526</v>
      </c>
      <c r="I2334" s="61">
        <v>81053.19</v>
      </c>
    </row>
    <row r="2335" spans="2:9">
      <c r="B2335" s="86">
        <v>42319</v>
      </c>
      <c r="C2335" s="61">
        <v>10414.07</v>
      </c>
      <c r="H2335" s="86">
        <v>45527</v>
      </c>
      <c r="I2335" s="61">
        <v>81086.210000000006</v>
      </c>
    </row>
    <row r="2336" spans="2:9">
      <c r="B2336" s="86">
        <v>42318</v>
      </c>
      <c r="C2336" s="61">
        <v>10358.65</v>
      </c>
      <c r="H2336" s="86">
        <v>45530</v>
      </c>
      <c r="I2336" s="61">
        <v>81698.11</v>
      </c>
    </row>
    <row r="2337" spans="2:9">
      <c r="B2337" s="86">
        <v>42317</v>
      </c>
      <c r="C2337" s="61">
        <v>10531.91</v>
      </c>
      <c r="H2337" s="86">
        <v>45531</v>
      </c>
      <c r="I2337" s="61">
        <v>81711.759999999995</v>
      </c>
    </row>
    <row r="2338" spans="2:9">
      <c r="B2338" s="86">
        <v>42314</v>
      </c>
      <c r="C2338" s="61">
        <v>10583.88</v>
      </c>
      <c r="H2338" s="86">
        <v>45532</v>
      </c>
      <c r="I2338" s="61">
        <v>81785.56</v>
      </c>
    </row>
    <row r="2339" spans="2:9">
      <c r="B2339" s="86">
        <v>42313</v>
      </c>
      <c r="C2339" s="61">
        <v>10585.41</v>
      </c>
      <c r="H2339" s="86">
        <v>45533</v>
      </c>
      <c r="I2339" s="61">
        <v>82134.61</v>
      </c>
    </row>
    <row r="2340" spans="2:9">
      <c r="B2340" s="86">
        <v>42312</v>
      </c>
      <c r="C2340" s="61">
        <v>10698.19</v>
      </c>
      <c r="H2340" s="86">
        <v>45534</v>
      </c>
      <c r="I2340" s="61">
        <v>82365.77</v>
      </c>
    </row>
    <row r="2341" spans="2:9">
      <c r="B2341" s="86">
        <v>42311</v>
      </c>
      <c r="C2341" s="61">
        <v>10725.48</v>
      </c>
      <c r="H2341" s="86">
        <v>45537</v>
      </c>
      <c r="I2341" s="61">
        <v>82559.839999999997</v>
      </c>
    </row>
    <row r="2342" spans="2:9">
      <c r="B2342" s="86">
        <v>42310</v>
      </c>
      <c r="C2342" s="61">
        <v>10712.32</v>
      </c>
      <c r="H2342" s="86">
        <v>45538</v>
      </c>
      <c r="I2342" s="61">
        <v>82555.44</v>
      </c>
    </row>
    <row r="2343" spans="2:9">
      <c r="B2343" s="86">
        <v>42307</v>
      </c>
      <c r="C2343" s="61">
        <v>10732.25</v>
      </c>
      <c r="H2343" s="86">
        <v>45539</v>
      </c>
      <c r="I2343" s="61">
        <v>82352.639999999999</v>
      </c>
    </row>
    <row r="2344" spans="2:9">
      <c r="B2344" s="86">
        <v>42306</v>
      </c>
      <c r="C2344" s="61">
        <v>10792.35</v>
      </c>
      <c r="H2344" s="86">
        <v>45540</v>
      </c>
      <c r="I2344" s="61">
        <v>82201.16</v>
      </c>
    </row>
    <row r="2345" spans="2:9">
      <c r="B2345" s="86">
        <v>42305</v>
      </c>
      <c r="C2345" s="61">
        <v>10871.42</v>
      </c>
      <c r="H2345" s="86">
        <v>45541</v>
      </c>
      <c r="I2345" s="61">
        <v>81183.929999999993</v>
      </c>
    </row>
    <row r="2346" spans="2:9">
      <c r="B2346" s="86">
        <v>42304</v>
      </c>
      <c r="C2346" s="61">
        <v>10953.26</v>
      </c>
      <c r="H2346" s="86">
        <v>45544</v>
      </c>
      <c r="I2346" s="61">
        <v>81559.539999999994</v>
      </c>
    </row>
    <row r="2347" spans="2:9">
      <c r="B2347" s="86">
        <v>42303</v>
      </c>
      <c r="C2347" s="61">
        <v>10990.02</v>
      </c>
      <c r="H2347" s="86">
        <v>45545</v>
      </c>
      <c r="I2347" s="61">
        <v>81921.289999999994</v>
      </c>
    </row>
    <row r="2348" spans="2:9">
      <c r="B2348" s="86">
        <v>42300</v>
      </c>
      <c r="C2348" s="61">
        <v>11036.44</v>
      </c>
      <c r="H2348" s="86">
        <v>45546</v>
      </c>
      <c r="I2348" s="61">
        <v>81523.16</v>
      </c>
    </row>
    <row r="2349" spans="2:9">
      <c r="B2349" s="86">
        <v>42298</v>
      </c>
      <c r="C2349" s="61">
        <v>10976.65</v>
      </c>
      <c r="H2349" s="86">
        <v>45547</v>
      </c>
      <c r="I2349" s="61">
        <v>82962.710000000006</v>
      </c>
    </row>
    <row r="2350" spans="2:9">
      <c r="B2350" s="86">
        <v>42297</v>
      </c>
      <c r="C2350" s="61">
        <v>10989</v>
      </c>
      <c r="H2350" s="86">
        <v>45548</v>
      </c>
      <c r="I2350" s="61">
        <v>82890.94</v>
      </c>
    </row>
    <row r="2351" spans="2:9">
      <c r="B2351" s="86">
        <v>42296</v>
      </c>
      <c r="C2351" s="61">
        <v>11006.79</v>
      </c>
      <c r="H2351" s="86">
        <v>45551</v>
      </c>
      <c r="I2351" s="61">
        <v>82988.78</v>
      </c>
    </row>
    <row r="2352" spans="2:9">
      <c r="B2352" s="86">
        <v>42293</v>
      </c>
      <c r="C2352" s="61">
        <v>10956.47</v>
      </c>
      <c r="H2352" s="86">
        <v>45552</v>
      </c>
      <c r="I2352" s="61">
        <v>83079.66</v>
      </c>
    </row>
    <row r="2353" spans="2:9">
      <c r="B2353" s="86">
        <v>42292</v>
      </c>
      <c r="C2353" s="61">
        <v>10872.82</v>
      </c>
      <c r="H2353" s="86">
        <v>45553</v>
      </c>
      <c r="I2353" s="61">
        <v>82948.23</v>
      </c>
    </row>
    <row r="2354" spans="2:9">
      <c r="B2354" s="86">
        <v>42291</v>
      </c>
      <c r="C2354" s="61">
        <v>10777.67</v>
      </c>
      <c r="H2354" s="86">
        <v>45554</v>
      </c>
      <c r="I2354" s="61">
        <v>83184.800000000003</v>
      </c>
    </row>
    <row r="2355" spans="2:9">
      <c r="B2355" s="86">
        <v>42290</v>
      </c>
      <c r="C2355" s="61">
        <v>10809.32</v>
      </c>
      <c r="H2355" s="86">
        <v>45555</v>
      </c>
      <c r="I2355" s="61">
        <v>84544.31</v>
      </c>
    </row>
    <row r="2356" spans="2:9">
      <c r="B2356" s="86">
        <v>42289</v>
      </c>
      <c r="C2356" s="61">
        <v>10825.14</v>
      </c>
      <c r="H2356" s="86">
        <v>45558</v>
      </c>
      <c r="I2356" s="61">
        <v>84928.61</v>
      </c>
    </row>
    <row r="2357" spans="2:9">
      <c r="B2357" s="86">
        <v>42286</v>
      </c>
      <c r="C2357" s="61">
        <v>10886.38</v>
      </c>
      <c r="H2357" s="86">
        <v>45559</v>
      </c>
      <c r="I2357" s="61">
        <v>84914.04</v>
      </c>
    </row>
    <row r="2358" spans="2:9">
      <c r="B2358" s="86">
        <v>42285</v>
      </c>
      <c r="C2358" s="61">
        <v>10806.18</v>
      </c>
      <c r="H2358" s="86">
        <v>45560</v>
      </c>
      <c r="I2358" s="61">
        <v>85169.87</v>
      </c>
    </row>
    <row r="2359" spans="2:9">
      <c r="B2359" s="86">
        <v>42284</v>
      </c>
      <c r="C2359" s="61">
        <v>10870.04</v>
      </c>
      <c r="H2359" s="86">
        <v>45561</v>
      </c>
      <c r="I2359" s="61">
        <v>85836.12</v>
      </c>
    </row>
    <row r="2360" spans="2:9">
      <c r="B2360" s="86">
        <v>42283</v>
      </c>
      <c r="C2360" s="61">
        <v>10837.5</v>
      </c>
      <c r="H2360" s="86">
        <v>45562</v>
      </c>
      <c r="I2360" s="61">
        <v>85571.85</v>
      </c>
    </row>
    <row r="2361" spans="2:9">
      <c r="B2361" s="86">
        <v>42282</v>
      </c>
      <c r="C2361" s="61">
        <v>10792.79</v>
      </c>
      <c r="H2361" s="86">
        <v>45565</v>
      </c>
      <c r="I2361" s="61">
        <v>84299.78</v>
      </c>
    </row>
    <row r="2362" spans="2:9">
      <c r="B2362" s="86">
        <v>42278</v>
      </c>
      <c r="C2362" s="61">
        <v>10568.94</v>
      </c>
      <c r="H2362" s="86">
        <v>45566</v>
      </c>
      <c r="I2362" s="61">
        <v>84266.29</v>
      </c>
    </row>
    <row r="2363" spans="2:9">
      <c r="B2363" s="86">
        <v>42277</v>
      </c>
      <c r="C2363" s="61">
        <v>10566.29</v>
      </c>
      <c r="H2363" s="86">
        <v>45568</v>
      </c>
      <c r="I2363" s="61">
        <v>82497.100000000006</v>
      </c>
    </row>
    <row r="2364" spans="2:9">
      <c r="B2364" s="86">
        <v>42276</v>
      </c>
      <c r="C2364" s="61">
        <v>10425.93</v>
      </c>
      <c r="H2364" s="86">
        <v>45569</v>
      </c>
      <c r="I2364" s="61">
        <v>81688.45</v>
      </c>
    </row>
    <row r="2365" spans="2:9">
      <c r="B2365" s="86">
        <v>42275</v>
      </c>
      <c r="C2365" s="61">
        <v>10362.68</v>
      </c>
      <c r="H2365" s="86">
        <v>45572</v>
      </c>
      <c r="I2365" s="61">
        <v>81050</v>
      </c>
    </row>
    <row r="2366" spans="2:9">
      <c r="B2366" s="86">
        <v>42271</v>
      </c>
      <c r="C2366" s="61">
        <v>10459.44</v>
      </c>
      <c r="H2366" s="86">
        <v>45573</v>
      </c>
      <c r="I2366" s="61">
        <v>81634.81</v>
      </c>
    </row>
    <row r="2367" spans="2:9">
      <c r="B2367" s="86">
        <v>42270</v>
      </c>
      <c r="C2367" s="61">
        <v>10429.44</v>
      </c>
      <c r="H2367" s="86">
        <v>45574</v>
      </c>
      <c r="I2367" s="61">
        <v>81467.100000000006</v>
      </c>
    </row>
    <row r="2368" spans="2:9">
      <c r="B2368" s="86">
        <v>42269</v>
      </c>
      <c r="C2368" s="61">
        <v>10384.35</v>
      </c>
      <c r="H2368" s="86">
        <v>45575</v>
      </c>
      <c r="I2368" s="61">
        <v>81611.41</v>
      </c>
    </row>
    <row r="2369" spans="2:9">
      <c r="B2369" s="86">
        <v>42268</v>
      </c>
      <c r="C2369" s="61">
        <v>10603.8</v>
      </c>
      <c r="H2369" s="86">
        <v>45576</v>
      </c>
      <c r="I2369" s="61">
        <v>81381.36</v>
      </c>
    </row>
    <row r="2370" spans="2:9">
      <c r="B2370" s="86">
        <v>42265</v>
      </c>
      <c r="C2370" s="61">
        <v>10609.87</v>
      </c>
      <c r="H2370" s="86">
        <v>45579</v>
      </c>
      <c r="I2370" s="61">
        <v>81973.05</v>
      </c>
    </row>
    <row r="2371" spans="2:9">
      <c r="B2371" s="86">
        <v>42263</v>
      </c>
      <c r="C2371" s="61">
        <v>10499.73</v>
      </c>
      <c r="H2371" s="86">
        <v>45580</v>
      </c>
      <c r="I2371" s="61">
        <v>81820.12</v>
      </c>
    </row>
    <row r="2372" spans="2:9">
      <c r="B2372" s="86">
        <v>42262</v>
      </c>
      <c r="C2372" s="61">
        <v>10406.56</v>
      </c>
      <c r="H2372" s="86">
        <v>45581</v>
      </c>
      <c r="I2372" s="61">
        <v>81501.36</v>
      </c>
    </row>
    <row r="2373" spans="2:9">
      <c r="B2373" s="86">
        <v>42261</v>
      </c>
      <c r="C2373" s="61">
        <v>10463.93</v>
      </c>
      <c r="H2373" s="86">
        <v>45582</v>
      </c>
      <c r="I2373" s="61">
        <v>81006.61</v>
      </c>
    </row>
    <row r="2374" spans="2:9">
      <c r="B2374" s="86">
        <v>42258</v>
      </c>
      <c r="C2374" s="61">
        <v>10353.540000000001</v>
      </c>
      <c r="H2374" s="86">
        <v>45583</v>
      </c>
      <c r="I2374" s="61">
        <v>81224.75</v>
      </c>
    </row>
    <row r="2375" spans="2:9">
      <c r="B2375" s="86">
        <v>42257</v>
      </c>
      <c r="C2375" s="61">
        <v>10351.93</v>
      </c>
      <c r="H2375" s="86">
        <v>45586</v>
      </c>
      <c r="I2375" s="61">
        <v>81151.27</v>
      </c>
    </row>
    <row r="2376" spans="2:9">
      <c r="B2376" s="86">
        <v>42256</v>
      </c>
      <c r="C2376" s="61">
        <v>10392.450000000001</v>
      </c>
      <c r="H2376" s="86">
        <v>45587</v>
      </c>
      <c r="I2376" s="61">
        <v>80220.72</v>
      </c>
    </row>
    <row r="2377" spans="2:9">
      <c r="B2377" s="86">
        <v>42255</v>
      </c>
      <c r="C2377" s="61">
        <v>10219.209999999999</v>
      </c>
      <c r="H2377" s="86">
        <v>45588</v>
      </c>
      <c r="I2377" s="61">
        <v>80081.98</v>
      </c>
    </row>
    <row r="2378" spans="2:9">
      <c r="B2378" s="86">
        <v>42254</v>
      </c>
      <c r="C2378" s="61">
        <v>10047.15</v>
      </c>
      <c r="H2378" s="86">
        <v>45589</v>
      </c>
      <c r="I2378" s="61">
        <v>80065.16</v>
      </c>
    </row>
    <row r="2379" spans="2:9">
      <c r="B2379" s="86">
        <v>42251</v>
      </c>
      <c r="C2379" s="61">
        <v>10173.65</v>
      </c>
      <c r="H2379" s="86">
        <v>45590</v>
      </c>
      <c r="I2379" s="61">
        <v>79402.289999999994</v>
      </c>
    </row>
    <row r="2380" spans="2:9">
      <c r="B2380" s="86">
        <v>42250</v>
      </c>
      <c r="C2380" s="61">
        <v>10396.83</v>
      </c>
      <c r="H2380" s="86">
        <v>45593</v>
      </c>
      <c r="I2380" s="61">
        <v>80005.039999999994</v>
      </c>
    </row>
    <row r="2381" spans="2:9">
      <c r="B2381" s="86">
        <v>42249</v>
      </c>
      <c r="C2381" s="61">
        <v>10254.61</v>
      </c>
      <c r="H2381" s="86">
        <v>45594</v>
      </c>
      <c r="I2381" s="61">
        <v>80369.03</v>
      </c>
    </row>
    <row r="2382" spans="2:9">
      <c r="B2382" s="86">
        <v>42248</v>
      </c>
      <c r="C2382" s="61">
        <v>10346.16</v>
      </c>
      <c r="H2382" s="86">
        <v>45595</v>
      </c>
      <c r="I2382" s="61">
        <v>79942.179999999993</v>
      </c>
    </row>
    <row r="2383" spans="2:9">
      <c r="B2383" s="86">
        <v>42247</v>
      </c>
      <c r="C2383" s="61">
        <v>10588.8</v>
      </c>
      <c r="H2383" s="86">
        <v>45596</v>
      </c>
      <c r="I2383" s="61">
        <v>79389.06</v>
      </c>
    </row>
    <row r="2384" spans="2:9">
      <c r="B2384" s="86">
        <v>42244</v>
      </c>
      <c r="C2384" s="61">
        <v>10629.49</v>
      </c>
      <c r="H2384" s="86">
        <v>45597</v>
      </c>
      <c r="I2384" s="61">
        <v>79724.12</v>
      </c>
    </row>
    <row r="2385" spans="2:9">
      <c r="B2385" s="86">
        <v>42243</v>
      </c>
      <c r="C2385" s="61">
        <v>10557.5</v>
      </c>
      <c r="H2385" s="86">
        <v>45600</v>
      </c>
      <c r="I2385" s="61">
        <v>78782.240000000005</v>
      </c>
    </row>
    <row r="2386" spans="2:9">
      <c r="B2386" s="86">
        <v>42242</v>
      </c>
      <c r="C2386" s="61">
        <v>10348.4</v>
      </c>
      <c r="H2386" s="86">
        <v>45601</v>
      </c>
      <c r="I2386" s="61">
        <v>79476.63</v>
      </c>
    </row>
    <row r="2387" spans="2:9">
      <c r="B2387" s="86">
        <v>42241</v>
      </c>
      <c r="C2387" s="61">
        <v>10465.459999999999</v>
      </c>
      <c r="H2387" s="86">
        <v>45602</v>
      </c>
      <c r="I2387" s="61">
        <v>80378.13</v>
      </c>
    </row>
    <row r="2388" spans="2:9">
      <c r="B2388" s="86">
        <v>42240</v>
      </c>
      <c r="C2388" s="61">
        <v>10370.27</v>
      </c>
      <c r="H2388" s="86">
        <v>45603</v>
      </c>
      <c r="I2388" s="61">
        <v>79541.789999999994</v>
      </c>
    </row>
    <row r="2389" spans="2:9">
      <c r="B2389" s="86">
        <v>42237</v>
      </c>
      <c r="C2389" s="61">
        <v>11022.22</v>
      </c>
      <c r="H2389" s="86">
        <v>45604</v>
      </c>
      <c r="I2389" s="61">
        <v>79486.320000000007</v>
      </c>
    </row>
    <row r="2390" spans="2:9">
      <c r="B2390" s="86">
        <v>42236</v>
      </c>
      <c r="C2390" s="61">
        <v>11118.95</v>
      </c>
      <c r="H2390" s="86">
        <v>45607</v>
      </c>
      <c r="I2390" s="61">
        <v>79496.149999999994</v>
      </c>
    </row>
    <row r="2391" spans="2:9">
      <c r="B2391" s="86">
        <v>42235</v>
      </c>
      <c r="C2391" s="61">
        <v>11281.26</v>
      </c>
      <c r="H2391" s="86">
        <v>45608</v>
      </c>
      <c r="I2391" s="61">
        <v>78675.179999999993</v>
      </c>
    </row>
    <row r="2392" spans="2:9">
      <c r="B2392" s="86">
        <v>42234</v>
      </c>
      <c r="C2392" s="61">
        <v>11243.28</v>
      </c>
      <c r="H2392" s="86">
        <v>45609</v>
      </c>
      <c r="I2392" s="61">
        <v>77690.95</v>
      </c>
    </row>
    <row r="2393" spans="2:9">
      <c r="B2393" s="86">
        <v>42233</v>
      </c>
      <c r="C2393" s="61">
        <v>11257.56</v>
      </c>
      <c r="H2393" s="86">
        <v>45610</v>
      </c>
      <c r="I2393" s="61">
        <v>77580.31</v>
      </c>
    </row>
    <row r="2394" spans="2:9">
      <c r="B2394" s="86">
        <v>42230</v>
      </c>
      <c r="C2394" s="61">
        <v>11312.32</v>
      </c>
      <c r="H2394" s="86">
        <v>45614</v>
      </c>
      <c r="I2394" s="61">
        <v>77339.009999999995</v>
      </c>
    </row>
    <row r="2395" spans="2:9">
      <c r="B2395" s="86">
        <v>42229</v>
      </c>
      <c r="C2395" s="61">
        <v>11095.98</v>
      </c>
      <c r="H2395" s="86">
        <v>45615</v>
      </c>
      <c r="I2395" s="61">
        <v>77578.38</v>
      </c>
    </row>
    <row r="2396" spans="2:9">
      <c r="B2396" s="86">
        <v>42228</v>
      </c>
      <c r="C2396" s="61">
        <v>11086.67</v>
      </c>
      <c r="H2396" s="86">
        <v>45617</v>
      </c>
      <c r="I2396" s="61">
        <v>77155.789999999994</v>
      </c>
    </row>
    <row r="2397" spans="2:9">
      <c r="B2397" s="86">
        <v>42227</v>
      </c>
      <c r="C2397" s="61">
        <v>11236.57</v>
      </c>
      <c r="H2397" s="86">
        <v>45618</v>
      </c>
      <c r="I2397" s="61">
        <v>79117.11</v>
      </c>
    </row>
    <row r="2398" spans="2:9">
      <c r="B2398" s="86">
        <v>42226</v>
      </c>
      <c r="C2398" s="61">
        <v>11320.25</v>
      </c>
      <c r="H2398" s="86">
        <v>45621</v>
      </c>
      <c r="I2398" s="61">
        <v>80109.850000000006</v>
      </c>
    </row>
    <row r="2399" spans="2:9">
      <c r="B2399" s="86">
        <v>42223</v>
      </c>
      <c r="C2399" s="61">
        <v>11372.02</v>
      </c>
      <c r="H2399" s="86">
        <v>45622</v>
      </c>
      <c r="I2399" s="61">
        <v>80004.06</v>
      </c>
    </row>
    <row r="2400" spans="2:9">
      <c r="B2400" s="86">
        <v>42222</v>
      </c>
      <c r="C2400" s="61">
        <v>11402.67</v>
      </c>
      <c r="H2400" s="86">
        <v>45623</v>
      </c>
      <c r="I2400" s="61">
        <v>80234.080000000002</v>
      </c>
    </row>
    <row r="2401" spans="2:9">
      <c r="B2401" s="86">
        <v>42221</v>
      </c>
      <c r="C2401" s="61">
        <v>11375.18</v>
      </c>
      <c r="H2401" s="86">
        <v>45624</v>
      </c>
      <c r="I2401" s="61">
        <v>79043.740000000005</v>
      </c>
    </row>
    <row r="2402" spans="2:9">
      <c r="B2402" s="86">
        <v>42220</v>
      </c>
      <c r="C2402" s="61">
        <v>11307.41</v>
      </c>
      <c r="H2402" s="86">
        <v>45625</v>
      </c>
      <c r="I2402" s="61">
        <v>79802.789999999994</v>
      </c>
    </row>
    <row r="2403" spans="2:9">
      <c r="B2403" s="86">
        <v>42219</v>
      </c>
      <c r="C2403" s="61">
        <v>11342.11</v>
      </c>
      <c r="H2403" s="86">
        <v>45628</v>
      </c>
      <c r="I2403" s="61">
        <v>80248.08</v>
      </c>
    </row>
    <row r="2404" spans="2:9">
      <c r="B2404" s="86">
        <v>42216</v>
      </c>
      <c r="C2404" s="61">
        <v>11328.56</v>
      </c>
      <c r="H2404" s="86">
        <v>45629</v>
      </c>
      <c r="I2404" s="61">
        <v>80845.75</v>
      </c>
    </row>
    <row r="2405" spans="2:9">
      <c r="B2405" s="86">
        <v>42215</v>
      </c>
      <c r="C2405" s="61">
        <v>11180.79</v>
      </c>
      <c r="H2405" s="86">
        <v>45630</v>
      </c>
      <c r="I2405" s="61">
        <v>80956.33</v>
      </c>
    </row>
    <row r="2406" spans="2:9">
      <c r="B2406" s="86">
        <v>42214</v>
      </c>
      <c r="C2406" s="61">
        <v>11118.71</v>
      </c>
      <c r="H2406" s="86">
        <v>45631</v>
      </c>
      <c r="I2406" s="61">
        <v>81765.86</v>
      </c>
    </row>
    <row r="2407" spans="2:9">
      <c r="B2407" s="86">
        <v>42213</v>
      </c>
      <c r="C2407" s="61">
        <v>11068.18</v>
      </c>
      <c r="H2407" s="86">
        <v>45632</v>
      </c>
      <c r="I2407" s="61">
        <v>81709.119999999995</v>
      </c>
    </row>
    <row r="2408" spans="2:9">
      <c r="B2408" s="86">
        <v>42212</v>
      </c>
      <c r="C2408" s="61">
        <v>11100.03</v>
      </c>
      <c r="H2408" s="86">
        <v>45635</v>
      </c>
      <c r="I2408" s="61">
        <v>81508.460000000006</v>
      </c>
    </row>
    <row r="2409" spans="2:9">
      <c r="B2409" s="86">
        <v>42209</v>
      </c>
      <c r="C2409" s="61">
        <v>11313.22</v>
      </c>
      <c r="H2409" s="86">
        <v>45636</v>
      </c>
      <c r="I2409" s="61">
        <v>81510.05</v>
      </c>
    </row>
    <row r="2410" spans="2:9">
      <c r="B2410" s="86">
        <v>42208</v>
      </c>
      <c r="C2410" s="61">
        <v>11403.83</v>
      </c>
      <c r="H2410" s="86">
        <v>45637</v>
      </c>
      <c r="I2410" s="61">
        <v>81526.14</v>
      </c>
    </row>
    <row r="2411" spans="2:9">
      <c r="B2411" s="86">
        <v>42207</v>
      </c>
      <c r="C2411" s="61">
        <v>11459.27</v>
      </c>
      <c r="H2411" s="86">
        <v>45638</v>
      </c>
      <c r="I2411" s="61">
        <v>81289.960000000006</v>
      </c>
    </row>
    <row r="2412" spans="2:9">
      <c r="B2412" s="86">
        <v>42206</v>
      </c>
      <c r="C2412" s="61">
        <v>11320.88</v>
      </c>
      <c r="H2412" s="86">
        <v>45639</v>
      </c>
      <c r="I2412" s="61">
        <v>82133.119999999995</v>
      </c>
    </row>
    <row r="2413" spans="2:9">
      <c r="B2413" s="86">
        <v>42205</v>
      </c>
      <c r="C2413" s="61">
        <v>11419.13</v>
      </c>
      <c r="H2413" s="86">
        <v>45642</v>
      </c>
      <c r="I2413" s="61">
        <v>81748.570000000007</v>
      </c>
    </row>
    <row r="2414" spans="2:9">
      <c r="B2414" s="86">
        <v>42202</v>
      </c>
      <c r="C2414" s="61">
        <v>11424.87</v>
      </c>
      <c r="H2414" s="86">
        <v>45643</v>
      </c>
      <c r="I2414" s="61">
        <v>80684.45</v>
      </c>
    </row>
    <row r="2415" spans="2:9">
      <c r="B2415" s="86">
        <v>42201</v>
      </c>
      <c r="C2415" s="61">
        <v>11422.48</v>
      </c>
      <c r="H2415" s="86">
        <v>45644</v>
      </c>
      <c r="I2415" s="61">
        <v>80182.2</v>
      </c>
    </row>
    <row r="2416" spans="2:9">
      <c r="B2416" s="86">
        <v>42200</v>
      </c>
      <c r="C2416" s="61">
        <v>11309.1</v>
      </c>
      <c r="H2416" s="86">
        <v>45645</v>
      </c>
      <c r="I2416" s="61">
        <v>79218.05</v>
      </c>
    </row>
    <row r="2417" spans="2:9">
      <c r="B2417" s="86">
        <v>42199</v>
      </c>
      <c r="C2417" s="61">
        <v>11210.85</v>
      </c>
      <c r="H2417" s="86">
        <v>45646</v>
      </c>
      <c r="I2417" s="61">
        <v>78041.59</v>
      </c>
    </row>
    <row r="2418" spans="2:9">
      <c r="B2418" s="86">
        <v>42198</v>
      </c>
      <c r="C2418" s="61">
        <v>11217.67</v>
      </c>
      <c r="H2418" s="86">
        <v>45649</v>
      </c>
      <c r="I2418" s="61">
        <v>78540.17</v>
      </c>
    </row>
    <row r="2419" spans="2:9">
      <c r="B2419" s="86">
        <v>42195</v>
      </c>
      <c r="C2419" s="61">
        <v>11086.29</v>
      </c>
      <c r="H2419" s="86">
        <v>45650</v>
      </c>
      <c r="I2419" s="61">
        <v>78472.87</v>
      </c>
    </row>
    <row r="2420" spans="2:9">
      <c r="B2420" s="86">
        <v>42194</v>
      </c>
      <c r="C2420" s="61">
        <v>11043.14</v>
      </c>
      <c r="H2420" s="86">
        <v>45652</v>
      </c>
      <c r="I2420" s="61">
        <v>78472.479999999996</v>
      </c>
    </row>
    <row r="2421" spans="2:9">
      <c r="B2421" s="86">
        <v>42193</v>
      </c>
      <c r="C2421" s="61">
        <v>11084.34</v>
      </c>
      <c r="H2421" s="86">
        <v>45653</v>
      </c>
      <c r="I2421" s="61">
        <v>78699.070000000007</v>
      </c>
    </row>
    <row r="2422" spans="2:9">
      <c r="B2422" s="86">
        <v>42192</v>
      </c>
      <c r="C2422" s="61">
        <v>11279.56</v>
      </c>
      <c r="H2422" s="86">
        <v>45656</v>
      </c>
      <c r="I2422" s="61">
        <v>78248.13</v>
      </c>
    </row>
    <row r="2423" spans="2:9">
      <c r="B2423" s="86">
        <v>42191</v>
      </c>
      <c r="C2423" s="61">
        <v>11294.6</v>
      </c>
      <c r="H2423" s="86">
        <v>45657</v>
      </c>
      <c r="I2423" s="61">
        <v>78139.009999999995</v>
      </c>
    </row>
    <row r="2424" spans="2:9">
      <c r="B2424" s="86">
        <v>42188</v>
      </c>
      <c r="C2424" s="61">
        <v>11244.49</v>
      </c>
      <c r="H2424" s="86">
        <v>45658</v>
      </c>
      <c r="I2424" s="61">
        <v>78507.41</v>
      </c>
    </row>
    <row r="2425" spans="2:9">
      <c r="B2425" s="86">
        <v>42187</v>
      </c>
      <c r="C2425" s="61">
        <v>11191.5</v>
      </c>
      <c r="H2425" s="86">
        <v>45659</v>
      </c>
      <c r="I2425" s="61">
        <v>79943.710000000006</v>
      </c>
    </row>
    <row r="2426" spans="2:9">
      <c r="B2426" s="86">
        <v>42186</v>
      </c>
      <c r="C2426" s="61">
        <v>11197.83</v>
      </c>
      <c r="H2426" s="86">
        <v>45660</v>
      </c>
      <c r="I2426" s="61">
        <v>79223.11</v>
      </c>
    </row>
    <row r="2427" spans="2:9">
      <c r="B2427" s="86">
        <v>42185</v>
      </c>
      <c r="C2427" s="61">
        <v>11085.87</v>
      </c>
      <c r="H2427" s="86">
        <v>45663</v>
      </c>
      <c r="I2427" s="61">
        <v>77964.990000000005</v>
      </c>
    </row>
    <row r="2428" spans="2:9">
      <c r="B2428" s="86">
        <v>42184</v>
      </c>
      <c r="C2428" s="61">
        <v>11019.47</v>
      </c>
      <c r="H2428" s="86">
        <v>45664</v>
      </c>
      <c r="I2428" s="61">
        <v>78199.11</v>
      </c>
    </row>
    <row r="2429" spans="2:9">
      <c r="B2429" s="86">
        <v>42181</v>
      </c>
      <c r="C2429" s="61">
        <v>11102.52</v>
      </c>
      <c r="H2429" s="86">
        <v>45665</v>
      </c>
      <c r="I2429" s="61">
        <v>78148.490000000005</v>
      </c>
    </row>
    <row r="2430" spans="2:9">
      <c r="B2430" s="86">
        <v>42180</v>
      </c>
      <c r="C2430" s="61">
        <v>11124.95</v>
      </c>
      <c r="H2430" s="86">
        <v>45666</v>
      </c>
      <c r="I2430" s="61">
        <v>77620.210000000006</v>
      </c>
    </row>
    <row r="2431" spans="2:9">
      <c r="B2431" s="86">
        <v>42179</v>
      </c>
      <c r="C2431" s="61">
        <v>11075.71</v>
      </c>
      <c r="H2431" s="86">
        <v>45667</v>
      </c>
      <c r="I2431" s="61">
        <v>77378.91</v>
      </c>
    </row>
    <row r="2432" spans="2:9">
      <c r="B2432" s="86">
        <v>42178</v>
      </c>
      <c r="C2432" s="61">
        <v>11102.6</v>
      </c>
      <c r="H2432" s="86">
        <v>45670</v>
      </c>
      <c r="I2432" s="61">
        <v>76330.009999999995</v>
      </c>
    </row>
    <row r="2433" spans="2:9">
      <c r="B2433" s="86">
        <v>42177</v>
      </c>
      <c r="C2433" s="61">
        <v>11064.89</v>
      </c>
      <c r="H2433" s="86">
        <v>45671</v>
      </c>
      <c r="I2433" s="61">
        <v>76499.63</v>
      </c>
    </row>
    <row r="2434" spans="2:9">
      <c r="B2434" s="86">
        <v>42174</v>
      </c>
      <c r="C2434" s="61">
        <v>10894.44</v>
      </c>
      <c r="H2434" s="86">
        <v>45672</v>
      </c>
      <c r="I2434" s="61">
        <v>76724.08</v>
      </c>
    </row>
    <row r="2435" spans="2:9">
      <c r="B2435" s="86">
        <v>42173</v>
      </c>
      <c r="C2435" s="61">
        <v>10825.96</v>
      </c>
      <c r="H2435" s="86">
        <v>45673</v>
      </c>
      <c r="I2435" s="61">
        <v>77042.820000000007</v>
      </c>
    </row>
    <row r="2436" spans="2:9">
      <c r="B2436" s="86">
        <v>42172</v>
      </c>
      <c r="C2436" s="61">
        <v>10715.85</v>
      </c>
      <c r="H2436" s="86">
        <v>45674</v>
      </c>
      <c r="I2436" s="61">
        <v>76619.33</v>
      </c>
    </row>
    <row r="2437" spans="2:9">
      <c r="B2437" s="86">
        <v>42171</v>
      </c>
      <c r="C2437" s="61">
        <v>10657.23</v>
      </c>
      <c r="H2437" s="86">
        <v>45677</v>
      </c>
      <c r="I2437" s="61">
        <v>77073.440000000002</v>
      </c>
    </row>
    <row r="2438" spans="2:9">
      <c r="B2438" s="86">
        <v>42170</v>
      </c>
      <c r="C2438" s="61">
        <v>10612.12</v>
      </c>
      <c r="H2438" s="86">
        <v>45678</v>
      </c>
      <c r="I2438" s="61">
        <v>75838.36</v>
      </c>
    </row>
    <row r="2439" spans="2:9">
      <c r="B2439" s="86">
        <v>42167</v>
      </c>
      <c r="C2439" s="61">
        <v>10562.76</v>
      </c>
      <c r="H2439" s="86">
        <v>45679</v>
      </c>
      <c r="I2439" s="61">
        <v>76404.990000000005</v>
      </c>
    </row>
    <row r="2440" spans="2:9">
      <c r="B2440" s="86">
        <v>42166</v>
      </c>
      <c r="C2440" s="61">
        <v>10539.53</v>
      </c>
      <c r="H2440" s="86">
        <v>45680</v>
      </c>
      <c r="I2440" s="61">
        <v>76520.38</v>
      </c>
    </row>
    <row r="2441" spans="2:9">
      <c r="B2441" s="86">
        <v>42165</v>
      </c>
      <c r="C2441" s="61">
        <v>10750.07</v>
      </c>
      <c r="H2441" s="86">
        <v>45681</v>
      </c>
      <c r="I2441" s="61">
        <v>76190.460000000006</v>
      </c>
    </row>
    <row r="2442" spans="2:9">
      <c r="B2442" s="86">
        <v>42164</v>
      </c>
      <c r="C2442" s="61">
        <v>10615.01</v>
      </c>
      <c r="H2442" s="86">
        <v>45684</v>
      </c>
      <c r="I2442" s="61">
        <v>75366.17</v>
      </c>
    </row>
    <row r="2443" spans="2:9">
      <c r="B2443" s="86">
        <v>42163</v>
      </c>
      <c r="C2443" s="61">
        <v>10643.82</v>
      </c>
      <c r="H2443" s="86">
        <v>45685</v>
      </c>
      <c r="I2443" s="61">
        <v>75901.41</v>
      </c>
    </row>
    <row r="2444" spans="2:9">
      <c r="B2444" s="86">
        <v>42160</v>
      </c>
      <c r="C2444" s="61">
        <v>10737.17</v>
      </c>
      <c r="H2444" s="86">
        <v>45686</v>
      </c>
      <c r="I2444" s="61">
        <v>76532.960000000006</v>
      </c>
    </row>
    <row r="2445" spans="2:9">
      <c r="B2445" s="86">
        <v>42159</v>
      </c>
      <c r="C2445" s="61">
        <v>10754.83</v>
      </c>
      <c r="H2445" s="86">
        <v>45687</v>
      </c>
      <c r="I2445" s="61">
        <v>76759.81</v>
      </c>
    </row>
    <row r="2446" spans="2:9">
      <c r="B2446" s="86">
        <v>42158</v>
      </c>
      <c r="C2446" s="61">
        <v>10752.52</v>
      </c>
      <c r="H2446" s="86">
        <v>45688</v>
      </c>
      <c r="I2446" s="61">
        <v>77500.570000000007</v>
      </c>
    </row>
    <row r="2447" spans="2:9">
      <c r="B2447" s="86">
        <v>42157</v>
      </c>
      <c r="C2447" s="61">
        <v>10876.52</v>
      </c>
      <c r="H2447" s="86">
        <v>45689</v>
      </c>
      <c r="I2447" s="61">
        <v>77505.960000000006</v>
      </c>
    </row>
    <row r="2448" spans="2:9">
      <c r="B2448" s="86">
        <v>42156</v>
      </c>
      <c r="C2448" s="61">
        <v>11136.64</v>
      </c>
      <c r="H2448" s="86">
        <v>45691</v>
      </c>
      <c r="I2448" s="61">
        <v>77186.740000000005</v>
      </c>
    </row>
    <row r="2449" spans="2:9">
      <c r="B2449" s="86">
        <v>42153</v>
      </c>
      <c r="C2449" s="61">
        <v>11135.85</v>
      </c>
      <c r="H2449" s="86">
        <v>45692</v>
      </c>
      <c r="I2449" s="61">
        <v>78583.81</v>
      </c>
    </row>
    <row r="2450" spans="2:9">
      <c r="B2450" s="86">
        <v>42152</v>
      </c>
      <c r="C2450" s="61">
        <v>10984.45</v>
      </c>
      <c r="H2450" s="86">
        <v>45693</v>
      </c>
      <c r="I2450" s="61">
        <v>78271.28</v>
      </c>
    </row>
    <row r="2451" spans="2:9">
      <c r="B2451" s="86">
        <v>42151</v>
      </c>
      <c r="C2451" s="61">
        <v>11001.96</v>
      </c>
      <c r="H2451" s="86">
        <v>45694</v>
      </c>
      <c r="I2451" s="61">
        <v>78058.16</v>
      </c>
    </row>
    <row r="2452" spans="2:9">
      <c r="B2452" s="86">
        <v>42150</v>
      </c>
      <c r="C2452" s="61">
        <v>11008.25</v>
      </c>
      <c r="H2452" s="86">
        <v>45695</v>
      </c>
      <c r="I2452" s="61">
        <v>77860.19</v>
      </c>
    </row>
    <row r="2453" spans="2:9">
      <c r="B2453" s="86">
        <v>42149</v>
      </c>
      <c r="C2453" s="61">
        <v>11049</v>
      </c>
      <c r="H2453" s="86">
        <v>45698</v>
      </c>
      <c r="I2453" s="61">
        <v>77311.8</v>
      </c>
    </row>
    <row r="2454" spans="2:9">
      <c r="B2454" s="86">
        <v>42146</v>
      </c>
      <c r="C2454" s="61">
        <v>11166.12</v>
      </c>
      <c r="H2454" s="86">
        <v>45699</v>
      </c>
      <c r="I2454" s="61">
        <v>76293.600000000006</v>
      </c>
    </row>
    <row r="2455" spans="2:9">
      <c r="B2455" s="86">
        <v>42145</v>
      </c>
      <c r="C2455" s="61">
        <v>11116</v>
      </c>
      <c r="H2455" s="86">
        <v>45700</v>
      </c>
      <c r="I2455" s="61">
        <v>76171.08</v>
      </c>
    </row>
    <row r="2456" spans="2:9">
      <c r="B2456" s="86">
        <v>42144</v>
      </c>
      <c r="C2456" s="61">
        <v>11118.14</v>
      </c>
      <c r="H2456" s="86">
        <v>45701</v>
      </c>
      <c r="I2456" s="61">
        <v>76138.97</v>
      </c>
    </row>
    <row r="2457" spans="2:9">
      <c r="B2457" s="86">
        <v>42143</v>
      </c>
      <c r="C2457" s="61">
        <v>11042.12</v>
      </c>
      <c r="H2457" s="86">
        <v>45702</v>
      </c>
      <c r="I2457" s="61">
        <v>75939.210000000006</v>
      </c>
    </row>
    <row r="2458" spans="2:9">
      <c r="B2458" s="86">
        <v>42142</v>
      </c>
      <c r="C2458" s="61">
        <v>11052.7</v>
      </c>
      <c r="H2458" s="86">
        <v>45705</v>
      </c>
      <c r="I2458" s="61">
        <v>75996.86</v>
      </c>
    </row>
    <row r="2459" spans="2:9">
      <c r="B2459" s="86">
        <v>42139</v>
      </c>
      <c r="C2459" s="61">
        <v>10905.75</v>
      </c>
      <c r="H2459" s="86">
        <v>45706</v>
      </c>
      <c r="I2459" s="61">
        <v>75967.39</v>
      </c>
    </row>
    <row r="2460" spans="2:9">
      <c r="B2460" s="86">
        <v>42138</v>
      </c>
      <c r="C2460" s="61">
        <v>10855.42</v>
      </c>
      <c r="H2460" s="86">
        <v>45707</v>
      </c>
      <c r="I2460" s="61">
        <v>75939.179999999993</v>
      </c>
    </row>
    <row r="2461" spans="2:9">
      <c r="B2461" s="86">
        <v>42137</v>
      </c>
      <c r="C2461" s="61">
        <v>10870.3</v>
      </c>
      <c r="H2461" s="86">
        <v>45708</v>
      </c>
      <c r="I2461" s="61">
        <v>75735.960000000006</v>
      </c>
    </row>
    <row r="2462" spans="2:9">
      <c r="B2462" s="86">
        <v>42136</v>
      </c>
      <c r="C2462" s="61">
        <v>10727.03</v>
      </c>
      <c r="H2462" s="86">
        <v>45709</v>
      </c>
      <c r="I2462" s="61">
        <v>75311.06</v>
      </c>
    </row>
    <row r="2463" spans="2:9">
      <c r="B2463" s="86">
        <v>42135</v>
      </c>
      <c r="C2463" s="61">
        <v>10988.82</v>
      </c>
      <c r="H2463" s="86">
        <v>45712</v>
      </c>
      <c r="I2463" s="61">
        <v>74454.41</v>
      </c>
    </row>
    <row r="2464" spans="2:9">
      <c r="B2464" s="86">
        <v>42132</v>
      </c>
      <c r="C2464" s="61">
        <v>10812.25</v>
      </c>
      <c r="H2464" s="86">
        <v>45713</v>
      </c>
      <c r="I2464" s="61">
        <v>74602.12</v>
      </c>
    </row>
    <row r="2465" spans="2:9">
      <c r="B2465" s="86">
        <v>42131</v>
      </c>
      <c r="C2465" s="61">
        <v>10630.43</v>
      </c>
      <c r="H2465" s="86">
        <v>45715</v>
      </c>
      <c r="I2465" s="61">
        <v>74612.429999999993</v>
      </c>
    </row>
    <row r="2466" spans="2:9">
      <c r="B2466" s="86">
        <v>42130</v>
      </c>
      <c r="C2466" s="61">
        <v>10682.81</v>
      </c>
      <c r="H2466" s="86">
        <v>45716</v>
      </c>
      <c r="I2466" s="61">
        <v>73198.100000000006</v>
      </c>
    </row>
    <row r="2467" spans="2:9">
      <c r="B2467" s="86">
        <v>42129</v>
      </c>
      <c r="C2467" s="61">
        <v>10983.33</v>
      </c>
      <c r="H2467" s="86">
        <v>45719</v>
      </c>
      <c r="I2467" s="61">
        <v>73085.94</v>
      </c>
    </row>
    <row r="2468" spans="2:9">
      <c r="B2468" s="86">
        <v>42128</v>
      </c>
      <c r="C2468" s="61">
        <v>10992.81</v>
      </c>
      <c r="H2468" s="86">
        <v>45720</v>
      </c>
      <c r="I2468" s="61">
        <v>72989.929999999993</v>
      </c>
    </row>
    <row r="2469" spans="2:9">
      <c r="B2469" s="86">
        <v>42124</v>
      </c>
      <c r="C2469" s="61">
        <v>10794.27</v>
      </c>
      <c r="H2469" s="86">
        <v>45721</v>
      </c>
      <c r="I2469" s="61">
        <v>73730.23</v>
      </c>
    </row>
    <row r="2470" spans="2:9">
      <c r="B2470" s="86">
        <v>42123</v>
      </c>
      <c r="C2470" s="61">
        <v>10871.15</v>
      </c>
      <c r="H2470" s="86">
        <v>45722</v>
      </c>
      <c r="I2470" s="61">
        <v>74340.09</v>
      </c>
    </row>
    <row r="2471" spans="2:9">
      <c r="B2471" s="86">
        <v>42122</v>
      </c>
      <c r="C2471" s="61">
        <v>10931.63</v>
      </c>
      <c r="H2471" s="86">
        <v>45723</v>
      </c>
      <c r="I2471" s="61">
        <v>74332.58</v>
      </c>
    </row>
    <row r="2472" spans="2:9">
      <c r="B2472" s="86">
        <v>42121</v>
      </c>
      <c r="C2472" s="61">
        <v>10836.88</v>
      </c>
      <c r="H2472" s="86">
        <v>45726</v>
      </c>
      <c r="I2472" s="61">
        <v>74115.17</v>
      </c>
    </row>
    <row r="2473" spans="2:9">
      <c r="B2473" s="86">
        <v>42118</v>
      </c>
      <c r="C2473" s="61">
        <v>10957.58</v>
      </c>
      <c r="H2473" s="86">
        <v>45727</v>
      </c>
      <c r="I2473" s="61">
        <v>74102.320000000007</v>
      </c>
    </row>
    <row r="2474" spans="2:9">
      <c r="B2474" s="86">
        <v>42117</v>
      </c>
      <c r="C2474" s="61">
        <v>11079.67</v>
      </c>
      <c r="H2474" s="86">
        <v>45728</v>
      </c>
      <c r="I2474" s="61">
        <v>74029.759999999995</v>
      </c>
    </row>
    <row r="2475" spans="2:9">
      <c r="B2475" s="86">
        <v>42116</v>
      </c>
      <c r="C2475" s="61">
        <v>11121.12</v>
      </c>
      <c r="H2475" s="86">
        <v>45729</v>
      </c>
      <c r="I2475" s="61">
        <v>73828.91</v>
      </c>
    </row>
    <row r="2476" spans="2:9">
      <c r="B2476" s="86">
        <v>42115</v>
      </c>
      <c r="C2476" s="61">
        <v>11052.56</v>
      </c>
      <c r="H2476" s="86">
        <v>45733</v>
      </c>
      <c r="I2476" s="61">
        <v>74169.95</v>
      </c>
    </row>
    <row r="2477" spans="2:9">
      <c r="B2477" s="86">
        <v>42114</v>
      </c>
      <c r="C2477" s="61">
        <v>11145.37</v>
      </c>
      <c r="H2477" s="86">
        <v>45734</v>
      </c>
      <c r="I2477" s="61">
        <v>75301.259999999995</v>
      </c>
    </row>
    <row r="2478" spans="2:9">
      <c r="B2478" s="86">
        <v>42111</v>
      </c>
      <c r="C2478" s="61">
        <v>11353.68</v>
      </c>
      <c r="H2478" s="86">
        <v>45735</v>
      </c>
      <c r="I2478" s="61">
        <v>75449.05</v>
      </c>
    </row>
    <row r="2479" spans="2:9">
      <c r="B2479" s="86">
        <v>42110</v>
      </c>
      <c r="C2479" s="61">
        <v>11486.56</v>
      </c>
      <c r="H2479" s="86">
        <v>45736</v>
      </c>
      <c r="I2479" s="61">
        <v>76348.06</v>
      </c>
    </row>
    <row r="2480" spans="2:9">
      <c r="B2480" s="86">
        <v>42109</v>
      </c>
      <c r="C2480" s="61">
        <v>11543.96</v>
      </c>
      <c r="H2480" s="86">
        <v>45737</v>
      </c>
      <c r="I2480" s="61">
        <v>76905.509999999995</v>
      </c>
    </row>
    <row r="2481" spans="2:9">
      <c r="B2481" s="86">
        <v>42107</v>
      </c>
      <c r="C2481" s="61">
        <v>11654.49</v>
      </c>
      <c r="H2481" s="86">
        <v>45740</v>
      </c>
      <c r="I2481" s="61">
        <v>77984.38</v>
      </c>
    </row>
    <row r="2482" spans="2:9">
      <c r="B2482" s="86">
        <v>42104</v>
      </c>
      <c r="C2482" s="61">
        <v>11583.75</v>
      </c>
      <c r="H2482" s="86">
        <v>45741</v>
      </c>
      <c r="I2482" s="61">
        <v>78017.19</v>
      </c>
    </row>
    <row r="2483" spans="2:9">
      <c r="B2483" s="86">
        <v>42103</v>
      </c>
      <c r="C2483" s="61">
        <v>11581.01</v>
      </c>
      <c r="H2483" s="86">
        <v>45742</v>
      </c>
      <c r="I2483" s="61">
        <v>77288.5</v>
      </c>
    </row>
    <row r="2484" spans="2:9">
      <c r="B2484" s="86">
        <v>42102</v>
      </c>
      <c r="C2484" s="61">
        <v>11496.74</v>
      </c>
      <c r="H2484" s="86">
        <v>45743</v>
      </c>
      <c r="I2484" s="61">
        <v>77606.429999999993</v>
      </c>
    </row>
    <row r="2485" spans="2:9">
      <c r="B2485" s="86">
        <v>42101</v>
      </c>
      <c r="C2485" s="61">
        <v>11425.33</v>
      </c>
      <c r="H2485" s="86">
        <v>45744</v>
      </c>
      <c r="I2485" s="61">
        <v>77414.92</v>
      </c>
    </row>
    <row r="2486" spans="2:9">
      <c r="B2486" s="86">
        <v>42100</v>
      </c>
      <c r="C2486" s="61">
        <v>11424.83</v>
      </c>
      <c r="H2486" s="86"/>
      <c r="I2486" s="61"/>
    </row>
    <row r="2487" spans="2:9">
      <c r="B2487" s="86">
        <v>42095</v>
      </c>
      <c r="C2487" s="61">
        <v>11327.63</v>
      </c>
      <c r="H2487" s="86"/>
      <c r="I2487" s="61"/>
    </row>
  </sheetData>
  <mergeCells count="3">
    <mergeCell ref="B9:C9"/>
    <mergeCell ref="H9:I9"/>
    <mergeCell ref="B7:M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71"/>
  <sheetViews>
    <sheetView showGridLines="0" workbookViewId="0">
      <pane ySplit="5" topLeftCell="A6" activePane="bottomLeft" state="frozen"/>
      <selection pane="bottomLeft" activeCell="A6" sqref="A6"/>
    </sheetView>
  </sheetViews>
  <sheetFormatPr defaultRowHeight="15"/>
  <cols>
    <col min="1" max="1" width="1.85546875" customWidth="1"/>
    <col min="2" max="2" width="17.85546875" customWidth="1"/>
    <col min="3" max="3" width="12.28515625" bestFit="1" customWidth="1"/>
    <col min="4" max="4" width="10" bestFit="1" customWidth="1"/>
    <col min="5" max="5" width="12.28515625" bestFit="1" customWidth="1"/>
    <col min="14" max="14" width="13.42578125" bestFit="1" customWidth="1"/>
  </cols>
  <sheetData>
    <row r="1" spans="2:18" ht="5.0999999999999996" customHeight="1">
      <c r="B1" s="30"/>
      <c r="C1" s="30"/>
      <c r="D1" s="30"/>
      <c r="E1" s="30"/>
      <c r="F1" s="30"/>
      <c r="G1" s="30"/>
      <c r="H1" s="30"/>
      <c r="I1" s="30"/>
      <c r="J1" s="30"/>
      <c r="K1" s="30"/>
      <c r="L1" s="30"/>
      <c r="M1" s="30"/>
      <c r="N1" s="30"/>
      <c r="O1" s="30"/>
      <c r="P1" s="30"/>
      <c r="Q1" s="30"/>
      <c r="R1" s="30"/>
    </row>
    <row r="2" spans="2:18" ht="14.25" customHeight="1"/>
    <row r="3" spans="2:18" ht="15.75" customHeight="1">
      <c r="B3" s="170" t="s">
        <v>260</v>
      </c>
    </row>
    <row r="4" spans="2:18">
      <c r="B4" s="171" t="s">
        <v>262</v>
      </c>
    </row>
    <row r="5" spans="2:18">
      <c r="B5" s="25" t="s">
        <v>261</v>
      </c>
      <c r="C5" s="29"/>
      <c r="D5" s="29"/>
      <c r="E5" s="29"/>
      <c r="F5" s="29"/>
      <c r="G5" s="29"/>
      <c r="H5" s="29"/>
      <c r="I5" s="29"/>
      <c r="J5" s="29"/>
      <c r="K5" s="29"/>
      <c r="L5" s="29"/>
      <c r="M5" s="29"/>
      <c r="N5" s="29"/>
      <c r="O5" s="29"/>
      <c r="P5" s="29"/>
      <c r="Q5" s="29"/>
      <c r="R5" s="29"/>
    </row>
    <row r="7" spans="2:18">
      <c r="B7" s="313" t="s">
        <v>263</v>
      </c>
      <c r="C7" s="313"/>
      <c r="D7" s="313"/>
      <c r="E7" s="313"/>
      <c r="F7" s="313"/>
      <c r="G7" s="313"/>
      <c r="H7" s="313"/>
      <c r="I7" s="313"/>
      <c r="J7" s="313"/>
      <c r="K7" s="313"/>
      <c r="L7" s="313"/>
      <c r="M7" s="313"/>
      <c r="N7" s="313"/>
      <c r="O7" s="313"/>
      <c r="P7" s="313"/>
      <c r="Q7" s="313"/>
      <c r="R7" s="313"/>
    </row>
    <row r="8" spans="2:18">
      <c r="B8" s="173" t="s">
        <v>121</v>
      </c>
      <c r="C8" s="173" t="s">
        <v>124</v>
      </c>
      <c r="D8" s="173" t="s">
        <v>125</v>
      </c>
      <c r="E8" s="173" t="s">
        <v>124</v>
      </c>
      <c r="F8" s="173" t="s">
        <v>126</v>
      </c>
    </row>
    <row r="9" spans="2:18" ht="15.75" thickBot="1">
      <c r="B9" s="60">
        <v>43922</v>
      </c>
      <c r="C9" s="61">
        <v>33717.620000000003</v>
      </c>
      <c r="D9" s="61"/>
      <c r="E9" s="61">
        <v>379.9</v>
      </c>
      <c r="F9" s="61"/>
    </row>
    <row r="10" spans="2:18" ht="15.75" thickBot="1">
      <c r="B10" s="60">
        <v>43952</v>
      </c>
      <c r="C10" s="61">
        <v>32424.1</v>
      </c>
      <c r="D10" s="62">
        <f>C10/C9-1</f>
        <v>-3.8363324576289881E-2</v>
      </c>
      <c r="E10" s="61">
        <v>332.1</v>
      </c>
      <c r="F10" s="62">
        <f>E10/E9-1</f>
        <v>-0.12582258489076059</v>
      </c>
      <c r="I10" s="93" t="s">
        <v>127</v>
      </c>
      <c r="J10" s="96">
        <f>SLOPE(F10:F68,D10:D68)</f>
        <v>1.1340097822861532</v>
      </c>
      <c r="N10" s="81" t="s">
        <v>129</v>
      </c>
      <c r="O10" s="82">
        <f>_xlfn.COVARIANCE.P(F10:F68,D10:D68)</f>
        <v>1.8686650020945312E-3</v>
      </c>
    </row>
    <row r="11" spans="2:18" ht="16.5" thickTop="1" thickBot="1">
      <c r="B11" s="60">
        <v>43983</v>
      </c>
      <c r="C11" s="61">
        <v>34915.800000000003</v>
      </c>
      <c r="D11" s="62">
        <f t="shared" ref="D11:D68" si="0">C11/C10-1</f>
        <v>7.6847159982852409E-2</v>
      </c>
      <c r="E11" s="61">
        <v>351.45</v>
      </c>
      <c r="F11" s="62">
        <f t="shared" ref="F11:F68" si="1">E11/E10-1</f>
        <v>5.8265582655826487E-2</v>
      </c>
      <c r="I11" s="94" t="s">
        <v>127</v>
      </c>
      <c r="J11" s="97">
        <f>O10/O11</f>
        <v>1.1340097822861537</v>
      </c>
      <c r="N11" s="83" t="s">
        <v>128</v>
      </c>
      <c r="O11" s="84">
        <f>_xlfn.VAR.P(D10:D68)</f>
        <v>1.647838520693639E-3</v>
      </c>
    </row>
    <row r="12" spans="2:18" ht="16.5" thickTop="1" thickBot="1">
      <c r="B12" s="60">
        <v>44013</v>
      </c>
      <c r="C12" s="61">
        <v>37606.89</v>
      </c>
      <c r="D12" s="62">
        <f t="shared" si="0"/>
        <v>7.7073703022700224E-2</v>
      </c>
      <c r="E12" s="61">
        <v>346.9</v>
      </c>
      <c r="F12" s="62">
        <f t="shared" si="1"/>
        <v>-1.2946365059041121E-2</v>
      </c>
      <c r="I12" s="95" t="s">
        <v>127</v>
      </c>
      <c r="J12" s="98">
        <f>J32</f>
        <v>1.1340097822861535</v>
      </c>
    </row>
    <row r="13" spans="2:18">
      <c r="B13" s="60">
        <v>44044</v>
      </c>
      <c r="C13" s="61">
        <v>38628.29</v>
      </c>
      <c r="D13" s="62">
        <f t="shared" si="0"/>
        <v>2.7159916706752441E-2</v>
      </c>
      <c r="E13" s="61">
        <v>395</v>
      </c>
      <c r="F13" s="62">
        <f t="shared" si="1"/>
        <v>0.13865667339290866</v>
      </c>
    </row>
    <row r="14" spans="2:18" ht="15.75" thickBot="1">
      <c r="B14" s="60">
        <v>44075</v>
      </c>
      <c r="C14" s="61">
        <v>38067.93</v>
      </c>
      <c r="D14" s="62">
        <f t="shared" si="0"/>
        <v>-1.4506466633651183E-2</v>
      </c>
      <c r="E14" s="61">
        <v>354.9</v>
      </c>
      <c r="F14" s="62">
        <f t="shared" si="1"/>
        <v>-0.10151898734177223</v>
      </c>
    </row>
    <row r="15" spans="2:18">
      <c r="B15" s="60">
        <v>44105</v>
      </c>
      <c r="C15" s="61">
        <v>39614.07</v>
      </c>
      <c r="D15" s="62">
        <f t="shared" si="0"/>
        <v>4.061528956263194E-2</v>
      </c>
      <c r="E15" s="61">
        <v>392.55</v>
      </c>
      <c r="F15" s="62">
        <f t="shared" si="1"/>
        <v>0.10608622147083691</v>
      </c>
      <c r="I15" s="67" t="s">
        <v>130</v>
      </c>
      <c r="J15" s="68"/>
      <c r="K15" s="68"/>
      <c r="L15" s="68"/>
      <c r="M15" s="68"/>
      <c r="N15" s="68"/>
      <c r="O15" s="68"/>
      <c r="P15" s="68"/>
      <c r="Q15" s="69"/>
    </row>
    <row r="16" spans="2:18" ht="15.75" thickBot="1">
      <c r="B16" s="60">
        <v>44136</v>
      </c>
      <c r="C16" s="61">
        <v>44149.72</v>
      </c>
      <c r="D16" s="62">
        <f t="shared" si="0"/>
        <v>0.11449593540880798</v>
      </c>
      <c r="E16" s="61">
        <v>472.8</v>
      </c>
      <c r="F16" s="62">
        <f t="shared" si="1"/>
        <v>0.20443255636224689</v>
      </c>
      <c r="I16" s="70"/>
      <c r="J16" s="26"/>
      <c r="K16" s="26"/>
      <c r="L16" s="26"/>
      <c r="M16" s="26"/>
      <c r="N16" s="26"/>
      <c r="O16" s="26"/>
      <c r="P16" s="26"/>
      <c r="Q16" s="71"/>
    </row>
    <row r="17" spans="2:17">
      <c r="B17" s="60">
        <v>44166</v>
      </c>
      <c r="C17" s="61">
        <v>47751.33</v>
      </c>
      <c r="D17" s="62">
        <f t="shared" si="0"/>
        <v>8.15771878054945E-2</v>
      </c>
      <c r="E17" s="61">
        <v>534.79999999999995</v>
      </c>
      <c r="F17" s="62">
        <f t="shared" si="1"/>
        <v>0.13113367174280866</v>
      </c>
      <c r="I17" s="72" t="s">
        <v>131</v>
      </c>
      <c r="J17" s="66"/>
      <c r="K17" s="26"/>
      <c r="L17" s="26"/>
      <c r="M17" s="26"/>
      <c r="N17" s="26"/>
      <c r="O17" s="26"/>
      <c r="P17" s="26"/>
      <c r="Q17" s="71"/>
    </row>
    <row r="18" spans="2:17">
      <c r="B18" s="60">
        <v>44197</v>
      </c>
      <c r="C18" s="61">
        <v>46285.77</v>
      </c>
      <c r="D18" s="62">
        <f t="shared" si="0"/>
        <v>-3.0691501158187751E-2</v>
      </c>
      <c r="E18" s="61">
        <v>537</v>
      </c>
      <c r="F18" s="62">
        <f t="shared" si="1"/>
        <v>4.1136873597606982E-3</v>
      </c>
      <c r="I18" s="73" t="s">
        <v>132</v>
      </c>
      <c r="J18" s="63">
        <v>0.6877386360779254</v>
      </c>
      <c r="K18" s="26"/>
      <c r="L18" s="26"/>
      <c r="M18" s="26"/>
      <c r="N18" s="26"/>
      <c r="O18" s="26"/>
      <c r="P18" s="26"/>
      <c r="Q18" s="71"/>
    </row>
    <row r="19" spans="2:17">
      <c r="B19" s="60">
        <v>44228</v>
      </c>
      <c r="C19" s="61">
        <v>49099.99</v>
      </c>
      <c r="D19" s="62">
        <f t="shared" si="0"/>
        <v>6.0800976196355938E-2</v>
      </c>
      <c r="E19" s="61">
        <v>597.6</v>
      </c>
      <c r="F19" s="62">
        <f t="shared" si="1"/>
        <v>0.11284916201117312</v>
      </c>
      <c r="I19" s="73" t="s">
        <v>133</v>
      </c>
      <c r="J19" s="63">
        <v>0.47298443155432512</v>
      </c>
      <c r="K19" s="26"/>
      <c r="L19" s="26"/>
      <c r="M19" s="26"/>
      <c r="N19" s="26"/>
      <c r="O19" s="26"/>
      <c r="P19" s="26"/>
      <c r="Q19" s="71"/>
    </row>
    <row r="20" spans="2:17">
      <c r="B20" s="60">
        <v>44256</v>
      </c>
      <c r="C20" s="61">
        <v>49509.15</v>
      </c>
      <c r="D20" s="62">
        <f t="shared" si="0"/>
        <v>8.3331992531974208E-3</v>
      </c>
      <c r="E20" s="61">
        <v>581.25</v>
      </c>
      <c r="F20" s="62">
        <f t="shared" si="1"/>
        <v>-2.7359437751004023E-2</v>
      </c>
      <c r="I20" s="73" t="s">
        <v>134</v>
      </c>
      <c r="J20" s="63">
        <v>0.46373854438861156</v>
      </c>
      <c r="K20" s="26"/>
      <c r="L20" s="26"/>
      <c r="M20" s="26"/>
      <c r="N20" s="26"/>
      <c r="O20" s="26"/>
      <c r="P20" s="26"/>
      <c r="Q20" s="71"/>
    </row>
    <row r="21" spans="2:17">
      <c r="B21" s="60">
        <v>44287</v>
      </c>
      <c r="C21" s="61">
        <v>48782.36</v>
      </c>
      <c r="D21" s="62">
        <f t="shared" si="0"/>
        <v>-1.4679912703005393E-2</v>
      </c>
      <c r="E21" s="61">
        <v>600.4</v>
      </c>
      <c r="F21" s="62">
        <f t="shared" si="1"/>
        <v>3.2946236559139752E-2</v>
      </c>
      <c r="I21" s="73" t="s">
        <v>135</v>
      </c>
      <c r="J21" s="63">
        <v>4.9436874248133096E-2</v>
      </c>
      <c r="K21" s="26"/>
      <c r="L21" s="26"/>
      <c r="M21" s="26"/>
      <c r="N21" s="26"/>
      <c r="O21" s="26"/>
      <c r="P21" s="26"/>
      <c r="Q21" s="71"/>
    </row>
    <row r="22" spans="2:17" ht="15.75" thickBot="1">
      <c r="B22" s="60">
        <v>44317</v>
      </c>
      <c r="C22" s="61">
        <v>51937.440000000002</v>
      </c>
      <c r="D22" s="62">
        <f t="shared" si="0"/>
        <v>6.4676657709877183E-2</v>
      </c>
      <c r="E22" s="61">
        <v>662.2</v>
      </c>
      <c r="F22" s="62">
        <f t="shared" si="1"/>
        <v>0.10293137908061301</v>
      </c>
      <c r="I22" s="74" t="s">
        <v>136</v>
      </c>
      <c r="J22" s="64">
        <v>59</v>
      </c>
      <c r="K22" s="26"/>
      <c r="L22" s="26"/>
      <c r="M22" s="26"/>
      <c r="N22" s="26"/>
      <c r="O22" s="26"/>
      <c r="P22" s="26"/>
      <c r="Q22" s="71"/>
    </row>
    <row r="23" spans="2:17">
      <c r="B23" s="60">
        <v>44348</v>
      </c>
      <c r="C23" s="61">
        <v>52482.71</v>
      </c>
      <c r="D23" s="62">
        <f t="shared" si="0"/>
        <v>1.0498592152404784E-2</v>
      </c>
      <c r="E23" s="61">
        <v>630.85</v>
      </c>
      <c r="F23" s="62">
        <f t="shared" si="1"/>
        <v>-4.7342192691029905E-2</v>
      </c>
      <c r="I23" s="70"/>
      <c r="J23" s="26"/>
      <c r="K23" s="26"/>
      <c r="L23" s="26"/>
      <c r="M23" s="26"/>
      <c r="N23" s="26"/>
      <c r="O23" s="26"/>
      <c r="P23" s="26"/>
      <c r="Q23" s="71"/>
    </row>
    <row r="24" spans="2:17" ht="15.75" thickBot="1">
      <c r="B24" s="60">
        <v>44378</v>
      </c>
      <c r="C24" s="61">
        <v>52586.84</v>
      </c>
      <c r="D24" s="62">
        <f t="shared" si="0"/>
        <v>1.9840819957657185E-3</v>
      </c>
      <c r="E24" s="61">
        <v>682.7</v>
      </c>
      <c r="F24" s="62">
        <f t="shared" si="1"/>
        <v>8.2190695093920851E-2</v>
      </c>
      <c r="I24" s="70" t="s">
        <v>137</v>
      </c>
      <c r="J24" s="26"/>
      <c r="K24" s="26"/>
      <c r="L24" s="26"/>
      <c r="M24" s="26"/>
      <c r="N24" s="26"/>
      <c r="O24" s="26"/>
      <c r="P24" s="26"/>
      <c r="Q24" s="71"/>
    </row>
    <row r="25" spans="2:17">
      <c r="B25" s="60">
        <v>44409</v>
      </c>
      <c r="C25" s="61">
        <v>57552.39</v>
      </c>
      <c r="D25" s="62">
        <f t="shared" si="0"/>
        <v>9.4425715635318763E-2</v>
      </c>
      <c r="E25" s="61">
        <v>718.85</v>
      </c>
      <c r="F25" s="62">
        <f t="shared" si="1"/>
        <v>5.2951516039255964E-2</v>
      </c>
      <c r="I25" s="75"/>
      <c r="J25" s="65" t="s">
        <v>142</v>
      </c>
      <c r="K25" s="65" t="s">
        <v>143</v>
      </c>
      <c r="L25" s="65" t="s">
        <v>144</v>
      </c>
      <c r="M25" s="65" t="s">
        <v>145</v>
      </c>
      <c r="N25" s="65" t="s">
        <v>146</v>
      </c>
      <c r="O25" s="26"/>
      <c r="P25" s="26"/>
      <c r="Q25" s="71"/>
    </row>
    <row r="26" spans="2:17">
      <c r="B26" s="60">
        <v>44440</v>
      </c>
      <c r="C26" s="61">
        <v>59126.36</v>
      </c>
      <c r="D26" s="62">
        <f t="shared" si="0"/>
        <v>2.7348473277999386E-2</v>
      </c>
      <c r="E26" s="61">
        <v>700.8</v>
      </c>
      <c r="F26" s="62">
        <f t="shared" si="1"/>
        <v>-2.5109549975655621E-2</v>
      </c>
      <c r="I26" s="73" t="s">
        <v>138</v>
      </c>
      <c r="J26" s="63">
        <v>1</v>
      </c>
      <c r="K26" s="63">
        <v>0.12502597913926752</v>
      </c>
      <c r="L26" s="63">
        <v>0.12502597913926752</v>
      </c>
      <c r="M26" s="63">
        <v>51.15619767763198</v>
      </c>
      <c r="N26" s="63">
        <v>1.7733076064877618E-9</v>
      </c>
      <c r="O26" s="26"/>
      <c r="P26" s="26"/>
      <c r="Q26" s="71"/>
    </row>
    <row r="27" spans="2:17">
      <c r="B27" s="60">
        <v>44470</v>
      </c>
      <c r="C27" s="61">
        <v>59306.93</v>
      </c>
      <c r="D27" s="62">
        <f t="shared" si="0"/>
        <v>3.0539678072520893E-3</v>
      </c>
      <c r="E27" s="61">
        <v>802.3</v>
      </c>
      <c r="F27" s="62">
        <f t="shared" si="1"/>
        <v>0.14483447488584478</v>
      </c>
      <c r="I27" s="73" t="s">
        <v>139</v>
      </c>
      <c r="J27" s="63">
        <v>57</v>
      </c>
      <c r="K27" s="63">
        <v>0.13930825851926634</v>
      </c>
      <c r="L27" s="63">
        <v>2.4440045354257255E-3</v>
      </c>
      <c r="M27" s="63"/>
      <c r="N27" s="63"/>
      <c r="O27" s="26"/>
      <c r="P27" s="26"/>
      <c r="Q27" s="71"/>
    </row>
    <row r="28" spans="2:17" ht="15.75" thickBot="1">
      <c r="B28" s="60">
        <v>44501</v>
      </c>
      <c r="C28" s="61">
        <v>57064.87</v>
      </c>
      <c r="D28" s="62">
        <f t="shared" si="0"/>
        <v>-3.7804351026094252E-2</v>
      </c>
      <c r="E28" s="61">
        <v>714.3</v>
      </c>
      <c r="F28" s="62">
        <f t="shared" si="1"/>
        <v>-0.10968465661223981</v>
      </c>
      <c r="I28" s="74" t="s">
        <v>140</v>
      </c>
      <c r="J28" s="64">
        <v>58</v>
      </c>
      <c r="K28" s="64">
        <v>0.26433423765853387</v>
      </c>
      <c r="L28" s="64"/>
      <c r="M28" s="64"/>
      <c r="N28" s="64"/>
      <c r="O28" s="26"/>
      <c r="P28" s="26"/>
      <c r="Q28" s="71"/>
    </row>
    <row r="29" spans="2:17" ht="15.75" thickBot="1">
      <c r="B29" s="60">
        <v>44531</v>
      </c>
      <c r="C29" s="61">
        <v>58253.82</v>
      </c>
      <c r="D29" s="62">
        <f t="shared" si="0"/>
        <v>2.0835060169242414E-2</v>
      </c>
      <c r="E29" s="61">
        <v>740.25</v>
      </c>
      <c r="F29" s="62">
        <f t="shared" si="1"/>
        <v>3.6329273414531738E-2</v>
      </c>
      <c r="I29" s="70"/>
      <c r="J29" s="26"/>
      <c r="K29" s="26"/>
      <c r="L29" s="26"/>
      <c r="M29" s="26"/>
      <c r="N29" s="26"/>
      <c r="O29" s="26"/>
      <c r="P29" s="26"/>
      <c r="Q29" s="71"/>
    </row>
    <row r="30" spans="2:17">
      <c r="B30" s="60">
        <v>44562</v>
      </c>
      <c r="C30" s="61">
        <v>58014.17</v>
      </c>
      <c r="D30" s="62">
        <f t="shared" si="0"/>
        <v>-4.113893303477778E-3</v>
      </c>
      <c r="E30" s="61">
        <v>789.25</v>
      </c>
      <c r="F30" s="62">
        <f t="shared" si="1"/>
        <v>6.6193853427896077E-2</v>
      </c>
      <c r="I30" s="75"/>
      <c r="J30" s="65" t="s">
        <v>147</v>
      </c>
      <c r="K30" s="65" t="s">
        <v>135</v>
      </c>
      <c r="L30" s="65" t="s">
        <v>148</v>
      </c>
      <c r="M30" s="65" t="s">
        <v>149</v>
      </c>
      <c r="N30" s="65" t="s">
        <v>150</v>
      </c>
      <c r="O30" s="65" t="s">
        <v>151</v>
      </c>
      <c r="P30" s="65" t="s">
        <v>152</v>
      </c>
      <c r="Q30" s="76" t="s">
        <v>153</v>
      </c>
    </row>
    <row r="31" spans="2:17" ht="15.75" thickBot="1">
      <c r="B31" s="60">
        <v>44593</v>
      </c>
      <c r="C31" s="61">
        <v>56247.28</v>
      </c>
      <c r="D31" s="62">
        <f t="shared" si="0"/>
        <v>-3.0456179929834404E-2</v>
      </c>
      <c r="E31" s="61">
        <v>742.45</v>
      </c>
      <c r="F31" s="62">
        <f t="shared" si="1"/>
        <v>-5.9296800760215373E-2</v>
      </c>
      <c r="I31" s="73" t="s">
        <v>141</v>
      </c>
      <c r="J31" s="63">
        <v>6.878336021322401E-3</v>
      </c>
      <c r="K31" s="63">
        <v>6.8610922838629072E-3</v>
      </c>
      <c r="L31" s="63">
        <v>1.0025132641780741</v>
      </c>
      <c r="M31" s="63">
        <v>0.32033276908298836</v>
      </c>
      <c r="N31" s="63">
        <v>-6.8607642901211165E-3</v>
      </c>
      <c r="O31" s="63">
        <v>2.0617436332765918E-2</v>
      </c>
      <c r="P31" s="63">
        <v>-6.8607642901211165E-3</v>
      </c>
      <c r="Q31" s="77">
        <v>2.0617436332765918E-2</v>
      </c>
    </row>
    <row r="32" spans="2:17" ht="15.75" thickBot="1">
      <c r="B32" s="60">
        <v>44621</v>
      </c>
      <c r="C32" s="61">
        <v>58568.51</v>
      </c>
      <c r="D32" s="62">
        <f t="shared" si="0"/>
        <v>4.1268306663006626E-2</v>
      </c>
      <c r="E32" s="61">
        <v>730.25</v>
      </c>
      <c r="F32" s="62">
        <f t="shared" si="1"/>
        <v>-1.6432082968550143E-2</v>
      </c>
      <c r="I32" s="74" t="s">
        <v>154</v>
      </c>
      <c r="J32" s="92">
        <v>1.1340097822861535</v>
      </c>
      <c r="K32" s="64">
        <v>0.15855052063671163</v>
      </c>
      <c r="L32" s="64">
        <v>7.1523560927593621</v>
      </c>
      <c r="M32" s="64">
        <v>1.7733076064877618E-9</v>
      </c>
      <c r="N32" s="64">
        <v>0.81651784115853254</v>
      </c>
      <c r="O32" s="64">
        <v>1.4515017234137744</v>
      </c>
      <c r="P32" s="64">
        <v>0.81651784115853254</v>
      </c>
      <c r="Q32" s="78">
        <v>1.4515017234137744</v>
      </c>
    </row>
    <row r="33" spans="2:6">
      <c r="B33" s="60">
        <v>44652</v>
      </c>
      <c r="C33" s="61">
        <v>57060.87</v>
      </c>
      <c r="D33" s="62">
        <f t="shared" si="0"/>
        <v>-2.5741477800954815E-2</v>
      </c>
      <c r="E33" s="61">
        <v>743.55</v>
      </c>
      <c r="F33" s="62">
        <f t="shared" si="1"/>
        <v>1.8212940773707498E-2</v>
      </c>
    </row>
    <row r="34" spans="2:6">
      <c r="B34" s="60">
        <v>44682</v>
      </c>
      <c r="C34" s="61">
        <v>55566.41</v>
      </c>
      <c r="D34" s="62">
        <f t="shared" si="0"/>
        <v>-2.6190627657797672E-2</v>
      </c>
      <c r="E34" s="61">
        <v>751.5</v>
      </c>
      <c r="F34" s="62">
        <f t="shared" si="1"/>
        <v>1.0691950776679615E-2</v>
      </c>
    </row>
    <row r="35" spans="2:6">
      <c r="B35" s="60">
        <v>44713</v>
      </c>
      <c r="C35" s="61">
        <v>53018.94</v>
      </c>
      <c r="D35" s="62">
        <f t="shared" si="0"/>
        <v>-4.5845502705681329E-2</v>
      </c>
      <c r="E35" s="61">
        <v>706.85</v>
      </c>
      <c r="F35" s="62">
        <f t="shared" si="1"/>
        <v>-5.9414504324683981E-2</v>
      </c>
    </row>
    <row r="36" spans="2:6">
      <c r="B36" s="60">
        <v>44743</v>
      </c>
      <c r="C36" s="61">
        <v>57570.25</v>
      </c>
      <c r="D36" s="62">
        <f t="shared" si="0"/>
        <v>8.5843096825398479E-2</v>
      </c>
      <c r="E36" s="61">
        <v>818.5</v>
      </c>
      <c r="F36" s="62">
        <f t="shared" si="1"/>
        <v>0.15795430430784463</v>
      </c>
    </row>
    <row r="37" spans="2:6">
      <c r="B37" s="60">
        <v>44774</v>
      </c>
      <c r="C37" s="61">
        <v>59537.07</v>
      </c>
      <c r="D37" s="62">
        <f t="shared" si="0"/>
        <v>3.4163825934401926E-2</v>
      </c>
      <c r="E37" s="61">
        <v>887.6</v>
      </c>
      <c r="F37" s="62">
        <f t="shared" si="1"/>
        <v>8.4422724496029389E-2</v>
      </c>
    </row>
    <row r="38" spans="2:6">
      <c r="B38" s="60">
        <v>44805</v>
      </c>
      <c r="C38" s="61">
        <v>57426.92</v>
      </c>
      <c r="D38" s="62">
        <f t="shared" si="0"/>
        <v>-3.5442624233943731E-2</v>
      </c>
      <c r="E38" s="61">
        <v>862.8</v>
      </c>
      <c r="F38" s="62">
        <f t="shared" si="1"/>
        <v>-2.7940513744930229E-2</v>
      </c>
    </row>
    <row r="39" spans="2:6">
      <c r="B39" s="60">
        <v>44835</v>
      </c>
      <c r="C39" s="61">
        <v>60746.59</v>
      </c>
      <c r="D39" s="62">
        <f t="shared" si="0"/>
        <v>5.7806861311733293E-2</v>
      </c>
      <c r="E39" s="61">
        <v>908.55</v>
      </c>
      <c r="F39" s="62">
        <f t="shared" si="1"/>
        <v>5.3025034770514567E-2</v>
      </c>
    </row>
    <row r="40" spans="2:6">
      <c r="B40" s="60">
        <v>44866</v>
      </c>
      <c r="C40" s="61">
        <v>63099.65</v>
      </c>
      <c r="D40" s="62">
        <f t="shared" si="0"/>
        <v>3.8735672241026364E-2</v>
      </c>
      <c r="E40" s="61">
        <v>953.4</v>
      </c>
      <c r="F40" s="62">
        <f t="shared" si="1"/>
        <v>4.9364371801221774E-2</v>
      </c>
    </row>
    <row r="41" spans="2:6">
      <c r="B41" s="60">
        <v>44896</v>
      </c>
      <c r="C41" s="61">
        <v>60840.74</v>
      </c>
      <c r="D41" s="62">
        <f t="shared" si="0"/>
        <v>-3.5799089218403024E-2</v>
      </c>
      <c r="E41" s="61">
        <v>890.95</v>
      </c>
      <c r="F41" s="62">
        <f t="shared" si="1"/>
        <v>-6.5502412418711908E-2</v>
      </c>
    </row>
    <row r="42" spans="2:6">
      <c r="B42" s="60">
        <v>44927</v>
      </c>
      <c r="C42" s="61">
        <v>59549.9</v>
      </c>
      <c r="D42" s="62">
        <f t="shared" si="0"/>
        <v>-2.1216704464804281E-2</v>
      </c>
      <c r="E42" s="61">
        <v>831.65</v>
      </c>
      <c r="F42" s="62">
        <f t="shared" si="1"/>
        <v>-6.6558168247376481E-2</v>
      </c>
    </row>
    <row r="43" spans="2:6">
      <c r="B43" s="60">
        <v>44958</v>
      </c>
      <c r="C43" s="61">
        <v>58962.12</v>
      </c>
      <c r="D43" s="62">
        <f t="shared" si="0"/>
        <v>-9.8703776160833367E-3</v>
      </c>
      <c r="E43" s="61">
        <v>854.65</v>
      </c>
      <c r="F43" s="62">
        <f t="shared" si="1"/>
        <v>2.7655864846990896E-2</v>
      </c>
    </row>
    <row r="44" spans="2:6">
      <c r="B44" s="60">
        <v>44986</v>
      </c>
      <c r="C44" s="61">
        <v>58991.519999999997</v>
      </c>
      <c r="D44" s="62">
        <f t="shared" si="0"/>
        <v>4.9862521903887291E-4</v>
      </c>
      <c r="E44" s="61">
        <v>877.2</v>
      </c>
      <c r="F44" s="62">
        <f t="shared" si="1"/>
        <v>2.6385069911659897E-2</v>
      </c>
    </row>
    <row r="45" spans="2:6">
      <c r="B45" s="60">
        <v>45017</v>
      </c>
      <c r="C45" s="61">
        <v>61112.44</v>
      </c>
      <c r="D45" s="62">
        <f t="shared" si="0"/>
        <v>3.5952964087041739E-2</v>
      </c>
      <c r="E45" s="61">
        <v>917.7</v>
      </c>
      <c r="F45" s="62">
        <f t="shared" si="1"/>
        <v>4.6169630642954873E-2</v>
      </c>
    </row>
    <row r="46" spans="2:6">
      <c r="B46" s="60">
        <v>45047</v>
      </c>
      <c r="C46" s="61">
        <v>62622.239999999998</v>
      </c>
      <c r="D46" s="62">
        <f t="shared" si="0"/>
        <v>2.4705280954254061E-2</v>
      </c>
      <c r="E46" s="61">
        <v>948.45</v>
      </c>
      <c r="F46" s="62">
        <f t="shared" si="1"/>
        <v>3.3507682249100945E-2</v>
      </c>
    </row>
    <row r="47" spans="2:6">
      <c r="B47" s="60">
        <v>45078</v>
      </c>
      <c r="C47" s="61">
        <v>64718.559999999998</v>
      </c>
      <c r="D47" s="62">
        <f t="shared" si="0"/>
        <v>3.3475646990589913E-2</v>
      </c>
      <c r="E47" s="61">
        <v>934.35</v>
      </c>
      <c r="F47" s="62">
        <f t="shared" si="1"/>
        <v>-1.4866360904633891E-2</v>
      </c>
    </row>
    <row r="48" spans="2:6">
      <c r="B48" s="60">
        <v>45108</v>
      </c>
      <c r="C48" s="61">
        <v>66527.67</v>
      </c>
      <c r="D48" s="62">
        <f t="shared" si="0"/>
        <v>2.7953495875062684E-2</v>
      </c>
      <c r="E48" s="61">
        <v>998.05</v>
      </c>
      <c r="F48" s="62">
        <f t="shared" si="1"/>
        <v>6.8175737143468584E-2</v>
      </c>
    </row>
    <row r="49" spans="2:6">
      <c r="B49" s="60">
        <v>45139</v>
      </c>
      <c r="C49" s="61">
        <v>64831.41</v>
      </c>
      <c r="D49" s="62">
        <f t="shared" si="0"/>
        <v>-2.5497060095445945E-2</v>
      </c>
      <c r="E49" s="61">
        <v>958.2</v>
      </c>
      <c r="F49" s="62">
        <f t="shared" si="1"/>
        <v>-3.9927859325684989E-2</v>
      </c>
    </row>
    <row r="50" spans="2:6">
      <c r="B50" s="60">
        <v>45170</v>
      </c>
      <c r="C50" s="61">
        <v>65828.41</v>
      </c>
      <c r="D50" s="62">
        <f t="shared" si="0"/>
        <v>1.5378348242001794E-2</v>
      </c>
      <c r="E50" s="61">
        <v>952.05</v>
      </c>
      <c r="F50" s="62">
        <f t="shared" si="1"/>
        <v>-6.4182842830308173E-3</v>
      </c>
    </row>
    <row r="51" spans="2:6">
      <c r="B51" s="60">
        <v>45200</v>
      </c>
      <c r="C51" s="61">
        <v>63874.93</v>
      </c>
      <c r="D51" s="62">
        <f t="shared" si="0"/>
        <v>-2.9675333188208586E-2</v>
      </c>
      <c r="E51" s="61">
        <v>915.4</v>
      </c>
      <c r="F51" s="62">
        <f t="shared" si="1"/>
        <v>-3.849587731736781E-2</v>
      </c>
    </row>
    <row r="52" spans="2:6">
      <c r="B52" s="60">
        <v>45231</v>
      </c>
      <c r="C52" s="61">
        <v>66988.44</v>
      </c>
      <c r="D52" s="62">
        <f t="shared" si="0"/>
        <v>4.8743849895412916E-2</v>
      </c>
      <c r="E52" s="61">
        <v>935.2</v>
      </c>
      <c r="F52" s="62">
        <f t="shared" si="1"/>
        <v>2.1629888573301281E-2</v>
      </c>
    </row>
    <row r="53" spans="2:6">
      <c r="B53" s="60">
        <v>45261</v>
      </c>
      <c r="C53" s="61">
        <v>72240.259999999995</v>
      </c>
      <c r="D53" s="62">
        <f t="shared" si="0"/>
        <v>7.8398899869887906E-2</v>
      </c>
      <c r="E53" s="61">
        <v>996.45</v>
      </c>
      <c r="F53" s="62">
        <f t="shared" si="1"/>
        <v>6.5494011976047872E-2</v>
      </c>
    </row>
    <row r="54" spans="2:6">
      <c r="B54" s="60">
        <v>45292</v>
      </c>
      <c r="C54" s="61">
        <v>71752.11</v>
      </c>
      <c r="D54" s="62">
        <f t="shared" si="0"/>
        <v>-6.7573123352545617E-3</v>
      </c>
      <c r="E54" s="61">
        <v>1027.9000000000001</v>
      </c>
      <c r="F54" s="62">
        <f t="shared" si="1"/>
        <v>3.156204526067552E-2</v>
      </c>
    </row>
    <row r="55" spans="2:6">
      <c r="B55" s="60">
        <v>45323</v>
      </c>
      <c r="C55" s="61">
        <v>72500.3</v>
      </c>
      <c r="D55" s="62">
        <f t="shared" si="0"/>
        <v>1.0427428545306983E-2</v>
      </c>
      <c r="E55" s="61">
        <v>1053.45</v>
      </c>
      <c r="F55" s="62">
        <f t="shared" si="1"/>
        <v>2.4856503550928943E-2</v>
      </c>
    </row>
    <row r="56" spans="2:6">
      <c r="B56" s="60">
        <v>45352</v>
      </c>
      <c r="C56" s="61">
        <v>73651.350000000006</v>
      </c>
      <c r="D56" s="62">
        <f t="shared" si="0"/>
        <v>1.5876486028333803E-2</v>
      </c>
      <c r="E56" s="61">
        <v>1095.8499999999999</v>
      </c>
      <c r="F56" s="62">
        <f t="shared" si="1"/>
        <v>4.0248706630594544E-2</v>
      </c>
    </row>
    <row r="57" spans="2:6">
      <c r="B57" s="60">
        <v>45383</v>
      </c>
      <c r="C57" s="61">
        <v>74482.78</v>
      </c>
      <c r="D57" s="62">
        <f t="shared" si="0"/>
        <v>1.1288727226316908E-2</v>
      </c>
      <c r="E57" s="61">
        <v>1152.05</v>
      </c>
      <c r="F57" s="62">
        <f t="shared" si="1"/>
        <v>5.1284391111922289E-2</v>
      </c>
    </row>
    <row r="58" spans="2:6">
      <c r="B58" s="60">
        <v>45413</v>
      </c>
      <c r="C58" s="61">
        <v>73961.31</v>
      </c>
      <c r="D58" s="62">
        <f t="shared" si="0"/>
        <v>-7.0012155829843881E-3</v>
      </c>
      <c r="E58" s="61">
        <v>1119.6500000000001</v>
      </c>
      <c r="F58" s="62">
        <f t="shared" si="1"/>
        <v>-2.8123779349854439E-2</v>
      </c>
    </row>
    <row r="59" spans="2:6">
      <c r="B59" s="60">
        <v>45444</v>
      </c>
      <c r="C59" s="61">
        <v>79032.73</v>
      </c>
      <c r="D59" s="62">
        <f t="shared" si="0"/>
        <v>6.8568552936663751E-2</v>
      </c>
      <c r="E59" s="61">
        <v>1199.8</v>
      </c>
      <c r="F59" s="62">
        <f t="shared" si="1"/>
        <v>7.1584870271959922E-2</v>
      </c>
    </row>
    <row r="60" spans="2:6">
      <c r="B60" s="60">
        <v>45474</v>
      </c>
      <c r="C60" s="61">
        <v>81741.34</v>
      </c>
      <c r="D60" s="62">
        <f t="shared" si="0"/>
        <v>3.427200351044446E-2</v>
      </c>
      <c r="E60" s="61">
        <v>1214.8</v>
      </c>
      <c r="F60" s="62">
        <f t="shared" si="1"/>
        <v>1.2502083680613341E-2</v>
      </c>
    </row>
    <row r="61" spans="2:6">
      <c r="B61" s="60">
        <v>45505</v>
      </c>
      <c r="C61" s="61">
        <v>82365.77</v>
      </c>
      <c r="D61" s="62">
        <f t="shared" si="0"/>
        <v>7.6390966920778514E-3</v>
      </c>
      <c r="E61" s="61">
        <v>1230.1500000000001</v>
      </c>
      <c r="F61" s="62">
        <f t="shared" si="1"/>
        <v>1.2635824827132103E-2</v>
      </c>
    </row>
    <row r="62" spans="2:6">
      <c r="B62" s="60">
        <v>45536</v>
      </c>
      <c r="C62" s="61">
        <v>84299.78</v>
      </c>
      <c r="D62" s="62">
        <f t="shared" si="0"/>
        <v>2.3480749345268004E-2</v>
      </c>
      <c r="E62" s="61">
        <v>1272.8499999999999</v>
      </c>
      <c r="F62" s="62">
        <f t="shared" si="1"/>
        <v>3.4711214079583552E-2</v>
      </c>
    </row>
    <row r="63" spans="2:6">
      <c r="B63" s="60">
        <v>45566</v>
      </c>
      <c r="C63" s="61">
        <v>79389.06</v>
      </c>
      <c r="D63" s="62">
        <f t="shared" si="0"/>
        <v>-5.8253058311658723E-2</v>
      </c>
      <c r="E63" s="61">
        <v>1291.55</v>
      </c>
      <c r="F63" s="62">
        <f t="shared" si="1"/>
        <v>1.4691440468240557E-2</v>
      </c>
    </row>
    <row r="64" spans="2:6">
      <c r="B64" s="60">
        <v>45597</v>
      </c>
      <c r="C64" s="61">
        <v>79802.789999999994</v>
      </c>
      <c r="D64" s="62">
        <f t="shared" si="0"/>
        <v>5.2114233371700625E-3</v>
      </c>
      <c r="E64" s="61">
        <v>1300.6500000000001</v>
      </c>
      <c r="F64" s="62">
        <f t="shared" si="1"/>
        <v>7.0457976849522819E-3</v>
      </c>
    </row>
    <row r="65" spans="2:6">
      <c r="B65" s="60">
        <v>45627</v>
      </c>
      <c r="C65" s="61">
        <v>78139.009999999995</v>
      </c>
      <c r="D65" s="62">
        <f t="shared" si="0"/>
        <v>-2.0848644514809611E-2</v>
      </c>
      <c r="E65" s="61">
        <v>1282</v>
      </c>
      <c r="F65" s="62">
        <f t="shared" si="1"/>
        <v>-1.4338984353976958E-2</v>
      </c>
    </row>
    <row r="66" spans="2:6">
      <c r="B66" s="60">
        <v>45658</v>
      </c>
      <c r="C66" s="61">
        <v>77500.570000000007</v>
      </c>
      <c r="D66" s="62">
        <f t="shared" si="0"/>
        <v>-8.1705667885987321E-3</v>
      </c>
      <c r="E66" s="61">
        <v>1252.55</v>
      </c>
      <c r="F66" s="62">
        <f t="shared" si="1"/>
        <v>-2.2971918876755093E-2</v>
      </c>
    </row>
    <row r="67" spans="2:6">
      <c r="B67" s="60">
        <v>45689</v>
      </c>
      <c r="C67" s="61">
        <v>73198.100000000006</v>
      </c>
      <c r="D67" s="62">
        <f t="shared" si="0"/>
        <v>-5.5515333629159169E-2</v>
      </c>
      <c r="E67" s="61">
        <v>1203.0999999999999</v>
      </c>
      <c r="F67" s="62">
        <f t="shared" si="1"/>
        <v>-3.9479461897728663E-2</v>
      </c>
    </row>
    <row r="68" spans="2:6">
      <c r="B68" s="60">
        <v>45717</v>
      </c>
      <c r="C68" s="61">
        <v>77414.92</v>
      </c>
      <c r="D68" s="62">
        <f t="shared" si="0"/>
        <v>5.760832589916931E-2</v>
      </c>
      <c r="E68" s="61">
        <v>1348.4</v>
      </c>
      <c r="F68" s="62">
        <f t="shared" si="1"/>
        <v>0.12077134070318363</v>
      </c>
    </row>
    <row r="69" spans="2:6">
      <c r="B69" s="59"/>
    </row>
    <row r="70" spans="2:6">
      <c r="B70" s="59"/>
    </row>
    <row r="71" spans="2:6">
      <c r="B71" s="59"/>
    </row>
  </sheetData>
  <mergeCells count="1">
    <mergeCell ref="B7:R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P20"/>
  <sheetViews>
    <sheetView showGridLines="0" workbookViewId="0">
      <selection activeCell="G22" sqref="G22"/>
    </sheetView>
  </sheetViews>
  <sheetFormatPr defaultRowHeight="15"/>
  <cols>
    <col min="2" max="2" width="5.7109375" customWidth="1"/>
    <col min="3" max="3" width="15.7109375" bestFit="1" customWidth="1"/>
    <col min="4" max="4" width="8" bestFit="1" customWidth="1"/>
    <col min="5" max="5" width="16.5703125" bestFit="1" customWidth="1"/>
    <col min="6" max="6" width="10.5703125" bestFit="1" customWidth="1"/>
    <col min="7" max="7" width="11" bestFit="1" customWidth="1"/>
    <col min="8" max="8" width="13.28515625" bestFit="1" customWidth="1"/>
    <col min="9" max="9" width="14.42578125" bestFit="1" customWidth="1"/>
    <col min="10" max="10" width="14.28515625" bestFit="1" customWidth="1"/>
    <col min="11" max="11" width="14.42578125" bestFit="1" customWidth="1"/>
    <col min="12" max="12" width="10.140625" bestFit="1" customWidth="1"/>
    <col min="14" max="14" width="10.140625" bestFit="1" customWidth="1"/>
  </cols>
  <sheetData>
    <row r="4" spans="2:16">
      <c r="B4" s="178" t="s">
        <v>266</v>
      </c>
    </row>
    <row r="5" spans="2:16" ht="15.75" thickBot="1"/>
    <row r="6" spans="2:16">
      <c r="B6" s="67" t="s">
        <v>178</v>
      </c>
      <c r="C6" s="68" t="s">
        <v>179</v>
      </c>
      <c r="D6" s="68" t="s">
        <v>185</v>
      </c>
      <c r="E6" s="68" t="s">
        <v>186</v>
      </c>
      <c r="F6" s="68"/>
      <c r="G6" s="68" t="s">
        <v>187</v>
      </c>
      <c r="H6" s="68" t="s">
        <v>188</v>
      </c>
      <c r="I6" s="68" t="s">
        <v>189</v>
      </c>
      <c r="J6" s="68" t="s">
        <v>190</v>
      </c>
      <c r="K6" s="68" t="s">
        <v>191</v>
      </c>
      <c r="L6" s="68"/>
      <c r="M6" s="68" t="s">
        <v>164</v>
      </c>
      <c r="N6" s="68"/>
      <c r="O6" s="69" t="s">
        <v>253</v>
      </c>
      <c r="P6" s="69"/>
    </row>
    <row r="7" spans="2:16">
      <c r="B7" s="70">
        <v>1</v>
      </c>
      <c r="C7" s="26" t="s">
        <v>180</v>
      </c>
      <c r="D7" s="26">
        <v>1999.9</v>
      </c>
      <c r="E7" s="26">
        <v>7667.9</v>
      </c>
      <c r="F7" s="26"/>
      <c r="G7" s="26">
        <v>3363674.3</v>
      </c>
      <c r="H7" s="26">
        <v>734401.7</v>
      </c>
      <c r="I7" s="26">
        <v>2801362.5</v>
      </c>
      <c r="J7" s="26">
        <v>0</v>
      </c>
      <c r="K7" s="26">
        <v>1443902.5</v>
      </c>
      <c r="L7" s="174">
        <v>74281.86</v>
      </c>
      <c r="M7" s="26">
        <f>L7*$K$16</f>
        <v>6351099.0300000003</v>
      </c>
      <c r="N7" s="175">
        <v>29256.91</v>
      </c>
      <c r="O7" s="71">
        <f>N7*$K$16</f>
        <v>2501465.8050000002</v>
      </c>
      <c r="P7" s="71"/>
    </row>
    <row r="8" spans="2:16">
      <c r="B8" s="70">
        <v>3</v>
      </c>
      <c r="C8" s="26" t="s">
        <v>182</v>
      </c>
      <c r="D8" s="26">
        <v>2180</v>
      </c>
      <c r="E8" s="26">
        <v>1988.3000000000002</v>
      </c>
      <c r="F8" s="26"/>
      <c r="G8" s="26">
        <v>656688.30000000005</v>
      </c>
      <c r="H8" s="26">
        <v>221259.90000000002</v>
      </c>
      <c r="I8" s="26">
        <v>534601.80000000005</v>
      </c>
      <c r="J8" s="26">
        <v>0</v>
      </c>
      <c r="K8" s="26">
        <v>417483.5</v>
      </c>
      <c r="L8" s="174">
        <v>11426.86</v>
      </c>
      <c r="M8" s="26">
        <f t="shared" ref="M8:M12" si="0">L8*$K$16</f>
        <v>976996.53</v>
      </c>
      <c r="N8" s="175">
        <v>9254.34</v>
      </c>
      <c r="O8" s="71">
        <f t="shared" ref="O8:O12" si="1">N8*$K$16</f>
        <v>791246.07000000007</v>
      </c>
      <c r="P8" s="71"/>
    </row>
    <row r="9" spans="2:16">
      <c r="B9" s="70">
        <v>4</v>
      </c>
      <c r="C9" s="26" t="s">
        <v>183</v>
      </c>
      <c r="D9" s="26">
        <v>1215.8</v>
      </c>
      <c r="E9" s="26">
        <v>3101.2</v>
      </c>
      <c r="F9" s="26"/>
      <c r="G9" s="26">
        <v>1273740.8999999999</v>
      </c>
      <c r="H9" s="26">
        <v>281908</v>
      </c>
      <c r="I9" s="26">
        <v>1077584.7</v>
      </c>
      <c r="J9" s="26">
        <v>0</v>
      </c>
      <c r="K9" s="26">
        <v>736384.4</v>
      </c>
      <c r="L9" s="174">
        <v>28164.51</v>
      </c>
      <c r="M9" s="26">
        <f t="shared" si="0"/>
        <v>2408065.605</v>
      </c>
      <c r="N9" s="175">
        <v>6038.09</v>
      </c>
      <c r="O9" s="71">
        <f t="shared" si="1"/>
        <v>516256.69500000001</v>
      </c>
      <c r="P9" s="71"/>
    </row>
    <row r="10" spans="2:16">
      <c r="B10" s="70">
        <v>5</v>
      </c>
      <c r="C10" s="26" t="s">
        <v>184</v>
      </c>
      <c r="D10" s="26">
        <v>104.35</v>
      </c>
      <c r="E10" s="26">
        <v>10752.4</v>
      </c>
      <c r="F10" s="26"/>
      <c r="G10" s="26">
        <v>289170.7</v>
      </c>
      <c r="H10" s="26">
        <v>76563.199999999997</v>
      </c>
      <c r="I10" s="26">
        <v>249270.2</v>
      </c>
      <c r="J10" s="26">
        <v>0</v>
      </c>
      <c r="K10" s="26">
        <v>212942.40000000002</v>
      </c>
      <c r="L10" s="174">
        <v>2257.87</v>
      </c>
      <c r="M10" s="26">
        <f t="shared" si="0"/>
        <v>193047.88499999998</v>
      </c>
      <c r="N10" s="175">
        <v>2492.5300000000002</v>
      </c>
      <c r="O10" s="71">
        <f t="shared" si="1"/>
        <v>213111.31500000003</v>
      </c>
      <c r="P10" s="71"/>
    </row>
    <row r="11" spans="2:16">
      <c r="B11" s="70">
        <v>6</v>
      </c>
      <c r="C11" s="26" t="s">
        <v>192</v>
      </c>
      <c r="D11" s="26">
        <v>862.25</v>
      </c>
      <c r="E11" s="26">
        <v>779.09999999999991</v>
      </c>
      <c r="F11" s="26"/>
      <c r="G11" s="26">
        <v>486676.69999999995</v>
      </c>
      <c r="H11" s="26">
        <v>26429</v>
      </c>
      <c r="I11" s="26">
        <v>332510.7</v>
      </c>
      <c r="J11" s="26">
        <v>0</v>
      </c>
      <c r="K11" s="26">
        <v>508893.6</v>
      </c>
      <c r="L11" s="174">
        <v>6286.11</v>
      </c>
      <c r="M11" s="26">
        <f t="shared" si="0"/>
        <v>537462.40500000003</v>
      </c>
      <c r="N11" s="175">
        <v>6950.02</v>
      </c>
      <c r="O11" s="71">
        <f t="shared" si="1"/>
        <v>594226.71000000008</v>
      </c>
      <c r="P11" s="71"/>
    </row>
    <row r="12" spans="2:16" ht="15.75" thickBot="1">
      <c r="B12" s="79">
        <v>2</v>
      </c>
      <c r="C12" s="121" t="s">
        <v>181</v>
      </c>
      <c r="D12" s="121">
        <v>1453.95</v>
      </c>
      <c r="E12" s="121">
        <v>7135.5</v>
      </c>
      <c r="F12" s="121"/>
      <c r="G12" s="121">
        <v>1863314.7</v>
      </c>
      <c r="H12" s="121">
        <v>545693.79999999993</v>
      </c>
      <c r="I12" s="121">
        <v>1618812</v>
      </c>
      <c r="J12" s="121">
        <v>0</v>
      </c>
      <c r="K12" s="121">
        <v>1202409.1000000001</v>
      </c>
      <c r="L12" s="176">
        <v>25620.75</v>
      </c>
      <c r="M12" s="121">
        <f t="shared" si="0"/>
        <v>2190574.125</v>
      </c>
      <c r="N12" s="177">
        <v>25051.88</v>
      </c>
      <c r="O12" s="80">
        <f t="shared" si="1"/>
        <v>2141935.7400000002</v>
      </c>
      <c r="P12" s="71"/>
    </row>
    <row r="13" spans="2:16">
      <c r="B13" s="70"/>
      <c r="C13" s="26"/>
      <c r="D13" s="26"/>
      <c r="E13" s="26"/>
      <c r="F13" s="26"/>
      <c r="G13" s="26"/>
      <c r="H13" s="26"/>
      <c r="I13" s="26"/>
      <c r="J13" s="26"/>
      <c r="K13" s="26"/>
      <c r="L13" s="26"/>
      <c r="M13" s="26"/>
      <c r="N13" s="26"/>
      <c r="O13" s="26"/>
      <c r="P13" s="71"/>
    </row>
    <row r="14" spans="2:16">
      <c r="B14" s="70"/>
      <c r="C14" s="26"/>
      <c r="D14" s="26"/>
      <c r="E14" s="26"/>
      <c r="F14" s="26"/>
      <c r="G14" s="26"/>
      <c r="H14" s="26"/>
      <c r="I14" s="26"/>
      <c r="J14" s="26"/>
      <c r="K14" s="26"/>
      <c r="L14" s="26"/>
      <c r="M14" s="26"/>
      <c r="N14" s="26"/>
      <c r="O14" s="26"/>
      <c r="P14" s="71"/>
    </row>
    <row r="15" spans="2:16">
      <c r="B15" s="70"/>
      <c r="C15" s="26"/>
      <c r="D15" s="26"/>
      <c r="E15" s="26"/>
      <c r="F15" s="175">
        <v>25051.88</v>
      </c>
      <c r="G15" s="175"/>
      <c r="H15" s="26"/>
      <c r="I15" s="26"/>
      <c r="J15" s="26"/>
      <c r="K15" s="26"/>
      <c r="L15" s="26"/>
      <c r="M15" s="26"/>
      <c r="N15" s="26"/>
      <c r="O15" s="26"/>
      <c r="P15" s="71"/>
    </row>
    <row r="16" spans="2:16">
      <c r="B16" s="70"/>
      <c r="C16" s="26"/>
      <c r="D16" s="26"/>
      <c r="E16" s="26"/>
      <c r="F16" s="26">
        <f>F15*85.5</f>
        <v>2141935.7400000002</v>
      </c>
      <c r="G16" s="26"/>
      <c r="H16" s="26"/>
      <c r="I16" s="26"/>
      <c r="J16" s="26"/>
      <c r="K16" s="26">
        <v>85.5</v>
      </c>
      <c r="L16" s="26"/>
      <c r="M16" s="26"/>
      <c r="N16" s="26"/>
      <c r="O16" s="26"/>
      <c r="P16" s="71"/>
    </row>
    <row r="17" spans="2:16">
      <c r="B17" s="70"/>
      <c r="C17" s="26"/>
      <c r="D17" s="26"/>
      <c r="E17" s="26"/>
      <c r="F17" s="26"/>
      <c r="G17" s="26"/>
      <c r="H17" s="26"/>
      <c r="I17" s="26"/>
      <c r="J17" s="26"/>
      <c r="K17" s="26"/>
      <c r="L17" s="26"/>
      <c r="M17" s="26"/>
      <c r="N17" s="26"/>
      <c r="O17" s="26"/>
      <c r="P17" s="71"/>
    </row>
    <row r="18" spans="2:16" ht="15.75" thickBot="1">
      <c r="B18" s="79"/>
      <c r="C18" s="121"/>
      <c r="D18" s="121"/>
      <c r="E18" s="121"/>
      <c r="F18" s="121"/>
      <c r="G18" s="121"/>
      <c r="H18" s="121"/>
      <c r="I18" s="121"/>
      <c r="J18" s="121"/>
      <c r="K18" s="121"/>
      <c r="L18" s="121"/>
      <c r="M18" s="121"/>
      <c r="N18" s="121"/>
      <c r="O18" s="121"/>
      <c r="P18" s="80"/>
    </row>
    <row r="19" spans="2:16">
      <c r="E19">
        <v>10</v>
      </c>
    </row>
    <row r="20" spans="2:16">
      <c r="G20" s="1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8"/>
  <sheetViews>
    <sheetView showGridLines="0" topLeftCell="A4" zoomScaleNormal="100" workbookViewId="0">
      <pane ySplit="2" topLeftCell="A6" activePane="bottomLeft" state="frozen"/>
      <selection activeCell="A4" sqref="A4"/>
      <selection pane="bottomLeft" activeCell="E15" sqref="E15"/>
    </sheetView>
  </sheetViews>
  <sheetFormatPr defaultRowHeight="15"/>
  <cols>
    <col min="1" max="1" width="1.85546875" customWidth="1"/>
    <col min="2" max="2" width="15.140625" bestFit="1" customWidth="1"/>
    <col min="3" max="3" width="6.28515625" bestFit="1" customWidth="1"/>
    <col min="5" max="5" width="9.42578125" bestFit="1" customWidth="1"/>
    <col min="6" max="6" width="12.28515625" bestFit="1" customWidth="1"/>
    <col min="7" max="7" width="12.42578125" bestFit="1" customWidth="1"/>
    <col min="8" max="8" width="12.5703125" bestFit="1" customWidth="1"/>
    <col min="9" max="9" width="10.85546875" bestFit="1" customWidth="1"/>
    <col min="10" max="10" width="12.42578125" bestFit="1" customWidth="1"/>
    <col min="11" max="11" width="1.5703125" customWidth="1"/>
    <col min="12" max="13" width="10.7109375" bestFit="1" customWidth="1"/>
    <col min="14" max="14" width="9.7109375" bestFit="1" customWidth="1"/>
    <col min="15" max="15" width="2" customWidth="1"/>
    <col min="17" max="17" width="10.42578125" bestFit="1" customWidth="1"/>
  </cols>
  <sheetData>
    <row r="1" spans="2:18" ht="5.0999999999999996" customHeight="1">
      <c r="B1" s="30"/>
      <c r="C1" s="30"/>
      <c r="D1" s="30"/>
      <c r="E1" s="30"/>
      <c r="F1" s="30"/>
      <c r="G1" s="30"/>
      <c r="H1" s="30"/>
      <c r="I1" s="30"/>
      <c r="J1" s="30"/>
      <c r="K1" s="30"/>
      <c r="L1" s="30"/>
      <c r="M1" s="30"/>
      <c r="N1" s="30"/>
      <c r="O1" s="30"/>
      <c r="P1" s="30"/>
      <c r="Q1" s="30"/>
      <c r="R1" s="30"/>
    </row>
    <row r="3" spans="2:18">
      <c r="B3" s="170" t="s">
        <v>260</v>
      </c>
    </row>
    <row r="4" spans="2:18">
      <c r="B4" s="171" t="s">
        <v>262</v>
      </c>
    </row>
    <row r="5" spans="2:18">
      <c r="B5" s="25" t="s">
        <v>261</v>
      </c>
      <c r="C5" s="29"/>
      <c r="D5" s="29"/>
      <c r="E5" s="29"/>
      <c r="F5" s="29"/>
      <c r="G5" s="29"/>
      <c r="H5" s="29"/>
      <c r="I5" s="29"/>
      <c r="J5" s="29"/>
      <c r="K5" s="29"/>
      <c r="L5" s="29"/>
      <c r="M5" s="29"/>
      <c r="N5" s="29"/>
      <c r="O5" s="29"/>
      <c r="P5" s="29"/>
      <c r="Q5" s="29"/>
      <c r="R5" s="29"/>
    </row>
    <row r="6" spans="2:18">
      <c r="B6" s="33"/>
      <c r="C6" s="26"/>
      <c r="D6" s="26"/>
      <c r="E6" s="26"/>
      <c r="F6" s="26"/>
      <c r="G6" s="26"/>
      <c r="H6" s="26"/>
      <c r="I6" s="26"/>
      <c r="J6" s="26"/>
      <c r="K6" s="26"/>
      <c r="L6" s="26"/>
      <c r="M6" s="26"/>
      <c r="N6" s="26"/>
      <c r="O6" s="26"/>
      <c r="P6" s="26"/>
      <c r="Q6" s="26"/>
      <c r="R6" s="26"/>
    </row>
    <row r="7" spans="2:18">
      <c r="B7" s="309" t="s">
        <v>264</v>
      </c>
      <c r="C7" s="309"/>
      <c r="D7" s="309"/>
      <c r="E7" s="309"/>
      <c r="F7" s="309"/>
      <c r="G7" s="309"/>
      <c r="H7" s="309"/>
      <c r="I7" s="309"/>
      <c r="J7" s="309"/>
      <c r="K7" s="309"/>
      <c r="L7" s="309"/>
      <c r="M7" s="309"/>
      <c r="N7" s="309"/>
      <c r="O7" s="309"/>
      <c r="P7" s="309"/>
      <c r="Q7" s="309"/>
      <c r="R7" s="309"/>
    </row>
    <row r="8" spans="2:18" ht="15.75" thickBot="1"/>
    <row r="9" spans="2:18">
      <c r="B9" s="100"/>
      <c r="C9" s="113"/>
      <c r="E9" s="304" t="s">
        <v>158</v>
      </c>
      <c r="F9" s="305"/>
      <c r="G9" s="305"/>
      <c r="H9" s="305"/>
      <c r="I9" s="305"/>
      <c r="J9" s="306"/>
      <c r="L9" s="304" t="s">
        <v>159</v>
      </c>
      <c r="M9" s="305"/>
      <c r="N9" s="306"/>
      <c r="P9" s="304" t="s">
        <v>160</v>
      </c>
      <c r="Q9" s="305"/>
      <c r="R9" s="306"/>
    </row>
    <row r="10" spans="2:18">
      <c r="B10" s="107"/>
      <c r="C10" s="109"/>
      <c r="E10" s="107" t="s">
        <v>161</v>
      </c>
      <c r="F10" s="108" t="s">
        <v>162</v>
      </c>
      <c r="G10" s="108" t="s">
        <v>163</v>
      </c>
      <c r="H10" s="108" t="s">
        <v>164</v>
      </c>
      <c r="I10" s="108" t="s">
        <v>165</v>
      </c>
      <c r="J10" s="109" t="s">
        <v>166</v>
      </c>
      <c r="L10" s="101" t="s">
        <v>167</v>
      </c>
      <c r="M10" s="102" t="s">
        <v>10</v>
      </c>
      <c r="N10" s="103" t="s">
        <v>168</v>
      </c>
      <c r="P10" s="101" t="s">
        <v>169</v>
      </c>
      <c r="Q10" s="102" t="s">
        <v>170</v>
      </c>
      <c r="R10" s="103" t="s">
        <v>171</v>
      </c>
    </row>
    <row r="11" spans="2:18" ht="15.75" thickBot="1">
      <c r="B11" s="110" t="s">
        <v>172</v>
      </c>
      <c r="C11" s="112" t="s">
        <v>173</v>
      </c>
      <c r="E11" s="110" t="s">
        <v>174</v>
      </c>
      <c r="F11" s="111" t="s">
        <v>175</v>
      </c>
      <c r="G11" s="111" t="s">
        <v>176</v>
      </c>
      <c r="H11" s="111" t="s">
        <v>176</v>
      </c>
      <c r="I11" s="111" t="s">
        <v>176</v>
      </c>
      <c r="J11" s="112" t="s">
        <v>176</v>
      </c>
      <c r="L11" s="104" t="s">
        <v>176</v>
      </c>
      <c r="M11" s="105" t="s">
        <v>176</v>
      </c>
      <c r="N11" s="106" t="s">
        <v>176</v>
      </c>
      <c r="P11" s="104" t="s">
        <v>177</v>
      </c>
      <c r="Q11" s="105" t="s">
        <v>177</v>
      </c>
      <c r="R11" s="106" t="s">
        <v>177</v>
      </c>
    </row>
    <row r="14" spans="2:18">
      <c r="B14" s="212" t="s">
        <v>180</v>
      </c>
      <c r="C14" s="212"/>
      <c r="D14" s="212"/>
      <c r="E14" s="231">
        <v>1999.9</v>
      </c>
      <c r="F14" s="231">
        <v>7667.9</v>
      </c>
      <c r="G14" s="232">
        <f>E14*F14</f>
        <v>15335033.210000001</v>
      </c>
      <c r="H14" s="231">
        <v>6351099.0300000003</v>
      </c>
      <c r="I14" s="231">
        <v>2501465.8050000002</v>
      </c>
      <c r="J14" s="232">
        <f>G14+H14-I14</f>
        <v>19184666.435000002</v>
      </c>
      <c r="K14" s="232"/>
      <c r="L14" s="231">
        <v>3363674.3</v>
      </c>
      <c r="M14" s="231">
        <v>2801362.5</v>
      </c>
      <c r="N14" s="231">
        <v>734401.7</v>
      </c>
      <c r="O14" s="212"/>
      <c r="P14" s="230">
        <f>J14/L14</f>
        <v>5.7034851546120278</v>
      </c>
      <c r="Q14" s="230">
        <f>J14/M14</f>
        <v>6.8483341356215064</v>
      </c>
      <c r="R14" s="230">
        <f>G14/N14</f>
        <v>20.880988170370522</v>
      </c>
    </row>
    <row r="15" spans="2:18">
      <c r="B15" s="212" t="s">
        <v>182</v>
      </c>
      <c r="C15" s="212"/>
      <c r="D15" s="212"/>
      <c r="E15" s="231">
        <v>2180</v>
      </c>
      <c r="F15" s="231">
        <v>1988.3000000000002</v>
      </c>
      <c r="G15" s="232">
        <f t="shared" ref="G15:G18" si="0">E15*F15</f>
        <v>4334494</v>
      </c>
      <c r="H15" s="231">
        <v>976996.53</v>
      </c>
      <c r="I15" s="231">
        <v>791246.07000000007</v>
      </c>
      <c r="J15" s="232">
        <f t="shared" ref="J15:J18" si="1">G15+H15-I15</f>
        <v>4520244.46</v>
      </c>
      <c r="K15" s="232"/>
      <c r="L15" s="231">
        <v>656688.30000000005</v>
      </c>
      <c r="M15" s="231">
        <v>534601.80000000005</v>
      </c>
      <c r="N15" s="231">
        <v>221259.90000000002</v>
      </c>
      <c r="O15" s="212"/>
      <c r="P15" s="230">
        <f t="shared" ref="P15:P18" si="2">J15/L15</f>
        <v>6.8833942374182691</v>
      </c>
      <c r="Q15" s="230">
        <f t="shared" ref="Q15:Q18" si="3">J15/M15</f>
        <v>8.4553483733126225</v>
      </c>
      <c r="R15" s="230">
        <f t="shared" ref="R15:R18" si="4">G15/N15</f>
        <v>19.590056761301977</v>
      </c>
    </row>
    <row r="16" spans="2:18">
      <c r="B16" s="212" t="s">
        <v>183</v>
      </c>
      <c r="C16" s="212"/>
      <c r="D16" s="212"/>
      <c r="E16" s="231">
        <v>1215.8</v>
      </c>
      <c r="F16" s="231">
        <v>3101.2</v>
      </c>
      <c r="G16" s="232">
        <f t="shared" si="0"/>
        <v>3770438.9599999995</v>
      </c>
      <c r="H16" s="231">
        <v>2408065.605</v>
      </c>
      <c r="I16" s="231">
        <v>516256.69500000001</v>
      </c>
      <c r="J16" s="232">
        <f t="shared" si="1"/>
        <v>5662247.8699999992</v>
      </c>
      <c r="K16" s="232"/>
      <c r="L16" s="231">
        <v>1273740.8999999999</v>
      </c>
      <c r="M16" s="231">
        <v>1077584.7</v>
      </c>
      <c r="N16" s="231">
        <v>281908</v>
      </c>
      <c r="O16" s="212"/>
      <c r="P16" s="230">
        <f t="shared" si="2"/>
        <v>4.4453686538604513</v>
      </c>
      <c r="Q16" s="230">
        <f t="shared" si="3"/>
        <v>5.2545733713554021</v>
      </c>
      <c r="R16" s="230">
        <f t="shared" si="4"/>
        <v>13.374714303957317</v>
      </c>
    </row>
    <row r="17" spans="2:18">
      <c r="B17" s="212" t="s">
        <v>184</v>
      </c>
      <c r="C17" s="212"/>
      <c r="D17" s="212"/>
      <c r="E17" s="231">
        <v>104.35</v>
      </c>
      <c r="F17" s="231">
        <v>10752.4</v>
      </c>
      <c r="G17" s="232">
        <f t="shared" si="0"/>
        <v>1122012.94</v>
      </c>
      <c r="H17" s="231">
        <v>193047.88499999998</v>
      </c>
      <c r="I17" s="231">
        <v>213111.31500000003</v>
      </c>
      <c r="J17" s="232">
        <f t="shared" si="1"/>
        <v>1101949.51</v>
      </c>
      <c r="K17" s="232"/>
      <c r="L17" s="231">
        <v>289170.7</v>
      </c>
      <c r="M17" s="231">
        <v>249270.2</v>
      </c>
      <c r="N17" s="231">
        <v>76563.199999999997</v>
      </c>
      <c r="O17" s="212"/>
      <c r="P17" s="230">
        <f t="shared" si="2"/>
        <v>3.8107232510071039</v>
      </c>
      <c r="Q17" s="230">
        <f t="shared" si="3"/>
        <v>4.4207029560693574</v>
      </c>
      <c r="R17" s="230">
        <f t="shared" si="4"/>
        <v>14.654728903703084</v>
      </c>
    </row>
    <row r="18" spans="2:18">
      <c r="B18" s="212" t="s">
        <v>192</v>
      </c>
      <c r="C18" s="212"/>
      <c r="D18" s="212"/>
      <c r="E18" s="231">
        <v>862.25</v>
      </c>
      <c r="F18" s="231">
        <v>779.09999999999991</v>
      </c>
      <c r="G18" s="232">
        <f t="shared" si="0"/>
        <v>671778.97499999998</v>
      </c>
      <c r="H18" s="231">
        <v>537462.40500000003</v>
      </c>
      <c r="I18" s="231">
        <v>594226.71000000008</v>
      </c>
      <c r="J18" s="232">
        <f t="shared" si="1"/>
        <v>615014.66999999981</v>
      </c>
      <c r="K18" s="232"/>
      <c r="L18" s="231">
        <v>486676.69999999995</v>
      </c>
      <c r="M18" s="231">
        <v>332510.7</v>
      </c>
      <c r="N18" s="231">
        <v>26429</v>
      </c>
      <c r="O18" s="212"/>
      <c r="P18" s="230">
        <f t="shared" si="2"/>
        <v>1.263702720923356</v>
      </c>
      <c r="Q18" s="230">
        <f t="shared" si="3"/>
        <v>1.8496086592100638</v>
      </c>
      <c r="R18" s="230">
        <f t="shared" si="4"/>
        <v>25.418251731053008</v>
      </c>
    </row>
    <row r="21" spans="2:18">
      <c r="B21" s="222" t="s">
        <v>193</v>
      </c>
      <c r="C21" s="222"/>
      <c r="D21" s="222"/>
      <c r="E21" s="222"/>
      <c r="F21" s="222"/>
      <c r="G21" s="222"/>
      <c r="H21" s="222"/>
      <c r="I21" s="222"/>
      <c r="J21" s="222"/>
      <c r="K21" s="222"/>
      <c r="L21" s="222"/>
      <c r="M21" s="222"/>
      <c r="N21" s="222"/>
      <c r="O21" s="222"/>
      <c r="P21" s="223">
        <f>MAX(P14:P18)</f>
        <v>6.8833942374182691</v>
      </c>
      <c r="Q21" s="223">
        <f t="shared" ref="Q21:R21" si="5">MAX(Q14:Q18)</f>
        <v>8.4553483733126225</v>
      </c>
      <c r="R21" s="223">
        <f t="shared" si="5"/>
        <v>25.418251731053008</v>
      </c>
    </row>
    <row r="22" spans="2:18">
      <c r="B22" s="224" t="s">
        <v>194</v>
      </c>
      <c r="C22" s="224"/>
      <c r="D22" s="224"/>
      <c r="E22" s="224"/>
      <c r="F22" s="224"/>
      <c r="G22" s="224"/>
      <c r="H22" s="224"/>
      <c r="I22" s="224"/>
      <c r="J22" s="224"/>
      <c r="K22" s="224"/>
      <c r="L22" s="224"/>
      <c r="M22" s="224"/>
      <c r="N22" s="224"/>
      <c r="O22" s="224"/>
      <c r="P22" s="225">
        <f>QUARTILE(P14:P18,3)</f>
        <v>5.7034851546120278</v>
      </c>
      <c r="Q22" s="225">
        <f t="shared" ref="Q22:R22" si="6">QUARTILE(Q14:Q18,3)</f>
        <v>6.8483341356215064</v>
      </c>
      <c r="R22" s="225">
        <f t="shared" si="6"/>
        <v>20.880988170370522</v>
      </c>
    </row>
    <row r="23" spans="2:18">
      <c r="B23" s="226" t="s">
        <v>195</v>
      </c>
      <c r="C23" s="226"/>
      <c r="D23" s="226"/>
      <c r="E23" s="226"/>
      <c r="F23" s="226"/>
      <c r="G23" s="226"/>
      <c r="H23" s="226"/>
      <c r="I23" s="226"/>
      <c r="J23" s="226"/>
      <c r="K23" s="226"/>
      <c r="L23" s="226"/>
      <c r="M23" s="226"/>
      <c r="N23" s="226"/>
      <c r="O23" s="226"/>
      <c r="P23" s="227">
        <f>AVERAGE(P14:P18)</f>
        <v>4.4213348035642417</v>
      </c>
      <c r="Q23" s="227">
        <f t="shared" ref="Q23:R23" si="7">AVERAGE(Q14:Q18)</f>
        <v>5.3657134991137898</v>
      </c>
      <c r="R23" s="227">
        <f t="shared" si="7"/>
        <v>18.78374797407718</v>
      </c>
    </row>
    <row r="24" spans="2:18">
      <c r="B24" s="226" t="s">
        <v>196</v>
      </c>
      <c r="C24" s="226"/>
      <c r="D24" s="226"/>
      <c r="E24" s="226"/>
      <c r="F24" s="226"/>
      <c r="G24" s="226"/>
      <c r="H24" s="226"/>
      <c r="I24" s="226"/>
      <c r="J24" s="226"/>
      <c r="K24" s="226"/>
      <c r="L24" s="226"/>
      <c r="M24" s="226"/>
      <c r="N24" s="226"/>
      <c r="O24" s="226"/>
      <c r="P24" s="227">
        <f>MEDIAN(P14:P18)</f>
        <v>4.4453686538604513</v>
      </c>
      <c r="Q24" s="227">
        <f t="shared" ref="Q24:R24" si="8">MEDIAN(Q14:Q18)</f>
        <v>5.2545733713554021</v>
      </c>
      <c r="R24" s="227">
        <f t="shared" si="8"/>
        <v>19.590056761301977</v>
      </c>
    </row>
    <row r="25" spans="2:18">
      <c r="B25" s="224" t="s">
        <v>197</v>
      </c>
      <c r="C25" s="224"/>
      <c r="D25" s="224"/>
      <c r="E25" s="224"/>
      <c r="F25" s="224"/>
      <c r="G25" s="224"/>
      <c r="H25" s="224"/>
      <c r="I25" s="224"/>
      <c r="J25" s="224"/>
      <c r="K25" s="224"/>
      <c r="L25" s="224"/>
      <c r="M25" s="224"/>
      <c r="N25" s="224"/>
      <c r="O25" s="224"/>
      <c r="P25" s="225">
        <f>QUARTILE(P14:P18,1)</f>
        <v>3.8107232510071039</v>
      </c>
      <c r="Q25" s="225">
        <f t="shared" ref="Q25:R25" si="9">QUARTILE(Q14:Q18,1)</f>
        <v>4.4207029560693574</v>
      </c>
      <c r="R25" s="225">
        <f t="shared" si="9"/>
        <v>14.654728903703084</v>
      </c>
    </row>
    <row r="26" spans="2:18">
      <c r="B26" s="228" t="s">
        <v>198</v>
      </c>
      <c r="C26" s="228"/>
      <c r="D26" s="228"/>
      <c r="E26" s="228"/>
      <c r="F26" s="228"/>
      <c r="G26" s="228"/>
      <c r="H26" s="228"/>
      <c r="I26" s="228"/>
      <c r="J26" s="228"/>
      <c r="K26" s="228"/>
      <c r="L26" s="228"/>
      <c r="M26" s="228"/>
      <c r="N26" s="228"/>
      <c r="O26" s="228"/>
      <c r="P26" s="229">
        <f>MIN(P14:P18)</f>
        <v>1.263702720923356</v>
      </c>
      <c r="Q26" s="229">
        <f t="shared" ref="Q26:R26" si="10">MIN(Q14:Q18)</f>
        <v>1.8496086592100638</v>
      </c>
      <c r="R26" s="229">
        <f t="shared" si="10"/>
        <v>13.374714303957317</v>
      </c>
    </row>
    <row r="29" spans="2:18">
      <c r="B29" s="18" t="s">
        <v>181</v>
      </c>
      <c r="C29" s="18"/>
      <c r="D29" s="18"/>
      <c r="E29" s="233">
        <v>1453.95</v>
      </c>
      <c r="F29" s="233">
        <v>7135.5</v>
      </c>
      <c r="G29" s="201">
        <f>F29*E29</f>
        <v>10374660.225</v>
      </c>
      <c r="H29" s="233">
        <v>2190574.125</v>
      </c>
      <c r="I29" s="233">
        <v>2141935.7400000002</v>
      </c>
      <c r="J29" s="201">
        <f>G29+H29-I29</f>
        <v>10423298.609999999</v>
      </c>
      <c r="K29" s="201"/>
      <c r="L29" s="233">
        <v>1863314.7</v>
      </c>
      <c r="M29" s="233">
        <v>1618812</v>
      </c>
      <c r="N29" s="233">
        <v>545693.79999999993</v>
      </c>
      <c r="O29" s="201"/>
      <c r="P29" s="147">
        <f>J29/L29</f>
        <v>5.5939550146843144</v>
      </c>
      <c r="Q29" s="147">
        <f>J29/M29</f>
        <v>6.4388567727444563</v>
      </c>
      <c r="R29" s="147">
        <f>G29/N29</f>
        <v>19.011871172074891</v>
      </c>
    </row>
    <row r="33" spans="2:18">
      <c r="B33" s="148" t="s">
        <v>199</v>
      </c>
      <c r="C33" s="148"/>
      <c r="D33" s="148"/>
      <c r="E33" s="148" t="s">
        <v>200</v>
      </c>
      <c r="F33" s="148" t="s">
        <v>166</v>
      </c>
      <c r="G33" s="148" t="s">
        <v>201</v>
      </c>
      <c r="H33" s="148" t="s">
        <v>202</v>
      </c>
      <c r="I33" s="148" t="s">
        <v>162</v>
      </c>
      <c r="J33" s="148" t="s">
        <v>203</v>
      </c>
    </row>
    <row r="34" spans="2:18">
      <c r="B34" s="212" t="s">
        <v>204</v>
      </c>
      <c r="C34" s="212"/>
      <c r="D34" s="212"/>
      <c r="E34" s="230">
        <v>4.4453686538604513</v>
      </c>
      <c r="F34" s="232">
        <f>E34*L29</f>
        <v>8283120.7596573904</v>
      </c>
      <c r="G34" s="232">
        <f>$H$29-$I$29</f>
        <v>48638.384999999776</v>
      </c>
      <c r="H34" s="232">
        <f>F34-G34</f>
        <v>8234482.3746573906</v>
      </c>
      <c r="I34" s="232">
        <f>$F$29</f>
        <v>7135.5</v>
      </c>
      <c r="J34" s="236">
        <f>H34/I34</f>
        <v>1154.0161691062142</v>
      </c>
    </row>
    <row r="35" spans="2:18">
      <c r="B35" s="212" t="s">
        <v>170</v>
      </c>
      <c r="C35" s="212"/>
      <c r="D35" s="212"/>
      <c r="E35" s="230">
        <v>5.2545733713554021</v>
      </c>
      <c r="F35" s="232">
        <f>E35*M29</f>
        <v>8506166.4284305815</v>
      </c>
      <c r="G35" s="232">
        <f t="shared" ref="G35:G36" si="11">$H$29-$I$29</f>
        <v>48638.384999999776</v>
      </c>
      <c r="H35" s="232">
        <f t="shared" ref="H35" si="12">F35-G35</f>
        <v>8457528.0434305817</v>
      </c>
      <c r="I35" s="232">
        <f t="shared" ref="I35:I36" si="13">$F$29</f>
        <v>7135.5</v>
      </c>
      <c r="J35" s="236">
        <f t="shared" ref="J35:J36" si="14">H35/I35</f>
        <v>1185.2747590821361</v>
      </c>
    </row>
    <row r="36" spans="2:18">
      <c r="B36" s="217" t="s">
        <v>171</v>
      </c>
      <c r="C36" s="217"/>
      <c r="D36" s="217"/>
      <c r="E36" s="234">
        <v>19.590056761301977</v>
      </c>
      <c r="F36" s="235">
        <f>H36+G36</f>
        <v>10738810.901290568</v>
      </c>
      <c r="G36" s="235">
        <f t="shared" si="11"/>
        <v>48638.384999999776</v>
      </c>
      <c r="H36" s="235">
        <f>E36*N29</f>
        <v>10690172.516290568</v>
      </c>
      <c r="I36" s="235">
        <f t="shared" si="13"/>
        <v>7135.5</v>
      </c>
      <c r="J36" s="237">
        <f t="shared" si="14"/>
        <v>1498.1672645631795</v>
      </c>
    </row>
    <row r="38" spans="2:18">
      <c r="B38" s="30"/>
      <c r="C38" s="30"/>
      <c r="D38" s="30"/>
      <c r="E38" s="30"/>
      <c r="F38" s="30"/>
      <c r="G38" s="30"/>
      <c r="H38" s="30"/>
      <c r="I38" s="30"/>
      <c r="J38" s="30"/>
      <c r="K38" s="30"/>
      <c r="L38" s="30"/>
      <c r="M38" s="30"/>
      <c r="N38" s="30"/>
      <c r="O38" s="30"/>
      <c r="P38" s="30"/>
      <c r="Q38" s="30"/>
      <c r="R38" s="30"/>
    </row>
  </sheetData>
  <mergeCells count="4">
    <mergeCell ref="L9:N9"/>
    <mergeCell ref="P9:R9"/>
    <mergeCell ref="E9:J9"/>
    <mergeCell ref="B7:R7"/>
  </mergeCells>
  <pageMargins left="0.7" right="0.7" top="0.75" bottom="0.75" header="0.3" footer="0.3"/>
  <pageSetup scale="57"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2"/>
  <sheetViews>
    <sheetView showGridLines="0" workbookViewId="0">
      <pane ySplit="5" topLeftCell="A6" activePane="bottomLeft" state="frozen"/>
      <selection pane="bottomLeft" activeCell="A6" sqref="A6"/>
    </sheetView>
  </sheetViews>
  <sheetFormatPr defaultRowHeight="15"/>
  <cols>
    <col min="1" max="1" width="1.85546875" customWidth="1"/>
    <col min="2" max="2" width="20.85546875" bestFit="1" customWidth="1"/>
    <col min="5" max="5" width="20.42578125" bestFit="1" customWidth="1"/>
    <col min="6" max="6" width="20.7109375" bestFit="1" customWidth="1"/>
    <col min="7" max="7" width="10.7109375" bestFit="1" customWidth="1"/>
  </cols>
  <sheetData>
    <row r="1" spans="2:12" ht="5.0999999999999996" customHeight="1">
      <c r="B1" s="30"/>
      <c r="C1" s="30"/>
      <c r="D1" s="30"/>
      <c r="E1" s="30"/>
      <c r="F1" s="30"/>
      <c r="G1" s="30"/>
      <c r="H1" s="30"/>
      <c r="I1" s="30"/>
      <c r="J1" s="30"/>
      <c r="K1" s="30"/>
      <c r="L1" s="30"/>
    </row>
    <row r="3" spans="2:12">
      <c r="B3" s="170" t="s">
        <v>260</v>
      </c>
    </row>
    <row r="4" spans="2:12">
      <c r="B4" s="171" t="s">
        <v>262</v>
      </c>
    </row>
    <row r="5" spans="2:12">
      <c r="B5" s="25" t="s">
        <v>261</v>
      </c>
      <c r="C5" s="29"/>
      <c r="D5" s="29"/>
      <c r="E5" s="29"/>
      <c r="F5" s="29"/>
      <c r="G5" s="29"/>
      <c r="H5" s="29"/>
      <c r="I5" s="29"/>
      <c r="J5" s="29"/>
      <c r="K5" s="29"/>
      <c r="L5" s="29"/>
    </row>
    <row r="8" spans="2:12">
      <c r="B8" s="310" t="s">
        <v>207</v>
      </c>
      <c r="C8" s="310"/>
      <c r="D8" s="310"/>
      <c r="E8" s="310"/>
      <c r="F8" s="310"/>
      <c r="G8" s="310"/>
      <c r="H8" s="310"/>
      <c r="I8" s="310"/>
      <c r="J8" s="310"/>
      <c r="K8" s="310"/>
      <c r="L8" s="310"/>
    </row>
    <row r="10" spans="2:12">
      <c r="B10" s="148" t="s">
        <v>172</v>
      </c>
      <c r="C10" s="148" t="s">
        <v>254</v>
      </c>
      <c r="D10" s="148"/>
      <c r="E10" s="148"/>
      <c r="F10" s="152" t="s">
        <v>208</v>
      </c>
      <c r="G10" s="152" t="s">
        <v>209</v>
      </c>
      <c r="H10" s="152" t="s">
        <v>210</v>
      </c>
      <c r="I10" s="152" t="s">
        <v>210</v>
      </c>
      <c r="J10" s="152" t="s">
        <v>211</v>
      </c>
      <c r="K10" s="152" t="s">
        <v>212</v>
      </c>
      <c r="L10" s="152" t="s">
        <v>213</v>
      </c>
    </row>
    <row r="11" spans="2:12">
      <c r="B11" s="153"/>
      <c r="C11" s="153"/>
      <c r="D11" s="153"/>
      <c r="E11" s="153"/>
      <c r="F11" s="154" t="s">
        <v>214</v>
      </c>
      <c r="G11" s="154" t="s">
        <v>164</v>
      </c>
      <c r="H11" s="154" t="s">
        <v>208</v>
      </c>
      <c r="I11" s="154" t="s">
        <v>32</v>
      </c>
      <c r="J11" s="154" t="s">
        <v>215</v>
      </c>
      <c r="K11" s="154" t="s">
        <v>127</v>
      </c>
      <c r="L11" s="154" t="s">
        <v>127</v>
      </c>
    </row>
    <row r="12" spans="2:12">
      <c r="B12" s="207" t="s">
        <v>180</v>
      </c>
      <c r="C12" s="207" t="s">
        <v>255</v>
      </c>
      <c r="D12" s="207"/>
      <c r="E12" s="207"/>
      <c r="F12" s="208">
        <f>'Comps Valuation'!G14</f>
        <v>15335033.210000001</v>
      </c>
      <c r="G12" s="208">
        <f>'Comps Valuation'!H14</f>
        <v>6351099.0300000003</v>
      </c>
      <c r="H12" s="209">
        <f>G12/F12</f>
        <v>0.41415619666597381</v>
      </c>
      <c r="I12" s="209">
        <f>G12/(F12+G12)</f>
        <v>0.29286453479636254</v>
      </c>
      <c r="J12" s="210">
        <v>0.23699999999999999</v>
      </c>
      <c r="K12" s="211">
        <v>0.56999999999999995</v>
      </c>
      <c r="L12" s="209">
        <f>K12/(1+H12*(1-J12))</f>
        <v>0.43313031135879793</v>
      </c>
    </row>
    <row r="13" spans="2:12">
      <c r="B13" s="212" t="s">
        <v>182</v>
      </c>
      <c r="C13" s="212" t="s">
        <v>255</v>
      </c>
      <c r="D13" s="212"/>
      <c r="E13" s="212"/>
      <c r="F13" s="213">
        <f>'Comps Valuation'!G15</f>
        <v>4334494</v>
      </c>
      <c r="G13" s="213">
        <f>'Comps Valuation'!H15</f>
        <v>976996.53</v>
      </c>
      <c r="H13" s="214">
        <f t="shared" ref="H13:H16" si="0">G13/F13</f>
        <v>0.22540036507144778</v>
      </c>
      <c r="I13" s="214">
        <f t="shared" ref="I13:I16" si="1">G13/(F13+G13)</f>
        <v>0.18394018110016286</v>
      </c>
      <c r="J13" s="215">
        <v>0.24099999999999999</v>
      </c>
      <c r="K13" s="216">
        <v>0.42</v>
      </c>
      <c r="L13" s="214">
        <f t="shared" ref="L13:L16" si="2">K13/(1+(1-J13)*H13)</f>
        <v>0.3586436475089787</v>
      </c>
    </row>
    <row r="14" spans="2:12">
      <c r="B14" s="212" t="s">
        <v>183</v>
      </c>
      <c r="C14" s="212" t="s">
        <v>255</v>
      </c>
      <c r="D14" s="212"/>
      <c r="E14" s="212"/>
      <c r="F14" s="213">
        <f>'Comps Valuation'!G16</f>
        <v>3770438.9599999995</v>
      </c>
      <c r="G14" s="213">
        <f>'Comps Valuation'!H16</f>
        <v>2408065.605</v>
      </c>
      <c r="H14" s="214">
        <f t="shared" si="0"/>
        <v>0.63866982877770828</v>
      </c>
      <c r="I14" s="214">
        <f t="shared" si="1"/>
        <v>0.38974894000098553</v>
      </c>
      <c r="J14" s="215">
        <v>0.23400000000000001</v>
      </c>
      <c r="K14" s="216">
        <v>0.51</v>
      </c>
      <c r="L14" s="214">
        <f t="shared" si="2"/>
        <v>0.34246090377082905</v>
      </c>
    </row>
    <row r="15" spans="2:12">
      <c r="B15" s="212" t="s">
        <v>184</v>
      </c>
      <c r="C15" s="212" t="s">
        <v>255</v>
      </c>
      <c r="D15" s="212"/>
      <c r="E15" s="212"/>
      <c r="F15" s="213">
        <f>'Comps Valuation'!G17</f>
        <v>1122012.94</v>
      </c>
      <c r="G15" s="213">
        <f>'Comps Valuation'!H17</f>
        <v>193047.88499999998</v>
      </c>
      <c r="H15" s="214">
        <f t="shared" si="0"/>
        <v>0.17205495419687405</v>
      </c>
      <c r="I15" s="214">
        <f t="shared" si="1"/>
        <v>0.14679768519452321</v>
      </c>
      <c r="J15" s="215">
        <v>0.28699999999999998</v>
      </c>
      <c r="K15" s="216">
        <v>0.61</v>
      </c>
      <c r="L15" s="214">
        <f t="shared" si="2"/>
        <v>0.54334504725336863</v>
      </c>
    </row>
    <row r="16" spans="2:12">
      <c r="B16" s="217" t="s">
        <v>192</v>
      </c>
      <c r="C16" s="217" t="s">
        <v>255</v>
      </c>
      <c r="D16" s="217"/>
      <c r="E16" s="217"/>
      <c r="F16" s="218">
        <f>'Comps Valuation'!G18</f>
        <v>671778.97499999998</v>
      </c>
      <c r="G16" s="218">
        <f>'Comps Valuation'!H18</f>
        <v>537462.40500000003</v>
      </c>
      <c r="H16" s="219">
        <f t="shared" si="0"/>
        <v>0.80005838974046495</v>
      </c>
      <c r="I16" s="219">
        <f t="shared" si="1"/>
        <v>0.44446246538470269</v>
      </c>
      <c r="J16" s="220">
        <v>0.24</v>
      </c>
      <c r="K16" s="221">
        <v>0.76</v>
      </c>
      <c r="L16" s="219">
        <f t="shared" si="2"/>
        <v>0.47262377285549112</v>
      </c>
    </row>
    <row r="19" spans="2:12">
      <c r="B19" s="145" t="s">
        <v>195</v>
      </c>
      <c r="C19" s="145"/>
      <c r="D19" s="145"/>
      <c r="E19" s="145"/>
      <c r="F19" s="145"/>
      <c r="G19" s="145"/>
      <c r="H19" s="155">
        <f>AVERAGE(H12:H16)</f>
        <v>0.45006794689049379</v>
      </c>
      <c r="I19" s="155">
        <f t="shared" ref="I19:L19" si="3">AVERAGE(I12:I16)</f>
        <v>0.29156276129534736</v>
      </c>
      <c r="J19" s="156">
        <f t="shared" si="3"/>
        <v>0.24779999999999996</v>
      </c>
      <c r="K19" s="155">
        <f t="shared" si="3"/>
        <v>0.57400000000000007</v>
      </c>
      <c r="L19" s="155">
        <f t="shared" si="3"/>
        <v>0.4300407365494931</v>
      </c>
    </row>
    <row r="20" spans="2:12">
      <c r="B20" s="146" t="s">
        <v>196</v>
      </c>
      <c r="C20" s="146"/>
      <c r="D20" s="146"/>
      <c r="E20" s="146"/>
      <c r="F20" s="146"/>
      <c r="G20" s="146"/>
      <c r="H20" s="157">
        <f>MEDIAN(H12:H16)</f>
        <v>0.41415619666597381</v>
      </c>
      <c r="I20" s="157">
        <f t="shared" ref="I20:L20" si="4">MEDIAN(I12:I16)</f>
        <v>0.29286453479636254</v>
      </c>
      <c r="J20" s="158">
        <f t="shared" si="4"/>
        <v>0.24</v>
      </c>
      <c r="K20" s="157">
        <f t="shared" si="4"/>
        <v>0.56999999999999995</v>
      </c>
      <c r="L20" s="157">
        <f t="shared" si="4"/>
        <v>0.43313031135879793</v>
      </c>
    </row>
    <row r="23" spans="2:12">
      <c r="B23" s="18" t="s">
        <v>181</v>
      </c>
      <c r="C23" s="18" t="s">
        <v>255</v>
      </c>
      <c r="D23" s="18"/>
      <c r="E23" s="18"/>
      <c r="F23" s="204">
        <f>'Comps Valuation'!G29</f>
        <v>10374660.225</v>
      </c>
      <c r="G23" s="204">
        <f>'Comps Valuation'!H29</f>
        <v>2190574.125</v>
      </c>
      <c r="H23" s="115">
        <f t="shared" ref="H23" si="5">G23/F23</f>
        <v>0.21114658962240859</v>
      </c>
      <c r="I23" s="115">
        <f t="shared" ref="I23" si="6">G23/(F23+G23)</f>
        <v>0.17433611375501326</v>
      </c>
      <c r="J23" s="116">
        <v>0.253</v>
      </c>
      <c r="K23" s="18">
        <v>0.47</v>
      </c>
    </row>
    <row r="27" spans="2:12">
      <c r="B27" s="314" t="s">
        <v>216</v>
      </c>
      <c r="C27" s="314"/>
      <c r="D27" s="314"/>
      <c r="E27" s="314"/>
      <c r="F27" s="314"/>
      <c r="G27" s="314"/>
      <c r="H27" s="314"/>
      <c r="I27" s="314"/>
      <c r="J27" s="314"/>
      <c r="K27" s="314"/>
      <c r="L27" s="314"/>
    </row>
    <row r="28" spans="2:12">
      <c r="B28" s="26"/>
      <c r="C28" s="26"/>
      <c r="D28" s="26"/>
      <c r="E28" s="26"/>
      <c r="F28" s="26"/>
      <c r="G28" s="26"/>
      <c r="H28" s="26"/>
      <c r="I28" s="26"/>
      <c r="J28" s="26"/>
      <c r="K28" s="26"/>
      <c r="L28" s="26"/>
    </row>
    <row r="29" spans="2:12">
      <c r="B29" s="315" t="s">
        <v>217</v>
      </c>
      <c r="C29" s="315"/>
      <c r="D29" s="315"/>
      <c r="E29" s="315"/>
      <c r="F29" s="26"/>
      <c r="G29" s="26"/>
      <c r="H29" s="26"/>
      <c r="I29" s="26"/>
      <c r="J29" s="26"/>
      <c r="K29" s="26"/>
      <c r="L29" s="26"/>
    </row>
    <row r="30" spans="2:12">
      <c r="B30" s="26"/>
      <c r="C30" s="26"/>
      <c r="D30" s="26"/>
      <c r="E30" s="26"/>
      <c r="F30" s="26"/>
      <c r="G30" s="26"/>
      <c r="H30" s="26"/>
      <c r="I30" s="26"/>
      <c r="J30" s="26"/>
      <c r="K30" s="26"/>
      <c r="L30" s="26"/>
    </row>
    <row r="31" spans="2:12">
      <c r="B31" s="26" t="s">
        <v>218</v>
      </c>
      <c r="C31" s="26"/>
      <c r="D31" s="26"/>
      <c r="E31" s="149">
        <f>I19</f>
        <v>0.29156276129534736</v>
      </c>
      <c r="F31" s="26"/>
      <c r="G31" s="26"/>
      <c r="H31" s="26"/>
      <c r="I31" s="26"/>
      <c r="J31" s="26"/>
      <c r="K31" s="26"/>
      <c r="L31" s="26"/>
    </row>
    <row r="32" spans="2:12">
      <c r="B32" s="26" t="s">
        <v>219</v>
      </c>
      <c r="C32" s="26"/>
      <c r="D32" s="26"/>
      <c r="E32" s="149">
        <f>1-E31</f>
        <v>0.70843723870465269</v>
      </c>
      <c r="F32" s="26"/>
      <c r="G32" s="26"/>
      <c r="H32" s="26"/>
      <c r="I32" s="26"/>
      <c r="J32" s="26"/>
      <c r="K32" s="26"/>
      <c r="L32" s="26"/>
    </row>
    <row r="33" spans="2:12">
      <c r="B33" s="316" t="s">
        <v>220</v>
      </c>
      <c r="C33" s="316"/>
      <c r="D33" s="316"/>
      <c r="E33" s="316"/>
      <c r="F33" s="26"/>
      <c r="G33" s="26"/>
      <c r="H33" s="26"/>
      <c r="I33" s="26"/>
      <c r="J33" s="26"/>
      <c r="K33" s="26"/>
      <c r="L33" s="26"/>
    </row>
    <row r="34" spans="2:12">
      <c r="B34" s="26" t="s">
        <v>221</v>
      </c>
      <c r="C34" s="26"/>
      <c r="D34" s="26"/>
      <c r="E34" s="205">
        <f>F23</f>
        <v>10374660.225</v>
      </c>
      <c r="F34" s="26"/>
      <c r="G34" s="26"/>
      <c r="H34" s="26"/>
      <c r="I34" s="26"/>
      <c r="J34" s="26"/>
      <c r="K34" s="26"/>
      <c r="L34" s="26"/>
    </row>
    <row r="35" spans="2:12">
      <c r="B35" s="26" t="s">
        <v>222</v>
      </c>
      <c r="C35" s="26"/>
      <c r="D35" s="26"/>
      <c r="E35" s="205">
        <f>G23</f>
        <v>2190574.125</v>
      </c>
      <c r="F35" s="26"/>
      <c r="G35" s="26"/>
      <c r="H35" s="26"/>
      <c r="I35" s="26"/>
      <c r="J35" s="26"/>
      <c r="K35" s="26"/>
      <c r="L35" s="26"/>
    </row>
    <row r="36" spans="2:12">
      <c r="B36" s="29" t="s">
        <v>223</v>
      </c>
      <c r="C36" s="29"/>
      <c r="D36" s="29"/>
      <c r="E36" s="38">
        <f>E35/E34</f>
        <v>0.21114658962240859</v>
      </c>
      <c r="F36" s="26"/>
      <c r="G36" s="26"/>
      <c r="H36" s="26"/>
      <c r="I36" s="26"/>
      <c r="J36" s="26"/>
      <c r="K36" s="26"/>
      <c r="L36" s="26"/>
    </row>
    <row r="37" spans="2:12">
      <c r="B37" s="26"/>
      <c r="C37" s="26"/>
      <c r="D37" s="26"/>
      <c r="E37" s="26"/>
      <c r="F37" s="26"/>
      <c r="G37" s="26"/>
      <c r="H37" s="26"/>
      <c r="I37" s="26"/>
      <c r="J37" s="26"/>
      <c r="K37" s="26"/>
      <c r="L37" s="26"/>
    </row>
    <row r="38" spans="2:12">
      <c r="B38" s="315" t="s">
        <v>224</v>
      </c>
      <c r="C38" s="315"/>
      <c r="D38" s="315"/>
      <c r="E38" s="315"/>
      <c r="F38" s="26"/>
      <c r="G38" s="26"/>
      <c r="H38" s="26"/>
      <c r="I38" s="26"/>
      <c r="J38" s="26"/>
      <c r="K38" s="26"/>
      <c r="L38" s="26"/>
    </row>
    <row r="39" spans="2:12">
      <c r="B39" s="26" t="s">
        <v>225</v>
      </c>
      <c r="C39" s="26"/>
      <c r="D39" s="26"/>
      <c r="E39" s="27">
        <f>'Cost Buildup'!I27</f>
        <v>5.8954851401863559E-2</v>
      </c>
      <c r="F39" s="26"/>
      <c r="G39" s="26"/>
      <c r="H39" s="26"/>
      <c r="I39" s="26"/>
      <c r="J39" s="26"/>
      <c r="K39" s="26"/>
      <c r="L39" s="26"/>
    </row>
    <row r="40" spans="2:12">
      <c r="B40" s="26" t="s">
        <v>226</v>
      </c>
      <c r="C40" s="26"/>
      <c r="D40" s="26"/>
      <c r="E40" s="27">
        <f>J23</f>
        <v>0.253</v>
      </c>
      <c r="F40" s="26"/>
      <c r="G40" s="26"/>
      <c r="H40" s="26"/>
      <c r="I40" s="26"/>
      <c r="J40" s="26"/>
      <c r="K40" s="26"/>
      <c r="L40" s="26"/>
    </row>
    <row r="41" spans="2:12">
      <c r="B41" s="11" t="s">
        <v>227</v>
      </c>
      <c r="C41" s="11"/>
      <c r="D41" s="11"/>
      <c r="E41" s="119">
        <f>E39*(1-E40)</f>
        <v>4.4039273997192076E-2</v>
      </c>
      <c r="F41" s="26"/>
      <c r="G41" s="26"/>
      <c r="H41" s="26"/>
      <c r="I41" s="26"/>
      <c r="J41" s="26"/>
      <c r="K41" s="26"/>
      <c r="L41" s="26"/>
    </row>
    <row r="42" spans="2:12">
      <c r="B42" s="26"/>
      <c r="C42" s="26"/>
      <c r="D42" s="26"/>
      <c r="E42" s="26"/>
      <c r="F42" s="26"/>
      <c r="G42" s="26"/>
      <c r="H42" s="26"/>
      <c r="I42" s="26"/>
      <c r="J42" s="26"/>
      <c r="K42" s="26"/>
      <c r="L42" s="26"/>
    </row>
    <row r="43" spans="2:12">
      <c r="B43" s="315" t="s">
        <v>228</v>
      </c>
      <c r="C43" s="315"/>
      <c r="D43" s="315"/>
      <c r="E43" s="315"/>
      <c r="F43" s="26"/>
      <c r="G43" s="315" t="s">
        <v>228</v>
      </c>
      <c r="H43" s="315"/>
      <c r="I43" s="315"/>
      <c r="J43" s="315"/>
      <c r="K43" s="26"/>
      <c r="L43" s="26"/>
    </row>
    <row r="44" spans="2:12">
      <c r="B44" s="26" t="s">
        <v>229</v>
      </c>
      <c r="C44" s="26"/>
      <c r="D44" s="26"/>
      <c r="E44" s="27">
        <f>Assumption!E31</f>
        <v>6.3100000000000003E-2</v>
      </c>
      <c r="F44" s="26"/>
      <c r="G44" s="26" t="s">
        <v>229</v>
      </c>
      <c r="H44" s="26"/>
      <c r="I44" s="26"/>
      <c r="J44" s="27">
        <v>6.3100000000000003E-2</v>
      </c>
      <c r="K44" s="26"/>
      <c r="L44" s="26"/>
    </row>
    <row r="45" spans="2:12">
      <c r="B45" s="26" t="s">
        <v>230</v>
      </c>
      <c r="C45" s="26"/>
      <c r="D45" s="26"/>
      <c r="E45" s="28">
        <f>'equity market return'!F14</f>
        <v>0.11969791430979027</v>
      </c>
      <c r="F45" s="26"/>
      <c r="G45" s="26" t="s">
        <v>230</v>
      </c>
      <c r="H45" s="26"/>
      <c r="I45" s="26"/>
      <c r="J45" s="28">
        <v>0.12</v>
      </c>
      <c r="K45" s="26"/>
      <c r="L45" s="26"/>
    </row>
    <row r="46" spans="2:12">
      <c r="B46" s="26" t="s">
        <v>231</v>
      </c>
      <c r="C46" s="26"/>
      <c r="D46" s="26"/>
      <c r="E46" s="122">
        <f>E45-E44</f>
        <v>5.6597914309790262E-2</v>
      </c>
      <c r="F46" s="26"/>
      <c r="G46" s="26" t="s">
        <v>231</v>
      </c>
      <c r="H46" s="26"/>
      <c r="I46" s="26"/>
      <c r="J46" s="122">
        <f>J45-J44</f>
        <v>5.6899999999999992E-2</v>
      </c>
      <c r="K46" s="26"/>
      <c r="L46" s="26"/>
    </row>
    <row r="47" spans="2:12">
      <c r="B47" s="26" t="s">
        <v>232</v>
      </c>
      <c r="C47" s="26"/>
      <c r="D47" s="26"/>
      <c r="E47" s="149">
        <f>L20*(1+E36*(1-E40))</f>
        <v>0.50144644047360809</v>
      </c>
      <c r="F47" s="26"/>
      <c r="G47" s="26" t="s">
        <v>240</v>
      </c>
      <c r="H47" s="26"/>
      <c r="I47" s="26"/>
      <c r="J47" s="149">
        <v>1.1200000000000001</v>
      </c>
      <c r="K47" s="26"/>
      <c r="L47" s="26"/>
    </row>
    <row r="48" spans="2:12">
      <c r="B48" s="11" t="s">
        <v>228</v>
      </c>
      <c r="C48" s="11"/>
      <c r="D48" s="11"/>
      <c r="E48" s="119">
        <f>E44+(E46*E47)</f>
        <v>9.1480822668874612E-2</v>
      </c>
      <c r="F48" s="159"/>
      <c r="G48" s="11" t="s">
        <v>228</v>
      </c>
      <c r="H48" s="11"/>
      <c r="I48" s="18"/>
      <c r="J48" s="119">
        <f>J44+(J46*J47)</f>
        <v>0.126828</v>
      </c>
      <c r="K48" s="26"/>
      <c r="L48" s="26"/>
    </row>
    <row r="49" spans="2:12">
      <c r="B49" s="26"/>
      <c r="C49" s="26"/>
      <c r="D49" s="26"/>
      <c r="E49" s="26"/>
      <c r="F49" s="26"/>
      <c r="G49" s="26"/>
      <c r="H49" s="26"/>
      <c r="I49" s="26"/>
      <c r="J49" s="26"/>
      <c r="K49" s="26"/>
      <c r="L49" s="26"/>
    </row>
    <row r="50" spans="2:12">
      <c r="B50" s="160" t="s">
        <v>233</v>
      </c>
      <c r="C50" s="160"/>
      <c r="D50" s="160"/>
      <c r="E50" s="161">
        <f>(E41*E31)+(E48*E32)</f>
        <v>7.7648633738031242E-2</v>
      </c>
      <c r="F50" s="26"/>
      <c r="G50" s="160" t="s">
        <v>233</v>
      </c>
      <c r="H50" s="160"/>
      <c r="I50" s="160"/>
      <c r="J50" s="161">
        <f>(J48*E32)+(E31*E41)</f>
        <v>0.10268989044249741</v>
      </c>
      <c r="K50" s="26"/>
      <c r="L50" s="26"/>
    </row>
    <row r="51" spans="2:12">
      <c r="B51" s="29"/>
      <c r="C51" s="29"/>
      <c r="D51" s="29"/>
      <c r="E51" s="29"/>
      <c r="F51" s="29"/>
      <c r="G51" s="29"/>
      <c r="H51" s="29"/>
      <c r="I51" s="29"/>
      <c r="J51" s="29"/>
      <c r="K51" s="29"/>
      <c r="L51" s="29"/>
    </row>
    <row r="52" spans="2:12">
      <c r="B52" s="30"/>
      <c r="C52" s="30"/>
      <c r="D52" s="30"/>
      <c r="E52" s="30"/>
      <c r="F52" s="30"/>
      <c r="G52" s="30"/>
      <c r="H52" s="30"/>
      <c r="I52" s="30"/>
      <c r="J52" s="30"/>
      <c r="K52" s="30"/>
      <c r="L52" s="30"/>
    </row>
  </sheetData>
  <mergeCells count="7">
    <mergeCell ref="B43:E43"/>
    <mergeCell ref="G43:J43"/>
    <mergeCell ref="B27:L27"/>
    <mergeCell ref="B29:E29"/>
    <mergeCell ref="B33:E33"/>
    <mergeCell ref="B38:E38"/>
    <mergeCell ref="B8:L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6"/>
  <sheetViews>
    <sheetView showGridLines="0" topLeftCell="C1" workbookViewId="0">
      <pane ySplit="5" topLeftCell="A8" activePane="bottomLeft" state="frozen"/>
      <selection pane="bottomLeft" activeCell="D20" sqref="D20"/>
    </sheetView>
  </sheetViews>
  <sheetFormatPr defaultRowHeight="15"/>
  <cols>
    <col min="1" max="1" width="1.85546875" customWidth="1"/>
    <col min="2" max="2" width="27.5703125" bestFit="1" customWidth="1"/>
    <col min="3" max="3" width="15.7109375" bestFit="1" customWidth="1"/>
    <col min="4" max="4" width="10" bestFit="1" customWidth="1"/>
    <col min="5" max="5" width="9.7109375" bestFit="1" customWidth="1"/>
    <col min="6" max="17" width="11.140625" bestFit="1" customWidth="1"/>
  </cols>
  <sheetData>
    <row r="1" spans="2:17" ht="5.0999999999999996" customHeight="1">
      <c r="B1" s="30"/>
      <c r="C1" s="30"/>
      <c r="D1" s="30"/>
      <c r="E1" s="30"/>
      <c r="F1" s="30"/>
      <c r="G1" s="30"/>
      <c r="H1" s="30"/>
      <c r="I1" s="30"/>
      <c r="J1" s="30"/>
      <c r="K1" s="30"/>
      <c r="L1" s="30"/>
      <c r="M1" s="30"/>
      <c r="N1" s="30"/>
      <c r="O1" s="30"/>
      <c r="P1" s="30"/>
      <c r="Q1" s="30"/>
    </row>
    <row r="3" spans="2:17">
      <c r="B3" s="170" t="s">
        <v>260</v>
      </c>
    </row>
    <row r="4" spans="2:17">
      <c r="B4" s="171" t="s">
        <v>262</v>
      </c>
    </row>
    <row r="5" spans="2:17">
      <c r="B5" s="25" t="s">
        <v>261</v>
      </c>
      <c r="C5" s="29"/>
      <c r="D5" s="29"/>
      <c r="E5" s="29"/>
      <c r="F5" s="29"/>
      <c r="G5" s="29"/>
      <c r="H5" s="29"/>
      <c r="I5" s="29"/>
      <c r="J5" s="29"/>
      <c r="K5" s="29"/>
      <c r="L5" s="29"/>
      <c r="M5" s="29"/>
      <c r="N5" s="29"/>
      <c r="O5" s="29"/>
      <c r="P5" s="29"/>
      <c r="Q5" s="29"/>
    </row>
    <row r="8" spans="2:17">
      <c r="B8" s="32" t="s">
        <v>0</v>
      </c>
      <c r="C8" s="32">
        <v>2020</v>
      </c>
      <c r="D8" s="32">
        <v>2021</v>
      </c>
      <c r="E8" s="32">
        <v>2022</v>
      </c>
      <c r="F8" s="32">
        <v>2023</v>
      </c>
      <c r="G8" s="32">
        <v>2024</v>
      </c>
      <c r="H8" s="32">
        <v>2025</v>
      </c>
      <c r="I8" s="32">
        <v>2026</v>
      </c>
      <c r="J8" s="32">
        <v>2027</v>
      </c>
      <c r="K8" s="32">
        <v>2028</v>
      </c>
      <c r="L8" s="32">
        <v>2029</v>
      </c>
      <c r="M8" s="32">
        <v>2030</v>
      </c>
      <c r="N8" s="32">
        <v>2031</v>
      </c>
      <c r="O8" s="32">
        <v>2032</v>
      </c>
      <c r="P8" s="32">
        <v>2033</v>
      </c>
      <c r="Q8" s="32">
        <v>2034</v>
      </c>
    </row>
    <row r="10" spans="2:17">
      <c r="B10" s="25" t="s">
        <v>12</v>
      </c>
      <c r="C10" s="52"/>
      <c r="D10" s="263">
        <f>'Income Statement'!E23</f>
        <v>331369.82799999946</v>
      </c>
      <c r="E10" s="263">
        <f>'Income Statement'!F23</f>
        <v>383189.96900000004</v>
      </c>
      <c r="F10" s="263">
        <f>'Income Statement'!G23</f>
        <v>564052.98999999976</v>
      </c>
      <c r="G10" s="263">
        <f>'Income Statement'!H23</f>
        <v>736740.4939999996</v>
      </c>
      <c r="H10" s="263">
        <f>'Income Statement'!I23</f>
        <v>684864.03847089713</v>
      </c>
      <c r="I10" s="263">
        <f>'Income Statement'!J23</f>
        <v>805203.61944375839</v>
      </c>
      <c r="J10" s="263">
        <f>'Income Statement'!K23</f>
        <v>945451.72391540336</v>
      </c>
      <c r="K10" s="263">
        <f>'Income Statement'!L23</f>
        <v>1109730.5965869082</v>
      </c>
      <c r="L10" s="263">
        <f>'Income Statement'!M23</f>
        <v>1303078.8332038827</v>
      </c>
      <c r="M10" s="263">
        <f>'Income Statement'!N23</f>
        <v>1531619.5830464275</v>
      </c>
      <c r="N10" s="263">
        <f>'Income Statement'!O23</f>
        <v>1802767.3291830514</v>
      </c>
      <c r="O10" s="263">
        <f>'Income Statement'!P23</f>
        <v>2125482.1992059955</v>
      </c>
      <c r="P10" s="263">
        <f>'Income Statement'!Q23</f>
        <v>2510582.0828367793</v>
      </c>
      <c r="Q10" s="263">
        <f>'Income Statement'!R23</f>
        <v>2971124.6860058745</v>
      </c>
    </row>
    <row r="11" spans="2:17">
      <c r="B11" t="s">
        <v>235</v>
      </c>
      <c r="D11" s="195">
        <f>-'Income Statement'!E31</f>
        <v>-38335.862999999998</v>
      </c>
      <c r="E11" s="195">
        <f>-'Income Statement'!F31</f>
        <v>-49817.733</v>
      </c>
      <c r="F11" s="195">
        <f>-'Income Statement'!G31</f>
        <v>-108754.258</v>
      </c>
      <c r="G11" s="195">
        <f>-'Income Statement'!H31</f>
        <v>-133436.04699999999</v>
      </c>
      <c r="H11" s="195">
        <f>-'Income Statement'!I31</f>
        <v>-119952.32502792343</v>
      </c>
      <c r="I11" s="195">
        <f>-'Income Statement'!J31</f>
        <v>-144667.71755649877</v>
      </c>
      <c r="J11" s="195">
        <f>-'Income Statement'!K31</f>
        <v>-174061.06036638084</v>
      </c>
      <c r="K11" s="195">
        <f>-'Income Statement'!L31</f>
        <v>-209153.12348275079</v>
      </c>
      <c r="L11" s="195">
        <f>-'Income Statement'!M31</f>
        <v>-251206.64737535774</v>
      </c>
      <c r="M11" s="195">
        <f>-'Income Statement'!N31</f>
        <v>-301777.23412740062</v>
      </c>
      <c r="N11" s="195">
        <f>-'Income Statement'!O31</f>
        <v>-362775.88074628828</v>
      </c>
      <c r="O11" s="195">
        <f>-'Income Statement'!P31</f>
        <v>-436546.023097647</v>
      </c>
      <c r="P11" s="195">
        <f>-'Income Statement'!Q31</f>
        <v>-525958.50803205371</v>
      </c>
      <c r="Q11" s="195">
        <f>-'Income Statement'!R31</f>
        <v>-634528.61848599452</v>
      </c>
    </row>
    <row r="12" spans="2:17">
      <c r="B12" s="25" t="s">
        <v>236</v>
      </c>
      <c r="C12" s="25"/>
      <c r="D12" s="202">
        <f>SUM(D10:D11)</f>
        <v>293033.96499999944</v>
      </c>
      <c r="E12" s="202">
        <f t="shared" ref="E12:Q12" si="0">SUM(E10:E11)</f>
        <v>333372.23600000003</v>
      </c>
      <c r="F12" s="202">
        <f t="shared" si="0"/>
        <v>455298.73199999973</v>
      </c>
      <c r="G12" s="202">
        <f t="shared" si="0"/>
        <v>603304.44699999958</v>
      </c>
      <c r="H12" s="202">
        <f t="shared" si="0"/>
        <v>564911.71344297368</v>
      </c>
      <c r="I12" s="202">
        <f t="shared" si="0"/>
        <v>660535.90188725968</v>
      </c>
      <c r="J12" s="202">
        <f t="shared" si="0"/>
        <v>771390.66354902252</v>
      </c>
      <c r="K12" s="202">
        <f t="shared" si="0"/>
        <v>900577.47310415749</v>
      </c>
      <c r="L12" s="202">
        <f t="shared" si="0"/>
        <v>1051872.1858285249</v>
      </c>
      <c r="M12" s="202">
        <f t="shared" si="0"/>
        <v>1229842.3489190268</v>
      </c>
      <c r="N12" s="202">
        <f t="shared" si="0"/>
        <v>1439991.4484367631</v>
      </c>
      <c r="O12" s="202">
        <f t="shared" si="0"/>
        <v>1688936.1761083486</v>
      </c>
      <c r="P12" s="202">
        <f t="shared" si="0"/>
        <v>1984623.5748047256</v>
      </c>
      <c r="Q12" s="202">
        <f t="shared" si="0"/>
        <v>2336596.0675198799</v>
      </c>
    </row>
    <row r="13" spans="2:17">
      <c r="B13" t="s">
        <v>237</v>
      </c>
      <c r="D13" s="195">
        <f>'Income Statement'!E21</f>
        <v>13400.744000000001</v>
      </c>
      <c r="E13" s="195">
        <f>'Income Statement'!F21</f>
        <v>13300.074000000001</v>
      </c>
      <c r="F13" s="195">
        <f>'Income Statement'!G21</f>
        <v>15145.592000000001</v>
      </c>
      <c r="G13" s="195">
        <f>'Income Statement'!H21</f>
        <v>19352.106</v>
      </c>
      <c r="H13" s="195">
        <f>'Income Statement'!I21</f>
        <v>19448.866529999996</v>
      </c>
      <c r="I13" s="195">
        <f>'Income Statement'!J21</f>
        <v>19546.110862649995</v>
      </c>
      <c r="J13" s="195">
        <f>'Income Statement'!K21</f>
        <v>19643.841416963241</v>
      </c>
      <c r="K13" s="195">
        <f>'Income Statement'!L21</f>
        <v>19742.060624048059</v>
      </c>
      <c r="L13" s="195">
        <f>'Income Statement'!M21</f>
        <v>19840.770927168294</v>
      </c>
      <c r="M13" s="195">
        <f>'Income Statement'!N21</f>
        <v>19939.974781804136</v>
      </c>
      <c r="N13" s="195">
        <f>'Income Statement'!O21</f>
        <v>20039.674655713156</v>
      </c>
      <c r="O13" s="195">
        <f>'Income Statement'!P21</f>
        <v>20139.873028991718</v>
      </c>
      <c r="P13" s="195">
        <f>'Income Statement'!Q21</f>
        <v>20240.57239413667</v>
      </c>
      <c r="Q13" s="195">
        <f>'Income Statement'!R21</f>
        <v>20341.775256107354</v>
      </c>
    </row>
    <row r="14" spans="2:17">
      <c r="B14" t="s">
        <v>238</v>
      </c>
      <c r="D14" s="191">
        <f>-FAS!D57/1000</f>
        <v>-17406.749</v>
      </c>
      <c r="E14" s="191">
        <f>-FAS!E57/1000</f>
        <v>-11261.6</v>
      </c>
      <c r="F14" s="191">
        <f>-FAS!F57/1000</f>
        <v>-18781.521000000001</v>
      </c>
      <c r="G14" s="191">
        <f>-FAS!G57/1000</f>
        <v>-42064.832999999999</v>
      </c>
      <c r="H14" s="191">
        <f>-FAS!H57/1000</f>
        <v>-71424.920965000027</v>
      </c>
      <c r="I14" s="191">
        <f>-FAS!I57/1000</f>
        <v>-71782.045569824884</v>
      </c>
      <c r="J14" s="191">
        <f>-FAS!J57/1000</f>
        <v>-72140.955797674178</v>
      </c>
      <c r="K14" s="191">
        <f>-FAS!K57/1000</f>
        <v>-72501.660576662427</v>
      </c>
      <c r="L14" s="191">
        <f>-FAS!L57/1000</f>
        <v>-72864.168879545847</v>
      </c>
      <c r="M14" s="191">
        <f>-FAS!M57/1000</f>
        <v>-73228.489723943538</v>
      </c>
      <c r="N14" s="191">
        <f>-FAS!N57/1000</f>
        <v>-73594.632172563273</v>
      </c>
      <c r="O14" s="191">
        <f>-FAS!O57/1000</f>
        <v>-73962.605333426007</v>
      </c>
      <c r="P14" s="191">
        <f>-FAS!P57/1000</f>
        <v>-74332.418360093114</v>
      </c>
      <c r="Q14" s="191">
        <f>-FAS!Q57/1000</f>
        <v>-74704.080451893591</v>
      </c>
    </row>
    <row r="15" spans="2:17" ht="15.75" thickBot="1">
      <c r="B15" s="53" t="s">
        <v>239</v>
      </c>
      <c r="C15" s="53"/>
      <c r="D15" s="203">
        <f>SUM(D12:D14)</f>
        <v>289027.95999999944</v>
      </c>
      <c r="E15" s="203">
        <f t="shared" ref="E15:Q15" si="1">SUM(E12:E14)</f>
        <v>335410.71000000008</v>
      </c>
      <c r="F15" s="203">
        <f t="shared" si="1"/>
        <v>451662.80299999972</v>
      </c>
      <c r="G15" s="203">
        <f t="shared" si="1"/>
        <v>580591.71999999962</v>
      </c>
      <c r="H15" s="203">
        <f t="shared" si="1"/>
        <v>512935.65900797362</v>
      </c>
      <c r="I15" s="203">
        <f t="shared" si="1"/>
        <v>608299.96718008479</v>
      </c>
      <c r="J15" s="203">
        <f t="shared" si="1"/>
        <v>718893.54916831164</v>
      </c>
      <c r="K15" s="203">
        <f t="shared" si="1"/>
        <v>847817.8731515432</v>
      </c>
      <c r="L15" s="203">
        <f t="shared" si="1"/>
        <v>998848.78787614719</v>
      </c>
      <c r="M15" s="203">
        <f t="shared" si="1"/>
        <v>1176553.8339768872</v>
      </c>
      <c r="N15" s="203">
        <f t="shared" si="1"/>
        <v>1386436.4909199129</v>
      </c>
      <c r="O15" s="203">
        <f t="shared" si="1"/>
        <v>1635113.4438039144</v>
      </c>
      <c r="P15" s="203">
        <f t="shared" si="1"/>
        <v>1930531.728838769</v>
      </c>
      <c r="Q15" s="203">
        <f t="shared" si="1"/>
        <v>2282233.7623240938</v>
      </c>
    </row>
    <row r="18" spans="2:14" ht="15.75" thickBot="1"/>
    <row r="19" spans="2:14" ht="15.75" thickBot="1">
      <c r="B19" s="135" t="s">
        <v>241</v>
      </c>
      <c r="C19" s="138">
        <f>Q15*(1+C20)/(WACC!J50-'DCF Valutaion'!C20)</f>
        <v>45480175.235048681</v>
      </c>
      <c r="H19" s="317" t="s">
        <v>252</v>
      </c>
      <c r="I19" s="318"/>
      <c r="J19" s="318"/>
      <c r="K19" s="318"/>
      <c r="L19" s="318"/>
      <c r="M19" s="318"/>
      <c r="N19" s="319"/>
    </row>
    <row r="20" spans="2:14" ht="15.75" thickBot="1">
      <c r="B20" s="70" t="s">
        <v>242</v>
      </c>
      <c r="C20" s="133">
        <v>0.05</v>
      </c>
      <c r="H20" s="322" t="s">
        <v>242</v>
      </c>
      <c r="I20" s="87"/>
      <c r="J20" s="320" t="s">
        <v>251</v>
      </c>
      <c r="K20" s="320"/>
      <c r="L20" s="320"/>
      <c r="M20" s="320"/>
      <c r="N20" s="321"/>
    </row>
    <row r="21" spans="2:14" ht="15.75" thickBot="1">
      <c r="B21" s="79" t="s">
        <v>251</v>
      </c>
      <c r="C21" s="134">
        <f>WACC!J50</f>
        <v>0.10268989044249741</v>
      </c>
      <c r="H21" s="323"/>
      <c r="I21" s="123">
        <f>C32</f>
        <v>3101.4958874259414</v>
      </c>
      <c r="J21" s="126">
        <f>K21-1%</f>
        <v>8.270000000000001E-2</v>
      </c>
      <c r="K21" s="127">
        <f>L21-1%</f>
        <v>9.2700000000000005E-2</v>
      </c>
      <c r="L21" s="127">
        <v>0.1027</v>
      </c>
      <c r="M21" s="127">
        <f>L21+1%</f>
        <v>0.11269999999999999</v>
      </c>
      <c r="N21" s="128">
        <f>M21+1%</f>
        <v>0.12269999999999999</v>
      </c>
    </row>
    <row r="22" spans="2:14" ht="15.75" thickBot="1">
      <c r="H22" s="323"/>
      <c r="I22" s="124">
        <f>I23-1%</f>
        <v>0.03</v>
      </c>
      <c r="J22" s="139">
        <f t="dataTable" ref="J22:N26" dt2D="1" dtr="1" r1="C21" r2="C20"/>
        <v>2408.5746621023686</v>
      </c>
      <c r="K22" s="139">
        <v>2408.5746621023686</v>
      </c>
      <c r="L22" s="139">
        <v>2408.5746621023686</v>
      </c>
      <c r="M22" s="139">
        <v>2408.5746621023686</v>
      </c>
      <c r="N22" s="140">
        <v>2408.5746621023686</v>
      </c>
    </row>
    <row r="23" spans="2:14">
      <c r="B23" s="325" t="s">
        <v>243</v>
      </c>
      <c r="C23" s="326"/>
      <c r="H23" s="323"/>
      <c r="I23" s="124">
        <f>I24-1%</f>
        <v>0.04</v>
      </c>
      <c r="J23" s="139">
        <v>2699.769487853971</v>
      </c>
      <c r="K23" s="141">
        <v>2699.769487853971</v>
      </c>
      <c r="L23" s="141">
        <v>2699.769487853971</v>
      </c>
      <c r="M23" s="141">
        <v>2699.769487853971</v>
      </c>
      <c r="N23" s="140">
        <v>2699.769487853971</v>
      </c>
    </row>
    <row r="24" spans="2:14">
      <c r="B24" s="70" t="s">
        <v>244</v>
      </c>
      <c r="C24" s="130">
        <f>NPV(WACC!J50,'DCF Valutaion'!H15:Q15)</f>
        <v>6449247.2990905335</v>
      </c>
      <c r="H24" s="323"/>
      <c r="I24" s="124">
        <v>0.05</v>
      </c>
      <c r="J24" s="139">
        <v>3101.4958874259414</v>
      </c>
      <c r="K24" s="141">
        <v>3101.4958874259414</v>
      </c>
      <c r="L24" s="142">
        <v>3101.4958874259414</v>
      </c>
      <c r="M24" s="141">
        <v>3101.4958874259414</v>
      </c>
      <c r="N24" s="140">
        <v>3101.4958874259414</v>
      </c>
    </row>
    <row r="25" spans="2:14">
      <c r="B25" s="70" t="s">
        <v>245</v>
      </c>
      <c r="C25" s="130">
        <f>PV(WACC!J50,COUNT('DCF Valutaion'!H8:Q8),0,-'DCF Valutaion'!C19)</f>
        <v>17111504.661637273</v>
      </c>
      <c r="H25" s="323"/>
      <c r="I25" s="124">
        <f>I24+1%</f>
        <v>6.0000000000000005E-2</v>
      </c>
      <c r="J25" s="139">
        <v>3691.4290944682157</v>
      </c>
      <c r="K25" s="141">
        <v>3691.4290944682157</v>
      </c>
      <c r="L25" s="141">
        <v>3691.4290944682157</v>
      </c>
      <c r="M25" s="141">
        <v>3691.4290944682157</v>
      </c>
      <c r="N25" s="140">
        <v>3691.4290944682157</v>
      </c>
    </row>
    <row r="26" spans="2:14" ht="15.75" thickBot="1">
      <c r="B26" s="131" t="s">
        <v>140</v>
      </c>
      <c r="C26" s="132">
        <f>SUM(C24:C25)</f>
        <v>23560751.960727807</v>
      </c>
      <c r="H26" s="324"/>
      <c r="I26" s="125">
        <f>I25+1%</f>
        <v>7.0000000000000007E-2</v>
      </c>
      <c r="J26" s="143">
        <v>4642.2893031350341</v>
      </c>
      <c r="K26" s="143">
        <v>4642.2893031350341</v>
      </c>
      <c r="L26" s="143">
        <v>4642.2893031350341</v>
      </c>
      <c r="M26" s="143">
        <v>4642.2893031350341</v>
      </c>
      <c r="N26" s="144">
        <v>4642.2893031350341</v>
      </c>
    </row>
    <row r="27" spans="2:14">
      <c r="B27" s="70" t="s">
        <v>246</v>
      </c>
      <c r="C27" s="130">
        <f>'Balancesheet Forecasted'!G14</f>
        <v>899430.23100000003</v>
      </c>
    </row>
    <row r="28" spans="2:14">
      <c r="B28" s="70" t="s">
        <v>247</v>
      </c>
      <c r="C28" s="130">
        <f>WACC!E35</f>
        <v>2190574.125</v>
      </c>
    </row>
    <row r="29" spans="2:14">
      <c r="B29" s="70" t="s">
        <v>248</v>
      </c>
      <c r="C29" s="130">
        <f>'Balancesheet Forecasted'!G29</f>
        <v>138884.16200000001</v>
      </c>
    </row>
    <row r="30" spans="2:14" ht="15.75" thickBot="1">
      <c r="B30" s="131" t="s">
        <v>202</v>
      </c>
      <c r="C30" s="132">
        <f>C26+C27-C28-C29</f>
        <v>22130723.904727805</v>
      </c>
    </row>
    <row r="31" spans="2:14" ht="15.75" thickBot="1"/>
    <row r="32" spans="2:14" ht="15.75" thickBot="1">
      <c r="B32" s="135" t="s">
        <v>249</v>
      </c>
      <c r="C32" s="136">
        <f>C30/Assumption!E34</f>
        <v>3101.4958874259414</v>
      </c>
    </row>
    <row r="33" spans="2:14" ht="15.75" thickBot="1"/>
    <row r="34" spans="2:14" ht="15.75" thickBot="1">
      <c r="B34" s="135" t="s">
        <v>250</v>
      </c>
      <c r="C34" s="137">
        <f>C32/Assumption!E35-1</f>
        <v>1.1214062157496181</v>
      </c>
    </row>
    <row r="36" spans="2:14">
      <c r="B36" s="30"/>
      <c r="C36" s="30"/>
      <c r="D36" s="30"/>
      <c r="E36" s="30"/>
      <c r="F36" s="30"/>
      <c r="G36" s="30"/>
      <c r="H36" s="30"/>
      <c r="I36" s="30"/>
      <c r="J36" s="30"/>
      <c r="K36" s="30"/>
      <c r="L36" s="30"/>
      <c r="M36" s="30"/>
      <c r="N36" s="30"/>
    </row>
  </sheetData>
  <mergeCells count="4">
    <mergeCell ref="H19:N19"/>
    <mergeCell ref="J20:N20"/>
    <mergeCell ref="H20:H26"/>
    <mergeCell ref="B23:C2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showGridLines="0" workbookViewId="0">
      <pane ySplit="5" topLeftCell="A6" activePane="bottomLeft" state="frozen"/>
      <selection pane="bottomLeft" activeCell="A6" sqref="A6"/>
    </sheetView>
  </sheetViews>
  <sheetFormatPr defaultRowHeight="15"/>
  <cols>
    <col min="1" max="1" width="2.140625" customWidth="1"/>
    <col min="2" max="2" width="25.7109375" bestFit="1" customWidth="1"/>
    <col min="8" max="8" width="14.5703125" bestFit="1" customWidth="1"/>
    <col min="9" max="9" width="17.42578125" bestFit="1" customWidth="1"/>
  </cols>
  <sheetData>
    <row r="1" spans="2:12" ht="6" customHeight="1">
      <c r="B1" s="30"/>
      <c r="C1" s="30"/>
      <c r="D1" s="30"/>
      <c r="E1" s="30"/>
      <c r="F1" s="30"/>
      <c r="G1" s="30"/>
      <c r="H1" s="30"/>
      <c r="I1" s="30"/>
      <c r="J1" s="30"/>
      <c r="K1" s="30"/>
      <c r="L1" s="30"/>
    </row>
    <row r="3" spans="2:12">
      <c r="B3" s="170" t="s">
        <v>260</v>
      </c>
    </row>
    <row r="4" spans="2:12">
      <c r="B4" s="171" t="s">
        <v>262</v>
      </c>
    </row>
    <row r="5" spans="2:12">
      <c r="B5" s="25" t="s">
        <v>261</v>
      </c>
      <c r="C5" s="29"/>
      <c r="D5" s="29"/>
      <c r="E5" s="29"/>
      <c r="F5" s="29"/>
      <c r="G5" s="29"/>
      <c r="H5" s="29"/>
      <c r="I5" s="29"/>
      <c r="J5" s="29"/>
      <c r="K5" s="29"/>
      <c r="L5" s="29"/>
    </row>
    <row r="7" spans="2:12">
      <c r="B7" s="308" t="s">
        <v>284</v>
      </c>
      <c r="C7" s="308"/>
      <c r="D7" s="308"/>
      <c r="E7" s="308"/>
      <c r="F7" s="308"/>
      <c r="G7" s="308"/>
      <c r="H7" s="308"/>
      <c r="I7" s="308"/>
    </row>
    <row r="8" spans="2:12">
      <c r="B8" s="32" t="s">
        <v>280</v>
      </c>
      <c r="C8" s="32"/>
      <c r="D8" s="32"/>
      <c r="E8" s="32"/>
      <c r="F8" s="32"/>
      <c r="G8" s="32"/>
      <c r="H8" s="32"/>
      <c r="I8" s="32"/>
    </row>
    <row r="9" spans="2:12">
      <c r="B9" s="99"/>
      <c r="C9" s="99"/>
      <c r="D9" s="99"/>
      <c r="E9" s="99"/>
      <c r="F9" s="99" t="s">
        <v>200</v>
      </c>
      <c r="G9" s="99" t="s">
        <v>281</v>
      </c>
      <c r="H9" s="99" t="s">
        <v>282</v>
      </c>
      <c r="I9" s="99" t="s">
        <v>283</v>
      </c>
    </row>
    <row r="10" spans="2:12">
      <c r="B10" s="26" t="s">
        <v>193</v>
      </c>
      <c r="C10" s="26"/>
      <c r="D10" s="26"/>
      <c r="E10" s="26"/>
      <c r="F10" s="239">
        <f>MAX('Comps Valuation'!J34:J36)</f>
        <v>1498.1672645631795</v>
      </c>
      <c r="G10" s="238">
        <v>3101.5</v>
      </c>
      <c r="H10" s="238">
        <v>1472</v>
      </c>
      <c r="I10" s="238">
        <v>2800</v>
      </c>
    </row>
    <row r="11" spans="2:12">
      <c r="B11" s="26" t="s">
        <v>193</v>
      </c>
      <c r="C11" s="26"/>
      <c r="D11" s="26"/>
      <c r="E11" s="26"/>
      <c r="F11" s="239">
        <f>F10</f>
        <v>1498.1672645631795</v>
      </c>
      <c r="G11" s="239">
        <f>G10</f>
        <v>3101.5</v>
      </c>
      <c r="H11" s="239">
        <f>H10</f>
        <v>1472</v>
      </c>
      <c r="I11" s="239">
        <f>I10</f>
        <v>2800</v>
      </c>
    </row>
    <row r="12" spans="2:12">
      <c r="B12" s="26" t="s">
        <v>198</v>
      </c>
      <c r="C12" s="26"/>
      <c r="D12" s="26"/>
      <c r="E12" s="26"/>
      <c r="F12" s="239">
        <f>MIN('Comps Valuation'!J34:J36)</f>
        <v>1154.0161691062142</v>
      </c>
      <c r="G12" s="238">
        <v>1558.29</v>
      </c>
      <c r="H12" s="238">
        <v>1153</v>
      </c>
      <c r="I12" s="238">
        <v>1100</v>
      </c>
    </row>
    <row r="13" spans="2:12">
      <c r="B13" s="29" t="s">
        <v>198</v>
      </c>
      <c r="C13" s="29"/>
      <c r="D13" s="29"/>
      <c r="E13" s="29"/>
      <c r="F13" s="240">
        <f>F12</f>
        <v>1154.0161691062142</v>
      </c>
      <c r="G13" s="240">
        <f>G12</f>
        <v>1558.29</v>
      </c>
      <c r="H13" s="240">
        <f>H12</f>
        <v>1153</v>
      </c>
      <c r="I13" s="240">
        <f>I12</f>
        <v>1100</v>
      </c>
    </row>
    <row r="32" spans="2:9">
      <c r="B32" s="30"/>
      <c r="C32" s="30"/>
      <c r="D32" s="30"/>
      <c r="E32" s="30"/>
      <c r="F32" s="30"/>
      <c r="G32" s="30"/>
      <c r="H32" s="30"/>
      <c r="I32" s="30"/>
    </row>
  </sheetData>
  <mergeCells count="1">
    <mergeCell ref="B7:I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5"/>
  <sheetViews>
    <sheetView showGridLines="0" workbookViewId="0">
      <pane xSplit="2" ySplit="10" topLeftCell="C11" activePane="bottomRight" state="frozen"/>
      <selection pane="topRight" activeCell="C1" sqref="C1"/>
      <selection pane="bottomLeft" activeCell="A11" sqref="A11"/>
      <selection pane="bottomRight" activeCell="D15" sqref="D15:H15"/>
    </sheetView>
  </sheetViews>
  <sheetFormatPr defaultRowHeight="15"/>
  <cols>
    <col min="1" max="1" width="2.28515625" customWidth="1"/>
    <col min="2" max="2" width="26.140625" bestFit="1" customWidth="1"/>
  </cols>
  <sheetData>
    <row r="1" spans="2:17" ht="4.5" customHeight="1">
      <c r="B1" s="30"/>
      <c r="C1" s="30"/>
      <c r="D1" s="30"/>
      <c r="E1" s="30"/>
      <c r="F1" s="30"/>
      <c r="G1" s="30"/>
      <c r="H1" s="30"/>
      <c r="I1" s="30"/>
      <c r="J1" s="30"/>
      <c r="K1" s="30"/>
      <c r="L1" s="30"/>
      <c r="M1" s="30"/>
      <c r="N1" s="30"/>
      <c r="O1" s="30"/>
      <c r="P1" s="30"/>
      <c r="Q1" s="30"/>
    </row>
    <row r="3" spans="2:17">
      <c r="B3" s="170" t="s">
        <v>260</v>
      </c>
    </row>
    <row r="4" spans="2:17">
      <c r="B4" s="171" t="s">
        <v>262</v>
      </c>
    </row>
    <row r="5" spans="2:17">
      <c r="B5" s="25" t="s">
        <v>261</v>
      </c>
      <c r="C5" s="29"/>
      <c r="D5" s="29"/>
      <c r="E5" s="29"/>
      <c r="F5" s="29"/>
      <c r="G5" s="29"/>
      <c r="H5" s="29"/>
      <c r="I5" s="29"/>
      <c r="J5" s="29"/>
      <c r="K5" s="29"/>
      <c r="L5" s="29"/>
      <c r="M5" s="29"/>
      <c r="N5" s="29"/>
      <c r="O5" s="29"/>
      <c r="P5" s="29"/>
      <c r="Q5" s="29"/>
    </row>
    <row r="7" spans="2:17">
      <c r="B7" s="280" t="s">
        <v>296</v>
      </c>
      <c r="C7" s="280"/>
      <c r="D7" s="280"/>
      <c r="E7" s="280"/>
      <c r="F7" s="280"/>
      <c r="G7" s="280"/>
      <c r="H7" s="280"/>
      <c r="I7" s="280"/>
      <c r="J7" s="280"/>
      <c r="K7" s="280"/>
      <c r="L7" s="280"/>
      <c r="M7" s="280"/>
      <c r="N7" s="280"/>
      <c r="O7" s="280"/>
      <c r="P7" s="280"/>
      <c r="Q7" s="280"/>
    </row>
    <row r="9" spans="2:17">
      <c r="B9" s="32" t="s">
        <v>0</v>
      </c>
      <c r="C9" s="32">
        <v>2020</v>
      </c>
      <c r="D9" s="32">
        <v>2021</v>
      </c>
      <c r="E9" s="32">
        <v>2022</v>
      </c>
      <c r="F9" s="32">
        <v>2023</v>
      </c>
      <c r="G9" s="32">
        <v>2024</v>
      </c>
      <c r="H9" s="32">
        <v>2025</v>
      </c>
      <c r="I9" s="32">
        <v>2026</v>
      </c>
      <c r="J9" s="32">
        <v>2027</v>
      </c>
      <c r="K9" s="32">
        <v>2028</v>
      </c>
      <c r="L9" s="32">
        <v>2029</v>
      </c>
      <c r="M9" s="32">
        <v>2030</v>
      </c>
      <c r="N9" s="32">
        <v>2031</v>
      </c>
      <c r="O9" s="32">
        <v>2032</v>
      </c>
      <c r="P9" s="32">
        <v>2033</v>
      </c>
      <c r="Q9" s="32">
        <v>2034</v>
      </c>
    </row>
    <row r="10" spans="2:17">
      <c r="B10" s="99"/>
      <c r="C10" s="168" t="s">
        <v>258</v>
      </c>
      <c r="D10" s="168" t="s">
        <v>258</v>
      </c>
      <c r="E10" s="168" t="s">
        <v>258</v>
      </c>
      <c r="F10" s="168" t="s">
        <v>258</v>
      </c>
      <c r="G10" s="168" t="s">
        <v>258</v>
      </c>
      <c r="H10" s="168" t="s">
        <v>74</v>
      </c>
      <c r="I10" s="168" t="s">
        <v>74</v>
      </c>
      <c r="J10" s="168" t="s">
        <v>74</v>
      </c>
      <c r="K10" s="168" t="s">
        <v>74</v>
      </c>
      <c r="L10" s="168" t="s">
        <v>74</v>
      </c>
      <c r="M10" s="168" t="s">
        <v>74</v>
      </c>
      <c r="N10" s="168" t="s">
        <v>74</v>
      </c>
      <c r="O10" s="168" t="s">
        <v>74</v>
      </c>
      <c r="P10" s="168" t="s">
        <v>74</v>
      </c>
      <c r="Q10" s="168" t="s">
        <v>74</v>
      </c>
    </row>
    <row r="12" spans="2:17">
      <c r="B12" s="280" t="s">
        <v>286</v>
      </c>
      <c r="C12" s="280"/>
      <c r="D12" s="280"/>
      <c r="E12" s="280"/>
      <c r="F12" s="280"/>
      <c r="G12" s="280"/>
      <c r="H12" s="280"/>
      <c r="I12" s="280"/>
      <c r="J12" s="280"/>
      <c r="K12" s="280"/>
      <c r="L12" s="280"/>
      <c r="M12" s="280"/>
      <c r="N12" s="280"/>
      <c r="O12" s="280"/>
      <c r="P12" s="280"/>
      <c r="Q12" s="280"/>
    </row>
    <row r="14" spans="2:17" ht="15.75">
      <c r="B14" s="245" t="s">
        <v>297</v>
      </c>
      <c r="C14" s="242">
        <f>('Income Statement'!D11*0.6-'Income Statement'!D14-'Income Statement'!D25)/'Balancesheet Forecasted'!C22</f>
        <v>3.2822473502597385E-2</v>
      </c>
      <c r="D14" s="242">
        <f>('Income Statement'!E11*0.6-'Income Statement'!E14-'Income Statement'!E25)/'Balancesheet Forecasted'!D22</f>
        <v>3.4402325173013823E-2</v>
      </c>
      <c r="E14" s="242">
        <f>('Income Statement'!F11*0.6-'Income Statement'!F14-'Income Statement'!F25)/'Balancesheet Forecasted'!E22</f>
        <v>3.0442760947710572E-2</v>
      </c>
      <c r="F14" s="242">
        <f>('Income Statement'!G11*0.6-'Income Statement'!G14-'Income Statement'!G25)/'Balancesheet Forecasted'!F22</f>
        <v>3.1230119417832419E-2</v>
      </c>
      <c r="G14" s="242">
        <f>('Income Statement'!H11*0.6-'Income Statement'!H14-'Income Statement'!H25)/'Balancesheet Forecasted'!G22</f>
        <v>2.8558658764439387E-2</v>
      </c>
      <c r="H14" s="242">
        <f>('Income Statement'!I11*0.6-'Income Statement'!I14-'Income Statement'!I25)/'Balancesheet Forecasted'!H22</f>
        <v>3.1283949126569024E-2</v>
      </c>
      <c r="I14" s="242">
        <f>('Income Statement'!J11*0.6-'Income Statement'!J14-'Income Statement'!J25)/'Balancesheet Forecasted'!I22</f>
        <v>3.13596973835015E-2</v>
      </c>
      <c r="J14" s="242">
        <f>('Income Statement'!K11*0.6-'Income Statement'!K14-'Income Statement'!K25)/'Balancesheet Forecasted'!J22</f>
        <v>3.1422437728789117E-2</v>
      </c>
      <c r="K14" s="242">
        <f>('Income Statement'!L11*0.6-'Income Statement'!L14-'Income Statement'!L25)/'Balancesheet Forecasted'!K22</f>
        <v>3.1476748891099596E-2</v>
      </c>
      <c r="L14" s="242">
        <f>('Income Statement'!M11*0.6-'Income Statement'!M14-'Income Statement'!M25)/'Balancesheet Forecasted'!L22</f>
        <v>3.1525969570825249E-2</v>
      </c>
      <c r="M14" s="242">
        <f>('Income Statement'!N11*0.6-'Income Statement'!N14-'Income Statement'!N25)/'Balancesheet Forecasted'!M22</f>
        <v>3.1572427150994287E-2</v>
      </c>
      <c r="N14" s="242">
        <f>('Income Statement'!O11*0.6-'Income Statement'!O14-'Income Statement'!O25)/'Balancesheet Forecasted'!N22</f>
        <v>3.1617644909119474E-2</v>
      </c>
      <c r="O14" s="242">
        <f>('Income Statement'!P11*0.6-'Income Statement'!P14-'Income Statement'!P25)/'Balancesheet Forecasted'!O22</f>
        <v>3.1662527494450296E-2</v>
      </c>
      <c r="P14" s="242">
        <f>('Income Statement'!Q11*0.6-'Income Statement'!Q14-'Income Statement'!Q25)/'Balancesheet Forecasted'!P22</f>
        <v>3.1707523294458292E-2</v>
      </c>
      <c r="Q14" s="242">
        <f>('Income Statement'!R11*0.6-'Income Statement'!R14-'Income Statement'!R25)/'Balancesheet Forecasted'!Q22</f>
        <v>3.1752762177227209E-2</v>
      </c>
    </row>
    <row r="15" spans="2:17" ht="15.75">
      <c r="B15" s="245" t="s">
        <v>287</v>
      </c>
      <c r="C15" s="243">
        <f>'Income Statement'!D19/'Income Statement'!D11</f>
        <v>0.17511517290322617</v>
      </c>
      <c r="D15" s="243">
        <f>'Income Statement'!E19/'Income Statement'!E11</f>
        <v>0.21369659980185482</v>
      </c>
      <c r="E15" s="243">
        <f>'Income Statement'!F19/'Income Statement'!F11</f>
        <v>0.25168167124889046</v>
      </c>
      <c r="F15" s="243">
        <f>'Income Statement'!G19/'Income Statement'!G11</f>
        <v>0.31109803156965232</v>
      </c>
      <c r="G15" s="243">
        <f>'Income Statement'!H19/'Income Statement'!H11</f>
        <v>0.32032702230812926</v>
      </c>
      <c r="H15" s="243">
        <f>'Income Statement'!I19/'Income Statement'!I11</f>
        <v>0.2543836995663506</v>
      </c>
      <c r="I15" s="243">
        <f>'Income Statement'!J19/'Income Statement'!J11</f>
        <v>0.25438369956635065</v>
      </c>
      <c r="J15" s="243">
        <f>'Income Statement'!K19/'Income Statement'!K11</f>
        <v>0.25438369956635065</v>
      </c>
      <c r="K15" s="243">
        <f>'Income Statement'!L19/'Income Statement'!L11</f>
        <v>0.25438369956635065</v>
      </c>
      <c r="L15" s="243">
        <f>'Income Statement'!M19/'Income Statement'!M11</f>
        <v>0.2543836995663506</v>
      </c>
      <c r="M15" s="243">
        <f>'Income Statement'!N19/'Income Statement'!N11</f>
        <v>0.25438369956635065</v>
      </c>
      <c r="N15" s="243">
        <f>'Income Statement'!O19/'Income Statement'!O11</f>
        <v>0.2543836995663506</v>
      </c>
      <c r="O15" s="243">
        <f>'Income Statement'!P19/'Income Statement'!P11</f>
        <v>0.25438369956635054</v>
      </c>
      <c r="P15" s="243">
        <f>'Income Statement'!Q19/'Income Statement'!Q11</f>
        <v>0.25438369956635065</v>
      </c>
      <c r="Q15" s="243">
        <f>'Income Statement'!R19/'Income Statement'!R11</f>
        <v>0.25438369956635065</v>
      </c>
    </row>
    <row r="16" spans="2:17" ht="15.75">
      <c r="B16" s="245" t="s">
        <v>288</v>
      </c>
      <c r="C16" s="243">
        <f>'Income Statement'!D23/'Income Statement'!D11</f>
        <v>0.16729590529428248</v>
      </c>
      <c r="D16" s="243">
        <f>'Income Statement'!E23/'Income Statement'!E11</f>
        <v>0.20539051552382917</v>
      </c>
      <c r="E16" s="243">
        <f>'Income Statement'!F23/'Income Statement'!F11</f>
        <v>0.24323912669789421</v>
      </c>
      <c r="F16" s="243">
        <f>'Income Statement'!G23/'Income Statement'!G11</f>
        <v>0.30296306024101555</v>
      </c>
      <c r="G16" s="243">
        <f>'Income Statement'!H23/'Income Statement'!H11</f>
        <v>0.31212828780078017</v>
      </c>
      <c r="H16" s="243">
        <f>'Income Statement'!I23/'Income Statement'!I11</f>
        <v>0.24735915893228785</v>
      </c>
      <c r="I16" s="243">
        <f>'Income Statement'!J23/'Income Statement'!J11</f>
        <v>0.24835494707251513</v>
      </c>
      <c r="J16" s="243">
        <f>'Income Statement'!K23/'Income Statement'!K11</f>
        <v>0.24920589828651479</v>
      </c>
      <c r="K16" s="243">
        <f>'Income Statement'!L23/'Income Statement'!L11</f>
        <v>0.24993732506888414</v>
      </c>
      <c r="L16" s="243">
        <f>'Income Statement'!M23/'Income Statement'!M11</f>
        <v>0.25056852539027757</v>
      </c>
      <c r="M16" s="243">
        <f>'Income Statement'!N23/'Income Statement'!N11</f>
        <v>0.25111446988795205</v>
      </c>
      <c r="N16" s="243">
        <f>'Income Statement'!O23/'Income Statement'!O11</f>
        <v>0.25158704223165163</v>
      </c>
      <c r="O16" s="243">
        <f>'Income Statement'!P23/'Income Statement'!P11</f>
        <v>0.2519959279842961</v>
      </c>
      <c r="P16" s="243">
        <f>'Income Statement'!Q23/'Income Statement'!Q11</f>
        <v>0.25234923394454228</v>
      </c>
      <c r="Q16" s="243">
        <f>'Income Statement'!R23/'Income Statement'!R11</f>
        <v>0.25265390713430952</v>
      </c>
    </row>
    <row r="17" spans="2:17" ht="15.75">
      <c r="B17" s="245" t="s">
        <v>289</v>
      </c>
      <c r="C17" s="243">
        <f>'Income Statement'!D29/'Income Statement'!D11</f>
        <v>7.9835163609973961E-2</v>
      </c>
      <c r="D17" s="243">
        <f>'Income Statement'!E29/'Income Statement'!E11</f>
        <v>0.13771161488089956</v>
      </c>
      <c r="E17" s="243">
        <f>'Income Statement'!F29/'Income Statement'!F11</f>
        <v>0.19101545916522614</v>
      </c>
      <c r="F17" s="243">
        <f>'Income Statement'!G29/'Income Statement'!G11</f>
        <v>0.24123082542158389</v>
      </c>
      <c r="G17" s="243">
        <f>'Income Statement'!H29/'Income Statement'!H11</f>
        <v>0.24402867050232466</v>
      </c>
      <c r="H17" s="243">
        <f>'Income Statement'!I29/'Income Statement'!I11</f>
        <v>0.18306597894605658</v>
      </c>
      <c r="I17" s="243">
        <f>'Income Statement'!J29/'Income Statement'!J11</f>
        <v>0.18464355379128017</v>
      </c>
      <c r="J17" s="243">
        <f>'Income Statement'!K29/'Income Statement'!K11</f>
        <v>0.18600389894275551</v>
      </c>
      <c r="K17" s="243">
        <f>'Income Statement'!L29/'Income Statement'!L11</f>
        <v>0.18718192400121517</v>
      </c>
      <c r="L17" s="243">
        <f>'Income Statement'!M29/'Income Statement'!M11</f>
        <v>0.18820404266568524</v>
      </c>
      <c r="M17" s="243">
        <f>'Income Statement'!N29/'Income Statement'!N11</f>
        <v>0.18909068927262479</v>
      </c>
      <c r="N17" s="243">
        <f>'Income Statement'!O29/'Income Statement'!O11</f>
        <v>0.18985817309330896</v>
      </c>
      <c r="O17" s="243">
        <f>'Income Statement'!P29/'Income Statement'!P11</f>
        <v>0.19051999621530838</v>
      </c>
      <c r="P17" s="243">
        <f>'Income Statement'!Q29/'Income Statement'!Q11</f>
        <v>0.19108775057333804</v>
      </c>
      <c r="Q17" s="243">
        <f>'Income Statement'!R29/'Income Statement'!R11</f>
        <v>0.19157169759701742</v>
      </c>
    </row>
    <row r="18" spans="2:17" ht="15.75">
      <c r="B18" s="245" t="s">
        <v>290</v>
      </c>
      <c r="C18" s="244">
        <f>'Cost Buildup'!D31</f>
        <v>0.20002115033876075</v>
      </c>
      <c r="D18" s="244">
        <f>'Cost Buildup'!E31</f>
        <v>0.17254490621455901</v>
      </c>
      <c r="E18" s="244">
        <f>'Cost Buildup'!F31</f>
        <v>0.16555213803218263</v>
      </c>
      <c r="F18" s="244">
        <f>'Cost Buildup'!G31</f>
        <v>0.24214930693035608</v>
      </c>
      <c r="G18" s="244">
        <f>'Cost Buildup'!H31</f>
        <v>0.23165989149627841</v>
      </c>
      <c r="H18" s="244">
        <f>'Cost Buildup'!I31</f>
        <v>0.23665989149627842</v>
      </c>
      <c r="I18" s="244">
        <f>'Cost Buildup'!J31</f>
        <v>0.24165989149627842</v>
      </c>
      <c r="J18" s="244">
        <f>'Cost Buildup'!K31</f>
        <v>0.24665989149627843</v>
      </c>
      <c r="K18" s="244">
        <f>'Cost Buildup'!L31</f>
        <v>0.25165989149627843</v>
      </c>
      <c r="L18" s="244">
        <f>'Cost Buildup'!M31</f>
        <v>0.25665989149627844</v>
      </c>
      <c r="M18" s="244">
        <f>'Cost Buildup'!N31</f>
        <v>0.26165989149627844</v>
      </c>
      <c r="N18" s="244">
        <f>'Cost Buildup'!O31</f>
        <v>0.26665989149627845</v>
      </c>
      <c r="O18" s="244">
        <f>'Cost Buildup'!P31</f>
        <v>0.27165989149627845</v>
      </c>
      <c r="P18" s="244">
        <f>'Cost Buildup'!Q31</f>
        <v>0.27665989149627845</v>
      </c>
      <c r="Q18" s="244">
        <f>'Cost Buildup'!R31</f>
        <v>0.28165989149627846</v>
      </c>
    </row>
    <row r="19" spans="2:17" ht="15.75">
      <c r="B19" s="245" t="s">
        <v>291</v>
      </c>
      <c r="C19" s="243">
        <f>'Income Statement'!D33/'Income Statement'!D11</f>
        <v>6.38664382075501E-2</v>
      </c>
      <c r="D19" s="243">
        <f>'Income Statement'!E33/'Income Statement'!E11</f>
        <v>0.11395017977335287</v>
      </c>
      <c r="E19" s="243">
        <f>'Income Statement'!F33/'Income Statement'!F11</f>
        <v>0.15939244486604739</v>
      </c>
      <c r="F19" s="243">
        <f>'Income Statement'!G33/'Income Statement'!G11</f>
        <v>0.18281694693488185</v>
      </c>
      <c r="G19" s="243">
        <f>'Income Statement'!H33/'Income Statement'!H11</f>
        <v>0.18749700810531456</v>
      </c>
      <c r="H19" s="243">
        <f>'Income Statement'!I33/'Income Statement'!I11</f>
        <v>0.13974160423202284</v>
      </c>
      <c r="I19" s="243">
        <f>'Income Statement'!J33/'Income Statement'!J11</f>
        <v>0.14002261261659216</v>
      </c>
      <c r="J19" s="243">
        <f>'Income Statement'!K33/'Income Statement'!K11</f>
        <v>0.14012419741165069</v>
      </c>
      <c r="K19" s="243">
        <f>'Income Statement'!L33/'Income Statement'!L11</f>
        <v>0.14007574131700473</v>
      </c>
      <c r="L19" s="243">
        <f>'Income Statement'!M33/'Income Statement'!M11</f>
        <v>0.13989961349594951</v>
      </c>
      <c r="M19" s="243">
        <f>'Income Statement'!N33/'Income Statement'!N11</f>
        <v>0.13961324003459327</v>
      </c>
      <c r="N19" s="243">
        <f>'Income Statement'!O33/'Income Statement'!O11</f>
        <v>0.13923061325656555</v>
      </c>
      <c r="O19" s="243">
        <f>'Income Statement'!P33/'Income Statement'!P11</f>
        <v>0.13876335471558635</v>
      </c>
      <c r="P19" s="243">
        <f>'Income Statement'!Q33/'Income Statement'!Q11</f>
        <v>0.1382214342334504</v>
      </c>
      <c r="Q19" s="243">
        <f>'Income Statement'!R33/'Income Statement'!R11</f>
        <v>0.1376136340380836</v>
      </c>
    </row>
    <row r="20" spans="2:17" ht="15.75">
      <c r="B20" s="245" t="s">
        <v>292</v>
      </c>
      <c r="C20" s="243">
        <f>'Income Statement'!D33/SUM('Balancesheet Forecasted'!C26,'Balancesheet Forecasted'!C28)</f>
        <v>7.78023052454756E-2</v>
      </c>
      <c r="D20" s="243">
        <f>'Income Statement'!E33/SUM('Balancesheet Forecasted'!D26,'Balancesheet Forecasted'!D28)</f>
        <v>0.11666333062366331</v>
      </c>
      <c r="E20" s="243">
        <f>'Income Statement'!F33/SUM('Balancesheet Forecasted'!E26,'Balancesheet Forecasted'!E28)</f>
        <v>0.13812993898808743</v>
      </c>
      <c r="F20" s="243">
        <f>'Income Statement'!G33/SUM('Balancesheet Forecasted'!F26,'Balancesheet Forecasted'!F28)</f>
        <v>0.15924549882853767</v>
      </c>
      <c r="G20" s="243">
        <f>'Income Statement'!H33/SUM('Balancesheet Forecasted'!G26,'Balancesheet Forecasted'!G28)</f>
        <v>0.17373252734093983</v>
      </c>
      <c r="H20" s="243">
        <f>'Income Statement'!I33/SUM('Balancesheet Forecasted'!H26,'Balancesheet Forecasted'!H28)</f>
        <v>0.1331783074637006</v>
      </c>
      <c r="I20" s="243">
        <f>'Income Statement'!J33/SUM('Balancesheet Forecasted'!I26,'Balancesheet Forecasted'!I28)</f>
        <v>0.13653622170010279</v>
      </c>
      <c r="J20" s="243">
        <f>'Income Statement'!K33/SUM('Balancesheet Forecasted'!J26,'Balancesheet Forecasted'!J28)</f>
        <v>0.1392924910860083</v>
      </c>
      <c r="K20" s="243">
        <f>'Income Statement'!L33/SUM('Balancesheet Forecasted'!K26,'Balancesheet Forecasted'!K28)</f>
        <v>0.14162023164139545</v>
      </c>
      <c r="L20" s="243">
        <f>'Income Statement'!M33/SUM('Balancesheet Forecasted'!L26,'Balancesheet Forecasted'!L28)</f>
        <v>0.14365987106344549</v>
      </c>
      <c r="M20" s="243">
        <f>'Income Statement'!N33/SUM('Balancesheet Forecasted'!M26,'Balancesheet Forecasted'!M28)</f>
        <v>0.14551838724596031</v>
      </c>
      <c r="N20" s="243">
        <f>'Income Statement'!O33/SUM('Balancesheet Forecasted'!N26,'Balancesheet Forecasted'!N28)</f>
        <v>0.14727225781662215</v>
      </c>
      <c r="O20" s="243">
        <f>'Income Statement'!P33/SUM('Balancesheet Forecasted'!O26,'Balancesheet Forecasted'!O28)</f>
        <v>0.14897219790142208</v>
      </c>
      <c r="P20" s="243">
        <f>'Income Statement'!Q33/SUM('Balancesheet Forecasted'!P26,'Balancesheet Forecasted'!P28)</f>
        <v>0.15064842738678089</v>
      </c>
      <c r="Q20" s="243">
        <f>'Income Statement'!R33/SUM('Balancesheet Forecasted'!Q26,'Balancesheet Forecasted'!Q28)</f>
        <v>0.15231572774840946</v>
      </c>
    </row>
    <row r="21" spans="2:17" ht="15.75">
      <c r="B21" s="245" t="s">
        <v>293</v>
      </c>
      <c r="C21" s="243">
        <f>'Income Statement'!D23/('Balancesheet Forecasted'!C22-('Balancesheet Forecasted'!C26+'Balancesheet Forecasted'!C28+'Balancesheet Forecasted'!C31))</f>
        <v>2.4083603514261306E-2</v>
      </c>
      <c r="D21" s="243">
        <f>'Income Statement'!E23/('Balancesheet Forecasted'!D22-('Balancesheet Forecasted'!D26+'Balancesheet Forecasted'!D28+'Balancesheet Forecasted'!D31))</f>
        <v>2.6044373191016702E-2</v>
      </c>
      <c r="E21" s="243">
        <f>'Income Statement'!F23/('Balancesheet Forecasted'!E22-('Balancesheet Forecasted'!E26+'Balancesheet Forecasted'!E28+'Balancesheet Forecasted'!E31))</f>
        <v>2.7191083352367348E-2</v>
      </c>
      <c r="F21" s="243">
        <f>'Income Statement'!G23/('Balancesheet Forecasted'!F22-('Balancesheet Forecasted'!F26+'Balancesheet Forecasted'!F28+'Balancesheet Forecasted'!F31))</f>
        <v>3.6257374048462562E-2</v>
      </c>
      <c r="G21" s="243">
        <f>'Income Statement'!H23/('Balancesheet Forecasted'!G22-('Balancesheet Forecasted'!G26+'Balancesheet Forecasted'!G28+'Balancesheet Forecasted'!G31))</f>
        <v>3.87371494761964E-2</v>
      </c>
      <c r="H21" s="243">
        <f>'Income Statement'!I23/('Balancesheet Forecasted'!H22-('Balancesheet Forecasted'!H26+'Balancesheet Forecasted'!H28+'Balancesheet Forecasted'!H31))</f>
        <v>3.0762016183945137E-2</v>
      </c>
      <c r="I21" s="243">
        <f>'Income Statement'!J23/('Balancesheet Forecasted'!I22-('Balancesheet Forecasted'!I26+'Balancesheet Forecasted'!I28+'Balancesheet Forecasted'!I31))</f>
        <v>3.0888701357990531E-2</v>
      </c>
      <c r="J21" s="243">
        <f>'Income Statement'!K23/('Balancesheet Forecasted'!J22-('Balancesheet Forecasted'!J26+'Balancesheet Forecasted'!J28+'Balancesheet Forecasted'!J31))</f>
        <v>3.0996966949609382E-2</v>
      </c>
      <c r="K21" s="243">
        <f>'Income Statement'!L23/('Balancesheet Forecasted'!K22-('Balancesheet Forecasted'!K26+'Balancesheet Forecasted'!K28+'Balancesheet Forecasted'!K31))</f>
        <v>3.1090028665233603E-2</v>
      </c>
      <c r="L21" s="243">
        <f>'Income Statement'!M23/('Balancesheet Forecasted'!L22-('Balancesheet Forecasted'!L26+'Balancesheet Forecasted'!L28+'Balancesheet Forecasted'!L31))</f>
        <v>3.1170339012735599E-2</v>
      </c>
      <c r="M21" s="243">
        <f>'Income Statement'!N23/('Balancesheet Forecasted'!M22-('Balancesheet Forecasted'!M26+'Balancesheet Forecasted'!M28+'Balancesheet Forecasted'!M31))</f>
        <v>3.1239801192157603E-2</v>
      </c>
      <c r="N21" s="243">
        <f>'Income Statement'!O23/('Balancesheet Forecasted'!N22-('Balancesheet Forecasted'!N26+'Balancesheet Forecasted'!N28+'Balancesheet Forecasted'!N31))</f>
        <v>3.1299926435204579E-2</v>
      </c>
      <c r="O21" s="243">
        <f>'Income Statement'!P23/('Balancesheet Forecasted'!O22-('Balancesheet Forecasted'!O26+'Balancesheet Forecasted'!O28+'Balancesheet Forecasted'!O31))</f>
        <v>3.1351946798480974E-2</v>
      </c>
      <c r="P21" s="243">
        <f>'Income Statement'!Q23/('Balancesheet Forecasted'!P22-('Balancesheet Forecasted'!P26+'Balancesheet Forecasted'!P28+'Balancesheet Forecasted'!P31))</f>
        <v>3.1396893771179386E-2</v>
      </c>
      <c r="Q21" s="243">
        <f>'Income Statement'!R23/('Balancesheet Forecasted'!Q22-('Balancesheet Forecasted'!Q26+'Balancesheet Forecasted'!Q28+'Balancesheet Forecasted'!Q31))</f>
        <v>3.1435651456445571E-2</v>
      </c>
    </row>
    <row r="22" spans="2:17" ht="15.75">
      <c r="B22" s="245" t="s">
        <v>294</v>
      </c>
      <c r="C22" s="243">
        <f>'Income Statement'!D33/'Balancesheet Forecasted'!C22</f>
        <v>6.9457334294441833E-3</v>
      </c>
      <c r="D22" s="243">
        <f>'Income Statement'!E33/'Balancesheet Forecasted'!D22</f>
        <v>1.1681393992885411E-2</v>
      </c>
      <c r="E22" s="243">
        <f>'Income Statement'!F33/'Balancesheet Forecasted'!E22</f>
        <v>1.4327036176182641E-2</v>
      </c>
      <c r="F22" s="243">
        <f>'Income Statement'!G33/'Balancesheet Forecasted'!F22</f>
        <v>1.73790170808268E-2</v>
      </c>
      <c r="G22" s="243">
        <f>'Income Statement'!H33/'Balancesheet Forecasted'!G22</f>
        <v>1.8720468018486435E-2</v>
      </c>
      <c r="H22" s="243">
        <f>'Income Statement'!I33/'Balancesheet Forecasted'!H22</f>
        <v>1.3783553581530635E-2</v>
      </c>
      <c r="I22" s="243">
        <f>'Income Statement'!J33/'Balancesheet Forecasted'!I22</f>
        <v>1.384471254698867E-2</v>
      </c>
      <c r="J22" s="243">
        <f>'Income Statement'!K33/'Balancesheet Forecasted'!J22</f>
        <v>1.3882475496135771E-2</v>
      </c>
      <c r="K22" s="243">
        <f>'Income Statement'!L33/'Balancesheet Forecasted'!K22</f>
        <v>1.3901661269855359E-2</v>
      </c>
      <c r="L22" s="243">
        <f>'Income Statement'!M33/'Balancesheet Forecasted'!L22</f>
        <v>1.3905892569887312E-2</v>
      </c>
      <c r="M22" s="243">
        <f>'Income Statement'!N33/'Balancesheet Forecasted'!M22</f>
        <v>1.3897877489994787E-2</v>
      </c>
      <c r="N22" s="243">
        <f>'Income Statement'!O33/'Balancesheet Forecasted'!N22</f>
        <v>1.3879638564896043E-2</v>
      </c>
      <c r="O22" s="243">
        <f>'Income Statement'!P33/'Balancesheet Forecasted'!O22</f>
        <v>1.3852695049780279E-2</v>
      </c>
      <c r="P22" s="243">
        <f>'Income Statement'!Q33/'Balancesheet Forecasted'!P22</f>
        <v>1.3818204589075228E-2</v>
      </c>
      <c r="Q22" s="243">
        <f>'Income Statement'!R33/'Balancesheet Forecasted'!Q22</f>
        <v>1.3777070395420974E-2</v>
      </c>
    </row>
    <row r="23" spans="2:17">
      <c r="B23" s="1"/>
    </row>
    <row r="24" spans="2:17">
      <c r="B24" s="280" t="s">
        <v>298</v>
      </c>
      <c r="C24" s="280"/>
      <c r="D24" s="280"/>
      <c r="E24" s="280"/>
      <c r="F24" s="280"/>
      <c r="G24" s="280"/>
      <c r="H24" s="280"/>
      <c r="I24" s="280"/>
      <c r="J24" s="280"/>
      <c r="K24" s="280"/>
      <c r="L24" s="280"/>
      <c r="M24" s="280"/>
      <c r="N24" s="280"/>
      <c r="O24" s="280"/>
      <c r="P24" s="280"/>
      <c r="Q24" s="280"/>
    </row>
    <row r="25" spans="2:17">
      <c r="B25" s="35"/>
    </row>
    <row r="26" spans="2:17" ht="15.75">
      <c r="B26" s="245" t="s">
        <v>295</v>
      </c>
      <c r="C26" s="243">
        <f>SUM('Income Statement'!D15:D16)/'Income Statement'!D11</f>
        <v>0.60307333056939227</v>
      </c>
      <c r="D26" s="243">
        <f>SUM('Income Statement'!E15:E16)/'Income Statement'!E11</f>
        <v>0.57730132887490804</v>
      </c>
      <c r="E26" s="243">
        <f>SUM('Income Statement'!F15:F16)/'Income Statement'!F11</f>
        <v>0.53494986045122805</v>
      </c>
      <c r="F26" s="243">
        <f>SUM('Income Statement'!G15:G16)/'Income Statement'!G11</f>
        <v>0.47686633010847645</v>
      </c>
      <c r="G26" s="243">
        <f>SUM('Income Statement'!H15:H16)/'Income Statement'!H11</f>
        <v>0.43062610713236854</v>
      </c>
      <c r="H26" s="243">
        <f>SUM('Income Statement'!I15:I16)/'Income Statement'!I11</f>
        <v>0.52456339142727471</v>
      </c>
      <c r="I26" s="243">
        <f>SUM('Income Statement'!J15:J16)/'Income Statement'!J11</f>
        <v>0.52456339142727471</v>
      </c>
      <c r="J26" s="243">
        <f>SUM('Income Statement'!K15:K16)/'Income Statement'!K11</f>
        <v>0.52456339142727471</v>
      </c>
      <c r="K26" s="243">
        <f>SUM('Income Statement'!L15:L16)/'Income Statement'!L11</f>
        <v>0.52456339142727471</v>
      </c>
      <c r="L26" s="243">
        <f>SUM('Income Statement'!M15:M16)/'Income Statement'!M11</f>
        <v>0.52456339142727471</v>
      </c>
      <c r="M26" s="243">
        <f>SUM('Income Statement'!N15:N16)/'Income Statement'!N11</f>
        <v>0.52456339142727471</v>
      </c>
      <c r="N26" s="243">
        <f>SUM('Income Statement'!O15:O16)/'Income Statement'!O11</f>
        <v>0.52456339142727471</v>
      </c>
      <c r="O26" s="243">
        <f>SUM('Income Statement'!P15:P16)/'Income Statement'!P11</f>
        <v>0.52456339142727471</v>
      </c>
      <c r="P26" s="243">
        <f>SUM('Income Statement'!Q15:Q16)/'Income Statement'!Q11</f>
        <v>0.52456339142727471</v>
      </c>
      <c r="Q26" s="243">
        <f>SUM('Income Statement'!R15:R16)/'Income Statement'!R11</f>
        <v>0.52456339142727471</v>
      </c>
    </row>
    <row r="27" spans="2:17" ht="15.75">
      <c r="B27" s="245" t="s">
        <v>299</v>
      </c>
      <c r="C27" s="212"/>
      <c r="D27" s="243">
        <f>('Income Statement'!E11/'Income Statement'!D11-1)-(SUM('Income Statement'!E15:E16)/SUM('Income Statement'!D15:D16)-1)</f>
        <v>4.602980045472882E-2</v>
      </c>
      <c r="E27" s="243">
        <f>('Income Statement'!F11/'Income Statement'!E11-1)-(SUM('Income Statement'!F15:F16)/SUM('Income Statement'!E15:E16)-1)</f>
        <v>7.1633147584234891E-2</v>
      </c>
      <c r="F27" s="243">
        <f>('Income Statement'!G11/'Income Statement'!F11-1)-(SUM('Income Statement'!G15:G16)/SUM('Income Statement'!F15:F16)-1)</f>
        <v>0.12831855401969694</v>
      </c>
      <c r="G27" s="243">
        <f>('Income Statement'!H11/'Income Statement'!G11-1)-(SUM('Income Statement'!H15:H16)/SUM('Income Statement'!G15:G16)-1)</f>
        <v>0.12293468827542386</v>
      </c>
      <c r="H27" s="243">
        <f>('Income Statement'!I11/'Income Statement'!H11-1)-(SUM('Income Statement'!I15:I16)/SUM('Income Statement'!H15:H16)-1)</f>
        <v>-0.2558777957264633</v>
      </c>
      <c r="I27" s="243">
        <f>('Income Statement'!J11/'Income Statement'!I11-1)-(SUM('Income Statement'!J15:J16)/SUM('Income Statement'!I15:I16)-1)</f>
        <v>0</v>
      </c>
      <c r="J27" s="243">
        <f>('Income Statement'!K11/'Income Statement'!J11-1)-(SUM('Income Statement'!K15:K16)/SUM('Income Statement'!J15:J16)-1)</f>
        <v>0</v>
      </c>
      <c r="K27" s="243">
        <f>('Income Statement'!L11/'Income Statement'!K11-1)-(SUM('Income Statement'!L15:L16)/SUM('Income Statement'!K15:K16)-1)</f>
        <v>0</v>
      </c>
      <c r="L27" s="243">
        <f>('Income Statement'!M11/'Income Statement'!L11-1)-(SUM('Income Statement'!M15:M16)/SUM('Income Statement'!L15:L16)-1)</f>
        <v>0</v>
      </c>
      <c r="M27" s="243">
        <f>('Income Statement'!N11/'Income Statement'!M11-1)-(SUM('Income Statement'!N15:N16)/SUM('Income Statement'!M15:M16)-1)</f>
        <v>0</v>
      </c>
      <c r="N27" s="243">
        <f>('Income Statement'!O11/'Income Statement'!N11-1)-(SUM('Income Statement'!O15:O16)/SUM('Income Statement'!N15:N16)-1)</f>
        <v>0</v>
      </c>
      <c r="O27" s="243">
        <f>('Income Statement'!P11/'Income Statement'!O11-1)-(SUM('Income Statement'!P15:P16)/SUM('Income Statement'!O15:O16)-1)</f>
        <v>2.2204460492503131E-16</v>
      </c>
      <c r="P27" s="243">
        <f>('Income Statement'!Q11/'Income Statement'!P11-1)-(SUM('Income Statement'!Q15:Q16)/SUM('Income Statement'!P15:P16)-1)</f>
        <v>-2.2204460492503131E-16</v>
      </c>
      <c r="Q27" s="243">
        <f>('Income Statement'!R11/'Income Statement'!Q11-1)-(SUM('Income Statement'!R15:R16)/SUM('Income Statement'!Q15:Q16)-1)</f>
        <v>-2.2204460492503131E-16</v>
      </c>
    </row>
    <row r="29" spans="2:17">
      <c r="B29" s="30"/>
      <c r="C29" s="30"/>
      <c r="D29" s="30"/>
      <c r="E29" s="30"/>
      <c r="F29" s="30"/>
      <c r="G29" s="30"/>
      <c r="H29" s="30"/>
      <c r="I29" s="30"/>
      <c r="J29" s="30"/>
      <c r="K29" s="30"/>
      <c r="L29" s="30"/>
      <c r="M29" s="30"/>
      <c r="N29" s="30"/>
      <c r="O29" s="30"/>
      <c r="P29" s="30"/>
      <c r="Q29" s="30"/>
    </row>
    <row r="33" spans="2:17">
      <c r="B33" s="280" t="s">
        <v>300</v>
      </c>
      <c r="C33" s="280"/>
      <c r="D33" s="280"/>
      <c r="E33" s="280"/>
      <c r="F33" s="280"/>
      <c r="G33" s="280"/>
      <c r="H33" s="280"/>
      <c r="I33" s="280"/>
      <c r="J33" s="280"/>
      <c r="K33" s="280"/>
      <c r="L33" s="280"/>
      <c r="M33" s="280"/>
      <c r="N33" s="280"/>
      <c r="O33" s="280"/>
      <c r="P33" s="280"/>
      <c r="Q33" s="280"/>
    </row>
    <row r="35" spans="2:17" ht="28.5" customHeight="1">
      <c r="B35" s="241" t="s">
        <v>297</v>
      </c>
      <c r="C35" s="327" t="s">
        <v>301</v>
      </c>
      <c r="D35" s="327"/>
      <c r="E35" s="327"/>
      <c r="F35" s="327"/>
      <c r="G35" s="327"/>
      <c r="H35" s="327"/>
      <c r="I35" s="327"/>
      <c r="J35" s="327"/>
      <c r="K35" s="327"/>
      <c r="L35" s="327"/>
      <c r="M35" s="327"/>
      <c r="N35" s="327"/>
      <c r="O35" s="327"/>
      <c r="P35" s="327"/>
      <c r="Q35" s="327"/>
    </row>
    <row r="36" spans="2:17" ht="30.75" customHeight="1">
      <c r="B36" s="241" t="s">
        <v>287</v>
      </c>
      <c r="C36" s="327" t="s">
        <v>302</v>
      </c>
      <c r="D36" s="327"/>
      <c r="E36" s="327"/>
      <c r="F36" s="327"/>
      <c r="G36" s="327"/>
      <c r="H36" s="327"/>
      <c r="I36" s="327"/>
      <c r="J36" s="327"/>
      <c r="K36" s="327"/>
      <c r="L36" s="327"/>
      <c r="M36" s="327"/>
      <c r="N36" s="327"/>
      <c r="O36" s="327"/>
      <c r="P36" s="327"/>
      <c r="Q36" s="327"/>
    </row>
    <row r="37" spans="2:17" ht="31.5" customHeight="1">
      <c r="B37" s="241" t="s">
        <v>288</v>
      </c>
      <c r="C37" s="327" t="s">
        <v>303</v>
      </c>
      <c r="D37" s="327"/>
      <c r="E37" s="327"/>
      <c r="F37" s="327"/>
      <c r="G37" s="327"/>
      <c r="H37" s="327"/>
      <c r="I37" s="327"/>
      <c r="J37" s="327"/>
      <c r="K37" s="327"/>
      <c r="L37" s="327"/>
      <c r="M37" s="327"/>
      <c r="N37" s="327"/>
      <c r="O37" s="327"/>
      <c r="P37" s="327"/>
      <c r="Q37" s="327"/>
    </row>
    <row r="38" spans="2:17" ht="30" customHeight="1">
      <c r="B38" s="241" t="s">
        <v>289</v>
      </c>
      <c r="C38" s="327" t="s">
        <v>304</v>
      </c>
      <c r="D38" s="327"/>
      <c r="E38" s="327"/>
      <c r="F38" s="327"/>
      <c r="G38" s="327"/>
      <c r="H38" s="327"/>
      <c r="I38" s="327"/>
      <c r="J38" s="327"/>
      <c r="K38" s="327"/>
      <c r="L38" s="327"/>
      <c r="M38" s="327"/>
      <c r="N38" s="327"/>
      <c r="O38" s="327"/>
      <c r="P38" s="327"/>
      <c r="Q38" s="327"/>
    </row>
    <row r="39" spans="2:17" ht="29.25" customHeight="1">
      <c r="B39" s="241" t="s">
        <v>290</v>
      </c>
      <c r="C39" s="327" t="s">
        <v>305</v>
      </c>
      <c r="D39" s="327"/>
      <c r="E39" s="327"/>
      <c r="F39" s="327"/>
      <c r="G39" s="327"/>
      <c r="H39" s="327"/>
      <c r="I39" s="327"/>
      <c r="J39" s="327"/>
      <c r="K39" s="327"/>
      <c r="L39" s="327"/>
      <c r="M39" s="327"/>
      <c r="N39" s="327"/>
      <c r="O39" s="327"/>
      <c r="P39" s="327"/>
      <c r="Q39" s="327"/>
    </row>
    <row r="40" spans="2:17" ht="36" customHeight="1">
      <c r="B40" s="241" t="s">
        <v>291</v>
      </c>
      <c r="C40" s="327" t="s">
        <v>306</v>
      </c>
      <c r="D40" s="327"/>
      <c r="E40" s="327"/>
      <c r="F40" s="327"/>
      <c r="G40" s="327"/>
      <c r="H40" s="327"/>
      <c r="I40" s="327"/>
      <c r="J40" s="327"/>
      <c r="K40" s="327"/>
      <c r="L40" s="327"/>
      <c r="M40" s="327"/>
      <c r="N40" s="327"/>
      <c r="O40" s="327"/>
      <c r="P40" s="327"/>
      <c r="Q40" s="327"/>
    </row>
    <row r="41" spans="2:17" ht="31.5" customHeight="1">
      <c r="B41" s="241" t="s">
        <v>292</v>
      </c>
      <c r="C41" s="327" t="s">
        <v>307</v>
      </c>
      <c r="D41" s="327"/>
      <c r="E41" s="327"/>
      <c r="F41" s="327"/>
      <c r="G41" s="327"/>
      <c r="H41" s="327"/>
      <c r="I41" s="327"/>
      <c r="J41" s="327"/>
      <c r="K41" s="327"/>
      <c r="L41" s="327"/>
      <c r="M41" s="327"/>
      <c r="N41" s="327"/>
      <c r="O41" s="327"/>
      <c r="P41" s="327"/>
      <c r="Q41" s="327"/>
    </row>
    <row r="42" spans="2:17" ht="28.5" customHeight="1">
      <c r="B42" s="241" t="s">
        <v>293</v>
      </c>
      <c r="C42" s="327" t="s">
        <v>308</v>
      </c>
      <c r="D42" s="327"/>
      <c r="E42" s="327"/>
      <c r="F42" s="327"/>
      <c r="G42" s="327"/>
      <c r="H42" s="327"/>
      <c r="I42" s="327"/>
      <c r="J42" s="327"/>
      <c r="K42" s="327"/>
      <c r="L42" s="327"/>
      <c r="M42" s="327"/>
      <c r="N42" s="327"/>
      <c r="O42" s="327"/>
      <c r="P42" s="327"/>
      <c r="Q42" s="327"/>
    </row>
    <row r="43" spans="2:17" ht="33.75" customHeight="1">
      <c r="B43" s="241" t="s">
        <v>294</v>
      </c>
      <c r="C43" s="327" t="s">
        <v>309</v>
      </c>
      <c r="D43" s="327"/>
      <c r="E43" s="327"/>
      <c r="F43" s="327"/>
      <c r="G43" s="327"/>
      <c r="H43" s="327"/>
      <c r="I43" s="327"/>
      <c r="J43" s="327"/>
      <c r="K43" s="327"/>
      <c r="L43" s="327"/>
      <c r="M43" s="327"/>
      <c r="N43" s="327"/>
      <c r="O43" s="327"/>
      <c r="P43" s="327"/>
      <c r="Q43" s="327"/>
    </row>
    <row r="45" spans="2:17">
      <c r="B45" s="30"/>
      <c r="C45" s="30"/>
      <c r="D45" s="30"/>
      <c r="E45" s="30"/>
      <c r="F45" s="30"/>
      <c r="G45" s="30"/>
      <c r="H45" s="30"/>
      <c r="I45" s="30"/>
      <c r="J45" s="30"/>
      <c r="K45" s="30"/>
      <c r="L45" s="30"/>
      <c r="M45" s="30"/>
      <c r="N45" s="30"/>
      <c r="O45" s="30"/>
      <c r="P45" s="30"/>
      <c r="Q45" s="30"/>
    </row>
  </sheetData>
  <mergeCells count="13">
    <mergeCell ref="C38:Q38"/>
    <mergeCell ref="B12:Q12"/>
    <mergeCell ref="B7:Q7"/>
    <mergeCell ref="B24:Q24"/>
    <mergeCell ref="B33:Q33"/>
    <mergeCell ref="C35:Q35"/>
    <mergeCell ref="C36:Q36"/>
    <mergeCell ref="C37:Q37"/>
    <mergeCell ref="C39:Q39"/>
    <mergeCell ref="C40:Q40"/>
    <mergeCell ref="C41:Q41"/>
    <mergeCell ref="C42:Q42"/>
    <mergeCell ref="C43:Q43"/>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 Analysis'!C14:Q14</xm:f>
              <xm:sqref>R14</xm:sqref>
            </x14:sparkline>
            <x14:sparkline>
              <xm:f>'Ratio Analysis'!C15:Q15</xm:f>
              <xm:sqref>R15</xm:sqref>
            </x14:sparkline>
            <x14:sparkline>
              <xm:f>'Ratio Analysis'!C16:Q16</xm:f>
              <xm:sqref>R16</xm:sqref>
            </x14:sparkline>
            <x14:sparkline>
              <xm:f>'Ratio Analysis'!C17:Q17</xm:f>
              <xm:sqref>R17</xm:sqref>
            </x14:sparkline>
            <x14:sparkline>
              <xm:f>'Ratio Analysis'!C18:Q18</xm:f>
              <xm:sqref>R18</xm:sqref>
            </x14:sparkline>
            <x14:sparkline>
              <xm:f>'Ratio Analysis'!C19:Q19</xm:f>
              <xm:sqref>R19</xm:sqref>
            </x14:sparkline>
            <x14:sparkline>
              <xm:f>'Ratio Analysis'!C20:Q20</xm:f>
              <xm:sqref>R20</xm:sqref>
            </x14:sparkline>
            <x14:sparkline>
              <xm:f>'Ratio Analysis'!C21:Q21</xm:f>
              <xm:sqref>R21</xm:sqref>
            </x14:sparkline>
            <x14:sparkline>
              <xm:f>'Ratio Analysis'!C22:Q22</xm:f>
              <xm:sqref>R22</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 Analysis'!C26:Q26</xm:f>
              <xm:sqref>R26</xm:sqref>
            </x14:sparkline>
            <x14:sparkline>
              <xm:f>'Ratio Analysis'!C27:Q27</xm:f>
              <xm:sqref>R27</xm:sqref>
            </x14:sparkline>
          </x14:sparklines>
        </x14:sparklineGroup>
      </x14:sparklineGroup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6"/>
  <sheetViews>
    <sheetView showGridLines="0" topLeftCell="A9" workbookViewId="0">
      <selection activeCell="H28" sqref="H28"/>
    </sheetView>
  </sheetViews>
  <sheetFormatPr defaultRowHeight="15"/>
  <cols>
    <col min="1" max="1" width="1.85546875" customWidth="1"/>
    <col min="2" max="2" width="25.7109375" bestFit="1" customWidth="1"/>
  </cols>
  <sheetData>
    <row r="1" spans="2:18" ht="6.75" customHeight="1">
      <c r="B1" s="30"/>
      <c r="C1" s="30"/>
      <c r="D1" s="30"/>
      <c r="E1" s="30"/>
      <c r="F1" s="30"/>
      <c r="G1" s="30"/>
      <c r="H1" s="30"/>
      <c r="I1" s="30"/>
      <c r="J1" s="30"/>
      <c r="K1" s="30"/>
      <c r="L1" s="30"/>
      <c r="M1" s="30"/>
      <c r="N1" s="30"/>
      <c r="O1" s="30"/>
      <c r="P1" s="30"/>
      <c r="Q1" s="30"/>
      <c r="R1" s="30"/>
    </row>
    <row r="3" spans="2:18" ht="18" customHeight="1">
      <c r="B3" s="170" t="s">
        <v>260</v>
      </c>
    </row>
    <row r="4" spans="2:18">
      <c r="B4" s="171" t="s">
        <v>262</v>
      </c>
    </row>
    <row r="5" spans="2:18">
      <c r="B5" s="25" t="s">
        <v>261</v>
      </c>
      <c r="C5" s="29"/>
      <c r="D5" s="29"/>
      <c r="E5" s="29"/>
      <c r="F5" s="29"/>
      <c r="G5" s="29"/>
      <c r="H5" s="29"/>
      <c r="I5" s="29"/>
      <c r="J5" s="29"/>
      <c r="K5" s="29"/>
      <c r="L5" s="29"/>
      <c r="M5" s="29"/>
      <c r="N5" s="29"/>
      <c r="O5" s="29"/>
      <c r="P5" s="29"/>
      <c r="Q5" s="29"/>
      <c r="R5" s="29"/>
    </row>
    <row r="7" spans="2:18">
      <c r="B7" s="280" t="s">
        <v>353</v>
      </c>
      <c r="C7" s="280"/>
      <c r="D7" s="280"/>
      <c r="E7" s="280"/>
      <c r="F7" s="280"/>
      <c r="G7" s="280"/>
      <c r="H7" s="280"/>
      <c r="I7" s="280"/>
      <c r="J7" s="280"/>
      <c r="K7" s="280"/>
      <c r="L7" s="280"/>
      <c r="M7" s="280"/>
      <c r="N7" s="280"/>
      <c r="O7" s="280"/>
      <c r="P7" s="280"/>
      <c r="Q7" s="280"/>
      <c r="R7" s="280"/>
    </row>
    <row r="26" spans="2:18">
      <c r="B26" s="30"/>
      <c r="C26" s="30"/>
      <c r="D26" s="30"/>
      <c r="E26" s="30"/>
      <c r="F26" s="30"/>
      <c r="G26" s="30"/>
      <c r="H26" s="30"/>
      <c r="I26" s="30"/>
      <c r="J26" s="30"/>
      <c r="K26" s="30"/>
      <c r="L26" s="30"/>
      <c r="M26" s="30"/>
      <c r="N26" s="30"/>
      <c r="O26" s="30"/>
      <c r="P26" s="30"/>
      <c r="Q26" s="30"/>
      <c r="R26" s="30"/>
    </row>
  </sheetData>
  <mergeCells count="1">
    <mergeCell ref="B7:R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Assumption</vt:lpstr>
      <vt:lpstr>Income statement Historical</vt:lpstr>
      <vt:lpstr>Common Size Statement</vt:lpstr>
      <vt:lpstr>Revenue Buildup</vt:lpstr>
      <vt:lpstr>Cost Buildup</vt:lpstr>
      <vt:lpstr>FAS</vt:lpstr>
      <vt:lpstr>Balance Sheet Historical </vt:lpstr>
      <vt:lpstr>Income Statement</vt:lpstr>
      <vt:lpstr>Balance sheet </vt:lpstr>
      <vt:lpstr>Balancesheet Forecasted</vt:lpstr>
      <vt:lpstr>Cashflow statement</vt:lpstr>
      <vt:lpstr>equity market return</vt:lpstr>
      <vt:lpstr>Beta Calaculation</vt:lpstr>
      <vt:lpstr>comps data </vt:lpstr>
      <vt:lpstr>Comps Valuation</vt:lpstr>
      <vt:lpstr>WACC</vt:lpstr>
      <vt:lpstr>DCF Valutaion</vt:lpstr>
      <vt:lpstr>Football Analysis</vt:lpstr>
      <vt:lpstr>Ratio Analysis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Kumar</dc:creator>
  <cp:lastModifiedBy>Dhiraj Kumar</cp:lastModifiedBy>
  <cp:lastPrinted>2025-06-30T05:45:37Z</cp:lastPrinted>
  <dcterms:created xsi:type="dcterms:W3CDTF">2025-06-28T04:53:40Z</dcterms:created>
  <dcterms:modified xsi:type="dcterms:W3CDTF">2025-07-04T16:09:56Z</dcterms:modified>
</cp:coreProperties>
</file>